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11" yWindow="720" windowWidth="14865" windowHeight="7200" tabRatio="934" activeTab="14"/>
  </bookViews>
  <sheets>
    <sheet name="ApI" sheetId="1" r:id="rId1"/>
    <sheet name="AnII" sheetId="2" r:id="rId2"/>
    <sheet name="ApIII" sheetId="3" r:id="rId3"/>
    <sheet name="ApIV" sheetId="4" r:id="rId4"/>
    <sheet name="ApV" sheetId="5" r:id="rId5"/>
    <sheet name="AnVI" sheetId="6" r:id="rId6"/>
    <sheet name="ApVII" sheetId="7" r:id="rId7"/>
    <sheet name="ApVIII" sheetId="8" r:id="rId8"/>
    <sheet name="ApIX" sheetId="9" r:id="rId9"/>
    <sheet name="ApX" sheetId="10" r:id="rId10"/>
    <sheet name="AnXI" sheetId="11" r:id="rId11"/>
    <sheet name="ApXII" sheetId="12" r:id="rId12"/>
    <sheet name="ApXIII" sheetId="13" r:id="rId13"/>
    <sheet name="ApXIV" sheetId="14" r:id="rId14"/>
    <sheet name="ApXV" sheetId="15" r:id="rId15"/>
  </sheets>
  <definedNames>
    <definedName name="country">#REF!</definedName>
    <definedName name="_xlnm.Print_Area" localSheetId="5">'AnVI'!$A$1:$K$20</definedName>
    <definedName name="_xlnm.Print_Area" localSheetId="10">'AnXI'!$A$3:$F$23</definedName>
    <definedName name="_xlnm.Print_Area" localSheetId="0">'ApI'!$A$4:$O$90</definedName>
    <definedName name="_xlnm.Print_Area" localSheetId="2">'ApIII'!$A$1:$S$56</definedName>
    <definedName name="_xlnm.Print_Area" localSheetId="3">'ApIV'!$A$1:$AO$49</definedName>
    <definedName name="_xlnm.Print_Area" localSheetId="8">'ApIX'!$A$1:$K$20</definedName>
    <definedName name="_xlnm.Print_Area" localSheetId="6">'ApVII'!$A$1:$AC$28</definedName>
    <definedName name="_xlnm.Print_Area" localSheetId="7">'ApVIII'!$A$1:$S$10</definedName>
    <definedName name="_xlnm.Print_Area" localSheetId="9">'ApX'!$A$1:$U$62</definedName>
    <definedName name="_xlnm.Print_Area" localSheetId="11">'ApXII'!$A$1:$AA$51</definedName>
    <definedName name="_xlnm.Print_Area" localSheetId="12">'ApXIII'!$A$1:$H$76</definedName>
    <definedName name="_xlnm.Print_Area" localSheetId="13">'ApXIV'!$A$1:$AK$63</definedName>
    <definedName name="_xlnm.Print_Area" localSheetId="14">'ApXV'!$A$2:$L$32</definedName>
    <definedName name="_xlnm.Print_Titles" localSheetId="1">'AnII'!$A:$A,'AnII'!$1:$2</definedName>
    <definedName name="_xlnm.Print_Titles" localSheetId="10">'AnXI'!$1:$2</definedName>
    <definedName name="_xlnm.Print_Titles" localSheetId="0">'ApI'!$1:$3</definedName>
    <definedName name="_xlnm.Print_Titles" localSheetId="2">'ApIII'!$1:$4</definedName>
    <definedName name="_xlnm.Print_Titles" localSheetId="3">'ApIV'!$A:$A,'ApIV'!$2:$3</definedName>
    <definedName name="_xlnm.Print_Titles" localSheetId="8">'ApIX'!$3:$4</definedName>
    <definedName name="_xlnm.Print_Titles" localSheetId="4">'ApV'!$1:$3</definedName>
    <definedName name="_xlnm.Print_Titles" localSheetId="9">'ApX'!$1:$3</definedName>
    <definedName name="_xlnm.Print_Titles" localSheetId="11">'ApXII'!$A:$A,'ApXII'!$1:$3</definedName>
    <definedName name="_xlnm.Print_Titles" localSheetId="12">'ApXIII'!$1:$2</definedName>
    <definedName name="_xlnm.Print_Titles" localSheetId="14">'ApXV'!$1:$1</definedName>
  </definedNames>
  <calcPr fullCalcOnLoad="1"/>
</workbook>
</file>

<file path=xl/sharedStrings.xml><?xml version="1.0" encoding="utf-8"?>
<sst xmlns="http://schemas.openxmlformats.org/spreadsheetml/2006/main" count="2672" uniqueCount="526">
  <si>
    <t>(No. : Persons, Value : '000 Baht)</t>
  </si>
  <si>
    <t>Country</t>
  </si>
  <si>
    <t>Bilateral</t>
  </si>
  <si>
    <t>TIPP</t>
  </si>
  <si>
    <t>AITC</t>
  </si>
  <si>
    <t>TCDC</t>
  </si>
  <si>
    <t>Trilateral</t>
  </si>
  <si>
    <t>Total TICP</t>
  </si>
  <si>
    <t>No.*</t>
  </si>
  <si>
    <t>Value</t>
  </si>
  <si>
    <t>No.</t>
  </si>
  <si>
    <t xml:space="preserve">   - Cambodia</t>
  </si>
  <si>
    <t>-</t>
  </si>
  <si>
    <t xml:space="preserve">   - Lao PDR</t>
  </si>
  <si>
    <t xml:space="preserve">   - Myanmar</t>
  </si>
  <si>
    <t xml:space="preserve">   - Vietnam</t>
  </si>
  <si>
    <t>2. SOUTHEAST ASIA</t>
  </si>
  <si>
    <t xml:space="preserve">   - Indonesia</t>
  </si>
  <si>
    <t xml:space="preserve">   - Malaysia</t>
  </si>
  <si>
    <t xml:space="preserve">   - Philippines</t>
  </si>
  <si>
    <t xml:space="preserve">   - Timor Leste</t>
  </si>
  <si>
    <t>3. EAST ASIA</t>
  </si>
  <si>
    <t xml:space="preserve">   - China</t>
  </si>
  <si>
    <t xml:space="preserve">   - Mongolia</t>
  </si>
  <si>
    <t>4. SOUTH ASIA AND MIDDLE EAST</t>
  </si>
  <si>
    <t xml:space="preserve">   - Afghanistan</t>
  </si>
  <si>
    <t xml:space="preserve">   - Bangladesh</t>
  </si>
  <si>
    <t xml:space="preserve">   - Bhutan</t>
  </si>
  <si>
    <t xml:space="preserve">   - India</t>
  </si>
  <si>
    <t xml:space="preserve">   - Iran</t>
  </si>
  <si>
    <t xml:space="preserve">   - Jordan</t>
  </si>
  <si>
    <t xml:space="preserve">   - Maldives</t>
  </si>
  <si>
    <t xml:space="preserve">   - Nepal</t>
  </si>
  <si>
    <t xml:space="preserve">   - Pakistan</t>
  </si>
  <si>
    <t xml:space="preserve">   - Sri Lanka</t>
  </si>
  <si>
    <t>5. THE PACIFIC</t>
  </si>
  <si>
    <t xml:space="preserve">   - Tajikistan</t>
  </si>
  <si>
    <t xml:space="preserve">   - Uzbekistan</t>
  </si>
  <si>
    <t xml:space="preserve">   - Bukina Faso</t>
  </si>
  <si>
    <t xml:space="preserve">   - Burundi</t>
  </si>
  <si>
    <t xml:space="preserve">   - Egypt</t>
  </si>
  <si>
    <t xml:space="preserve">   - Gambia</t>
  </si>
  <si>
    <t xml:space="preserve">   - Kenya</t>
  </si>
  <si>
    <t xml:space="preserve">   - Madagascar</t>
  </si>
  <si>
    <t xml:space="preserve">   - Malawi</t>
  </si>
  <si>
    <t xml:space="preserve">   - Mauritius</t>
  </si>
  <si>
    <t xml:space="preserve">   - Morocco</t>
  </si>
  <si>
    <t xml:space="preserve">   - Mozambique</t>
  </si>
  <si>
    <t xml:space="preserve">   - Namibia</t>
  </si>
  <si>
    <t xml:space="preserve">   - Nigeria</t>
  </si>
  <si>
    <t xml:space="preserve">   - Senegal</t>
  </si>
  <si>
    <t xml:space="preserve">   - Sudan</t>
  </si>
  <si>
    <t xml:space="preserve">   - Tanzania</t>
  </si>
  <si>
    <t xml:space="preserve">   - Uganda</t>
  </si>
  <si>
    <t xml:space="preserve">   - Zambia</t>
  </si>
  <si>
    <t xml:space="preserve">   - Chile</t>
  </si>
  <si>
    <t xml:space="preserve">   - Colombia</t>
  </si>
  <si>
    <t xml:space="preserve">   - Ecuador</t>
  </si>
  <si>
    <t xml:space="preserve">   - Mexico</t>
  </si>
  <si>
    <t xml:space="preserve">   - Peru</t>
  </si>
  <si>
    <t xml:space="preserve">   - Trinidad and Tobago</t>
  </si>
  <si>
    <t>GRAND TOTAL</t>
  </si>
  <si>
    <t>Development Project</t>
  </si>
  <si>
    <t xml:space="preserve">Expert/ Mission </t>
  </si>
  <si>
    <t>Equipment</t>
  </si>
  <si>
    <t>Others</t>
  </si>
  <si>
    <t>TOTAL</t>
  </si>
  <si>
    <t>Study</t>
  </si>
  <si>
    <t>Expert/Mission</t>
  </si>
  <si>
    <t>1. THE FOUR NEIGHBOURING COUNTRIES</t>
  </si>
  <si>
    <t>6. AFRICA</t>
  </si>
  <si>
    <t>Agriculture</t>
  </si>
  <si>
    <t>Communications</t>
  </si>
  <si>
    <t>Education</t>
  </si>
  <si>
    <t>Information Technology</t>
  </si>
  <si>
    <t>Infrastructure &amp; Public Utilities</t>
  </si>
  <si>
    <t>Labour &amp; Employment</t>
  </si>
  <si>
    <t>Natural Resources &amp; Environment</t>
  </si>
  <si>
    <t>Public Administration</t>
  </si>
  <si>
    <t>Public Health</t>
  </si>
  <si>
    <t>Science &amp; Technology</t>
  </si>
  <si>
    <t>Social Development &amp; Welfare</t>
  </si>
  <si>
    <t>Tourism</t>
  </si>
  <si>
    <t>Transport</t>
  </si>
  <si>
    <t>Economics</t>
  </si>
  <si>
    <t>Energy</t>
  </si>
  <si>
    <t>1. THE FOUR NEIGHBOURING COUNTRIES :</t>
  </si>
  <si>
    <t xml:space="preserve">    - Cambodia</t>
  </si>
  <si>
    <t xml:space="preserve">    - Lao PDR</t>
  </si>
  <si>
    <t xml:space="preserve">    - Myanmar</t>
  </si>
  <si>
    <t xml:space="preserve">    - Vietnam</t>
  </si>
  <si>
    <t xml:space="preserve">    - Mongolia</t>
  </si>
  <si>
    <t xml:space="preserve">    - Timor Leste</t>
  </si>
  <si>
    <t>Trade, Services &amp; Investment</t>
  </si>
  <si>
    <t xml:space="preserve">    - Bhutan</t>
  </si>
  <si>
    <t xml:space="preserve">    - China</t>
  </si>
  <si>
    <t xml:space="preserve">    - Indonesia</t>
  </si>
  <si>
    <t xml:space="preserve">    - Philippines</t>
  </si>
  <si>
    <t xml:space="preserve">    - Afghanistan</t>
  </si>
  <si>
    <t xml:space="preserve">    - Bangladesh</t>
  </si>
  <si>
    <t xml:space="preserve">    - Nepal</t>
  </si>
  <si>
    <t xml:space="preserve">    - Sri Lanka</t>
  </si>
  <si>
    <t xml:space="preserve">  (No. : Persons, Value : '000 Baht)</t>
  </si>
  <si>
    <t>Project</t>
  </si>
  <si>
    <t>Cambodia</t>
  </si>
  <si>
    <t xml:space="preserve"> - Special Project</t>
  </si>
  <si>
    <t xml:space="preserve"> - Development Project</t>
  </si>
  <si>
    <t>Sub-Total</t>
  </si>
  <si>
    <t>Lao PDR</t>
  </si>
  <si>
    <t xml:space="preserve">   - Public Health</t>
  </si>
  <si>
    <t>Madagascar</t>
  </si>
  <si>
    <t xml:space="preserve">   - Agriculture</t>
  </si>
  <si>
    <t xml:space="preserve">  - Development Project</t>
  </si>
  <si>
    <t>Vietnam</t>
  </si>
  <si>
    <t xml:space="preserve">   - Education</t>
  </si>
  <si>
    <t>The Teaching Thai Language at the University of Danang</t>
  </si>
  <si>
    <t>Economic</t>
  </si>
  <si>
    <t>Natural Resources and Environment</t>
  </si>
  <si>
    <t xml:space="preserve"> </t>
  </si>
  <si>
    <t>1. EAST ASIA</t>
  </si>
  <si>
    <t xml:space="preserve">   - Thai to China</t>
  </si>
  <si>
    <t>Training</t>
  </si>
  <si>
    <t>Total</t>
  </si>
  <si>
    <t xml:space="preserve">    (No. : Persons, Value : '000 Baht)</t>
  </si>
  <si>
    <t xml:space="preserve">    - Malaysia</t>
  </si>
  <si>
    <t xml:space="preserve">    - India</t>
  </si>
  <si>
    <t xml:space="preserve">    - Iran</t>
  </si>
  <si>
    <t xml:space="preserve">    - Jordan</t>
  </si>
  <si>
    <t xml:space="preserve">    - Maldives</t>
  </si>
  <si>
    <t xml:space="preserve">    - Pakistan</t>
  </si>
  <si>
    <t xml:space="preserve">    - Egypt</t>
  </si>
  <si>
    <t xml:space="preserve">    - Kenya</t>
  </si>
  <si>
    <t xml:space="preserve">    - Madagascar</t>
  </si>
  <si>
    <t xml:space="preserve">    - Senegal</t>
  </si>
  <si>
    <t xml:space="preserve">    - Sudan</t>
  </si>
  <si>
    <t xml:space="preserve">    - Uganda</t>
  </si>
  <si>
    <t>OTHERS* : DC &amp; LDC Meeting, Study  and Research, Thai Participants</t>
  </si>
  <si>
    <t>Cooperation Partner</t>
  </si>
  <si>
    <t>Project/Course</t>
  </si>
  <si>
    <t>Type of Activity</t>
  </si>
  <si>
    <t>Sector</t>
  </si>
  <si>
    <t>Beneficiary</t>
  </si>
  <si>
    <t>JICA</t>
  </si>
  <si>
    <t>UNFPA</t>
  </si>
  <si>
    <t>UNICEF</t>
  </si>
  <si>
    <t xml:space="preserve"> (No. : Persons, Value : '000 Baht)</t>
  </si>
  <si>
    <t>1. THE FOUR NEIGHBORING COUNTRIES :</t>
  </si>
  <si>
    <t xml:space="preserve">    - Tanzania</t>
  </si>
  <si>
    <t>Project Name</t>
  </si>
  <si>
    <t>2. OTHERS</t>
  </si>
  <si>
    <t>5. AFRICA</t>
  </si>
  <si>
    <t xml:space="preserve">      (No. : Person, Value : '000 Baht)</t>
  </si>
  <si>
    <t>1. THE FOUR NEIGHBOURING COUNTRIES:</t>
  </si>
  <si>
    <t>Cooperation Framework**</t>
  </si>
  <si>
    <t>7. CIS</t>
  </si>
  <si>
    <t>8. LATIN AMERICA</t>
  </si>
  <si>
    <t>6. CIS</t>
  </si>
  <si>
    <t>*  :  Only Fellowships</t>
  </si>
  <si>
    <t xml:space="preserve"> *  :  Only Fellowship</t>
  </si>
  <si>
    <t xml:space="preserve"> ****  :  DC &amp; LDC Meeting, Study and Research, Thai Participants</t>
  </si>
  <si>
    <t xml:space="preserve"> ***  :  No. of Participants facilitated by TICA</t>
  </si>
  <si>
    <t xml:space="preserve">1. THE FOUR NEIGHBOURING COUNTRIES </t>
  </si>
  <si>
    <t xml:space="preserve">   - Fiji</t>
  </si>
  <si>
    <t>Industry</t>
  </si>
  <si>
    <t xml:space="preserve">    - Fiji</t>
  </si>
  <si>
    <t>9. OTHERS*</t>
  </si>
  <si>
    <t xml:space="preserve">   - Lesotho</t>
  </si>
  <si>
    <t>France</t>
  </si>
  <si>
    <t>Thai Contribu- tions</t>
  </si>
  <si>
    <t>Justice</t>
  </si>
  <si>
    <t xml:space="preserve">   - Uruguay</t>
  </si>
  <si>
    <t xml:space="preserve">  - Education</t>
  </si>
  <si>
    <t xml:space="preserve">  - Public Health</t>
  </si>
  <si>
    <t xml:space="preserve">  - Agriculture</t>
  </si>
  <si>
    <t>Lesotho</t>
  </si>
  <si>
    <t>3. SOUTH ASIA AND MIDDLE EAST</t>
  </si>
  <si>
    <t>Savannakhet Technical School Development Project</t>
  </si>
  <si>
    <t>Vietnam (1)</t>
  </si>
  <si>
    <t xml:space="preserve">    - Uzbekistan</t>
  </si>
  <si>
    <t xml:space="preserve">    - Morocco</t>
  </si>
  <si>
    <t>5. The Pacific</t>
  </si>
  <si>
    <t xml:space="preserve">    - Solomon Islands</t>
  </si>
  <si>
    <t xml:space="preserve">    - Botswana</t>
  </si>
  <si>
    <t xml:space="preserve">   - Swaziland</t>
  </si>
  <si>
    <t>Communication</t>
  </si>
  <si>
    <t>Senegal</t>
  </si>
  <si>
    <t>Myanmar</t>
  </si>
  <si>
    <t>Bhutan</t>
  </si>
  <si>
    <t>Capacity Development of the College of Natural Resources, Royal University of Bhutan</t>
  </si>
  <si>
    <t>2. SOUTH ASIA</t>
  </si>
  <si>
    <t>3. OTHERS</t>
  </si>
  <si>
    <t xml:space="preserve">    - Burkina Faso</t>
  </si>
  <si>
    <t xml:space="preserve">    - Rwanda</t>
  </si>
  <si>
    <t xml:space="preserve">    - Swaziland</t>
  </si>
  <si>
    <t xml:space="preserve">   - Solomon Islands</t>
  </si>
  <si>
    <t xml:space="preserve">   - Botswana</t>
  </si>
  <si>
    <t xml:space="preserve">   - Rwanda</t>
  </si>
  <si>
    <t>Science and Technology</t>
  </si>
  <si>
    <t xml:space="preserve">    - Peru</t>
  </si>
  <si>
    <t>The Teaching Thai Language at the College of Foreign Languages, VNU, Hanoi</t>
  </si>
  <si>
    <t>Production of Electronic Instructional Media for High School Level</t>
  </si>
  <si>
    <t>Prevention of Animal Diseases in Champasack Province</t>
  </si>
  <si>
    <t>Upgrading Diploma to Bachelor Degree Course for Medical Technicians in Lao PDR</t>
  </si>
  <si>
    <t xml:space="preserve">   - Venezuela</t>
  </si>
  <si>
    <t xml:space="preserve">   - Argentina</t>
  </si>
  <si>
    <t xml:space="preserve">** :  DC &amp; LDC Meeting, Study and Research, Thai Participants </t>
  </si>
  <si>
    <t>10. OTHERS****</t>
  </si>
  <si>
    <t>ACMECS</t>
  </si>
  <si>
    <t>GMS</t>
  </si>
  <si>
    <t>BIMSTEC</t>
  </si>
  <si>
    <t>**  :  ACMECS, BIMSTEC, GMS</t>
  </si>
  <si>
    <t>Sub Total</t>
  </si>
  <si>
    <t>Sciences and Technology</t>
  </si>
  <si>
    <t xml:space="preserve">Trade, Services &amp; Investment </t>
  </si>
  <si>
    <t xml:space="preserve">    - Singapore</t>
  </si>
  <si>
    <t xml:space="preserve">ICAO </t>
  </si>
  <si>
    <t>Energy Conservation to Reduce Global Warming for ASEAN Countries</t>
  </si>
  <si>
    <t xml:space="preserve">Energy </t>
  </si>
  <si>
    <t>Sciences &amp; Technology</t>
  </si>
  <si>
    <t>4. THE PACIFIC</t>
  </si>
  <si>
    <t xml:space="preserve">   - Industry</t>
  </si>
  <si>
    <t>โครงการพัฒนาหลักสูตรนานาชาติระดับปริญญาโท สาขาการศึกษาทางด้านการพัฒนาของมหาวิทยาลัยแห่งชาติลาว</t>
  </si>
  <si>
    <t>Information &amp; Technology</t>
  </si>
  <si>
    <t>The Project on Training Program in Technology of Medicine &amp; Public Health Personnel from Lao PDR initiated by HRH Princess Maha Chakri Sirindhorn Phrase II</t>
  </si>
  <si>
    <t>Agricultural and Forestry Development in Ket Phonethong, Viengkham District, Luang Prabang Province</t>
  </si>
  <si>
    <t>Curriculum Development in Teaching Thai Language at Yangon University of Foreign Language</t>
  </si>
  <si>
    <t>โครงการวิจัยร่วมระหว่างสถาบันวิจัยจุฬาภรณ์และ The Bhutan Trust Fund for Environmental Conservation of Thimphu</t>
  </si>
  <si>
    <t xml:space="preserve"> - Natural Resources &amp; Environment</t>
  </si>
  <si>
    <t xml:space="preserve">   - Singapore</t>
  </si>
  <si>
    <t xml:space="preserve">   - Brunei</t>
  </si>
  <si>
    <t>Mongolia</t>
  </si>
  <si>
    <t xml:space="preserve">  - Special Project</t>
  </si>
  <si>
    <t>" A School Lunch Programme Model" in the Secondary School of Altanbulag Soum under the Initiative of HRH Princess Maha Chakri Siridhorn</t>
  </si>
  <si>
    <t xml:space="preserve">  - Social Development &amp; welfare</t>
  </si>
  <si>
    <t xml:space="preserve">     - Botswana</t>
  </si>
  <si>
    <t xml:space="preserve">   - Ghana</t>
  </si>
  <si>
    <t xml:space="preserve">   - Costa Rica</t>
  </si>
  <si>
    <t xml:space="preserve">   - Panama</t>
  </si>
  <si>
    <t>Capacity Building for the Meteorology and Hydrology, Early Warning System and Rehabilitation on the Cyclone Nargis Affected Areas</t>
  </si>
  <si>
    <t xml:space="preserve">    - Chile</t>
  </si>
  <si>
    <t xml:space="preserve">    - Colombia</t>
  </si>
  <si>
    <t xml:space="preserve">    - Mauritius</t>
  </si>
  <si>
    <t>Sufficiency Economy</t>
  </si>
  <si>
    <t>Environmental Toxicology</t>
  </si>
  <si>
    <t>Grassroots Economic Development followed Sufficiency Economy Philosophy</t>
  </si>
  <si>
    <t>IT Security and Management</t>
  </si>
  <si>
    <t>Myanmar (3)</t>
  </si>
  <si>
    <t>GTZ</t>
  </si>
  <si>
    <t>Social Development and Welfare</t>
  </si>
  <si>
    <t>Sustainable Road Development</t>
  </si>
  <si>
    <t xml:space="preserve">Programme Management of Prevention of Mother to Child HIV Transmission </t>
  </si>
  <si>
    <t>Aviation English Language Proficiency Interviewer</t>
  </si>
  <si>
    <t xml:space="preserve">Dangerous Goods Management </t>
  </si>
  <si>
    <t xml:space="preserve">Human Factor for Operational Personnel </t>
  </si>
  <si>
    <t>Safety Management System</t>
  </si>
  <si>
    <t>8. OTHERS*</t>
  </si>
  <si>
    <t xml:space="preserve">    - Guatemala</t>
  </si>
  <si>
    <t xml:space="preserve">    - Zambia</t>
  </si>
  <si>
    <t xml:space="preserve">    - Zimbabwe</t>
  </si>
  <si>
    <t>โครงการพัฒนาศักยภาพในด้านการเกษตรของมหาวิทยาลัยจำปาสัก</t>
  </si>
  <si>
    <t>โครงการพัฒนาบุคลากรคณะเกษตรนาบง มหาวิทยาลัยแห่งชาติลาว</t>
  </si>
  <si>
    <t>โครงการพัฒนาบุคลากรมหาวิทยาลัยสุพานุวง</t>
  </si>
  <si>
    <t>โครงการพัฒนาห้องสมุด มหาวิทยาลัยสุพานุวง</t>
  </si>
  <si>
    <t>โครงการพัฒนาหลักสูตรปรุงแต่งกสิกรรม มหาวิทยาลัยสุพานุวง</t>
  </si>
  <si>
    <t xml:space="preserve">   - Sciences &amp; Technology</t>
  </si>
  <si>
    <t>Studies on the Preparation and Properties of Novel Scintillating Glasses Prepared by High Silica Porous Glass</t>
  </si>
  <si>
    <t xml:space="preserve">Research on the Application of 3D Simulation Technology for Metal Plastic Forming </t>
  </si>
  <si>
    <t>Sustainable Agricultural Development between the Kingdom of Thailand and  the Kingdom of Lesotho</t>
  </si>
  <si>
    <t>Swaziland</t>
  </si>
  <si>
    <t>การเพาะเห็ด</t>
  </si>
  <si>
    <t>Mozambique</t>
  </si>
  <si>
    <t>โครงการมหาวิทยาลัยสัมพันธ์</t>
  </si>
  <si>
    <t>Timor Leste</t>
  </si>
  <si>
    <t>โครงการความร่วมมือกับติมอร์ - เลสเต ด้านสาธารณสุข</t>
  </si>
  <si>
    <t>โครงการความร่วมมือกับติมอร์ - เลสเต ด้านการเกษตร-ประมง  (3ปี)</t>
  </si>
  <si>
    <t>โครงการจัดทำหมู่บ้านต้นแบบ ตามแนวทางเศรษฐกิจพอเพียง</t>
  </si>
  <si>
    <t>School under Her Royal Highness Princess Maha Chakri Sirindhorn Sponsorship to Contribute to Education for the Kingdom of Cambodia</t>
  </si>
  <si>
    <t xml:space="preserve">  - Social Development &amp; Welfare</t>
  </si>
  <si>
    <t xml:space="preserve">   - Brazil</t>
  </si>
  <si>
    <t xml:space="preserve">   - El Salvador</t>
  </si>
  <si>
    <t xml:space="preserve">   - Kyrgyzstan</t>
  </si>
  <si>
    <t xml:space="preserve">   - Paraguay</t>
  </si>
  <si>
    <t xml:space="preserve">   - Zimbabwe</t>
  </si>
  <si>
    <t xml:space="preserve">     - Namibia</t>
  </si>
  <si>
    <t>Bangladesh</t>
  </si>
  <si>
    <t>Afghanistan</t>
  </si>
  <si>
    <t>Indonesia</t>
  </si>
  <si>
    <t>China</t>
  </si>
  <si>
    <t xml:space="preserve">โครงการหลักสูตรพัฒนาบุคลากรจากอนุภูมิภาคลุ่มน้ำโขง GMS ว่าด้วยการป้องกันมาลาเรีย วัณโรค และ HIV/AIDs </t>
  </si>
  <si>
    <t>The Teaching Thai Language at the University of Social Sciences &amp; Humanities, VNU, Ho Chi Minh City</t>
  </si>
  <si>
    <t>* Unclassified Recipient Country</t>
  </si>
  <si>
    <t xml:space="preserve">Appendix I : Total Value of Thai International Cooperation Programme by type of Programme (TICP FY 2011)      </t>
  </si>
  <si>
    <t>Appropriate Technology and Local Wisdom in Agricultural Waste Recycling</t>
  </si>
  <si>
    <t>Sustainable Agriculture and Food Security</t>
  </si>
  <si>
    <t xml:space="preserve"> -  Social Development &amp; Welfare</t>
  </si>
  <si>
    <t>โครงการพัฒนาศักยภาพด้านการบำบัดรักษาและฟื้นฟูสมรรถภาพผู้ติดยาเสพติด</t>
  </si>
  <si>
    <t xml:space="preserve">โครงการส่งเสริมการปลูกข้าวโพดหวานและถั่วลิสง เพื่อผลิตเป็นสินค้าในแขวงเวียงจันทร์ </t>
  </si>
  <si>
    <t>โครงการเลี้ยงปลาในชนบท</t>
  </si>
  <si>
    <t>Buffalo Development in Myanmar</t>
  </si>
  <si>
    <t>Strengthening the National Capacity for the Production of Foot and Mouth Disease Vaccine</t>
  </si>
  <si>
    <t>โครงการพัฒนาศักยภาพโรงพยาบาลท่าขี้เหล็ก</t>
  </si>
  <si>
    <t>Collaboration Research and Development Project on Technology of Bioactive Compounds of Agricultural Industry Products</t>
  </si>
  <si>
    <t xml:space="preserve">Hybrid Maize Breeding and Dissemination for Drought Tolerance </t>
  </si>
  <si>
    <t>Immunostimulants Selected from Chinese and Thai Medicinal Herbs and Their Functional Mechanism in Grouper , Hainan Universitty</t>
  </si>
  <si>
    <t>The Conservation and Sustainable Utilization of Plants Diversity in Thailand and China</t>
  </si>
  <si>
    <t>Collaboration Project of Camellia Oil Tea Development in Thailand and China</t>
  </si>
  <si>
    <t xml:space="preserve">Research and Development on Vegetable Heterosis Application </t>
  </si>
  <si>
    <t xml:space="preserve">Treatment Diabetic by Acupunture </t>
  </si>
  <si>
    <t>Selective Isolation and Prephamaceutical Research on Novel and Rare Actinomycetes from Tropical Marine and Terrestrial Habitats</t>
  </si>
  <si>
    <t>Studies the Potential Effect of China and Thai Medicinal Plants on Stress and Muscle Performance</t>
  </si>
  <si>
    <t>Studies on the Correlation between the Nanocomplex / Nanoparticles Structure and Intestinal Absorption of Macromolecules</t>
  </si>
  <si>
    <t>Study Visit Traditional Chinese Medical College and Clinic</t>
  </si>
  <si>
    <t>Ethanol Production from Palm Oil Mill Residues</t>
  </si>
  <si>
    <t>The exchange of the Diagnostic and immune techniques for transboundary animal diseases</t>
  </si>
  <si>
    <t xml:space="preserve">Appendix III : Bilateral Programme (TICP FY 2011)                                                                                                                                              </t>
  </si>
  <si>
    <t xml:space="preserve"> - Social Development &amp; Welfare</t>
  </si>
  <si>
    <t>โครงการความร่วมมือด้านการป้องกันและแก้ไขปัญหายาเสพติด</t>
  </si>
  <si>
    <t>Maldives</t>
  </si>
  <si>
    <t>Development of Hydroponics Agriculture in the Maldives</t>
  </si>
  <si>
    <t>Burundi</t>
  </si>
  <si>
    <t>โครงการจัดตั้งโรงงานทำขาเทียมให้กับบุรุนดี</t>
  </si>
  <si>
    <t>Namibia</t>
  </si>
  <si>
    <t>โครงการความร่วมมือด้านอุดมศึกษากับนามิเบีย</t>
  </si>
  <si>
    <t>Food Security - Postharvest, Processing and Quality Assurance of Selected Agro - Industrial Products</t>
  </si>
  <si>
    <t>Bhutan (1), Cambodia (1), Costa Rica (1), El Salvador (1), Gambia (1), Indonesia (2), Kenya (1), Laos (1), Mexico (1), Myanmar (2), Nepal (2), Rwanda (1), Sri Lanka (1), Sudan (1), Thailand (1), Vietnam (1)</t>
  </si>
  <si>
    <t>Bangladesh (3), Ecuador (1), El Salvador (1), Jordan (3), Kenya (1), Madagascar (1), Malawi (2). Mongolia (1), Nepal (2), Panama (1), Senegal (2), Thailand (2)</t>
  </si>
  <si>
    <t>Cambodia (1), Chile (1), China (2), El Salvador (1), Fiji (1), Indonesia (1), Madagascar (2), Malawi (1), Malaysia (1), Mongolia (1), Nepal (2), Pakistan (1), Philippines (1), Sri Lanka (2), Thailand (2)</t>
  </si>
  <si>
    <t>Climate Change Adaptation</t>
  </si>
  <si>
    <t>Chile (1), Colombia (1), Costa Rica (1), Ethiopia (2), Fiji (1), Laos (1), Myanmar (1), Nepal (2), Pakistan (1), Philippines (2), Sri Lanka(2), Thailand (3), Uganda (1), Uzbekistan (1)</t>
  </si>
  <si>
    <t>Kenya (1), Nepal (2), Sri Lanka (2), Thailand (2), Vietnam (1)</t>
  </si>
  <si>
    <t xml:space="preserve">Environmental &amp; Health Risk Assesment &amp; Management of Toxic Chemicals </t>
  </si>
  <si>
    <t>Jordan (1), Kenya (1), Laos (1), Mongolia (1), Nepal (2), Pakistan (2), Philippines (1), Sri Lanka (1), Thailand (3), Timor Leste (2)</t>
  </si>
  <si>
    <t>Argentina (1), Bangladesh (1), Botswana (1), Costa Rica (1), El Salvador (1), Fiji (1), Kenya (1), Madagascar (1), Maldives (1), Nepal (1), Pakistan (1), Paraguay (1), Philippines (1), Sri Lanka (1), Thailand (2), Timor Leste (1), Uzbekistan (1), Vietnam (1)</t>
  </si>
  <si>
    <t>Community Health Management and Community Empowerment towards Healthy Community</t>
  </si>
  <si>
    <t>Cambodia (2), Jordan (1), Kenya (2), Madagascar (2), Maldives (2), Nepal (2), Pakistan (1), Philippines (1), Sri Lanka (2), Thailand (2), Uzbekistan (1)</t>
  </si>
  <si>
    <t>District Health System Strengthening</t>
  </si>
  <si>
    <t>Burkina Faso (1), Egypt (1), Kenya (1), Laos (1), Malawi (1), Mongolia (1), Nepal (1), Pakistan (1), Palau (1), Paraguay (1), Philippines (2), Rwanda (1), Sri Lanka (2), Sudan (1), Thailand (1), Uganda (1), Uzbekistan (1)</t>
  </si>
  <si>
    <t>Early Childhood Health Care Management</t>
  </si>
  <si>
    <t>Bhutan (1), Botswana (1), China (1), Egypt (2), Jordan (1), Kenya (1), Maldives (1), Myanmar (1), Nepal (1), Solomon Islands (2), Sri Lanka (1), Thailand (2), Timor Leste (1)</t>
  </si>
  <si>
    <t>Occupational and Environmental Medicine</t>
  </si>
  <si>
    <t>Afghanistan (1), Cambodia (1), Jordan (1), Kyrgyz (1), Laos (1), Sri Lanka (1), Thailand (2)</t>
  </si>
  <si>
    <t>Thailand Food and Nutrition Security</t>
  </si>
  <si>
    <t>Cook Islands (1), Costa Rica (1), Indonesia (1), Jordan (2), Laos (2), Madagascar (2), Pakistan (2), Sri Lanka (1), Sudan (2), Thailand (1), Uzbekistan (2)</t>
  </si>
  <si>
    <t>Principles of Toxicology, Toxicity Testing and Safety Evaluation</t>
  </si>
  <si>
    <t>Myanmar (10)</t>
  </si>
  <si>
    <t>Bangladesh (1), Indonesia (1), Jordan (1), Kenya (1), Madagascar (1), Morocco (1), Myanmar (1), Nepal (1), Pakistan (1), Peru (1), Sri Lanka (1), Swaziland (1), Thailand (2), Uganda (1)</t>
  </si>
  <si>
    <t xml:space="preserve">    - Gambia</t>
  </si>
  <si>
    <t xml:space="preserve">    - Argentina</t>
  </si>
  <si>
    <t xml:space="preserve">   - Cook Islands</t>
  </si>
  <si>
    <t xml:space="preserve">    - Cook Islands</t>
  </si>
  <si>
    <t xml:space="preserve">    - Costa Rica</t>
  </si>
  <si>
    <t xml:space="preserve">    - Ecuador</t>
  </si>
  <si>
    <t xml:space="preserve">    - El Salvador</t>
  </si>
  <si>
    <t xml:space="preserve">   - Ethiopia</t>
  </si>
  <si>
    <t xml:space="preserve">    - Ethiopia</t>
  </si>
  <si>
    <t xml:space="preserve">    - Malawi</t>
  </si>
  <si>
    <t xml:space="preserve">    - Mexico</t>
  </si>
  <si>
    <t xml:space="preserve">   - Palau</t>
  </si>
  <si>
    <t xml:space="preserve">    - Palau</t>
  </si>
  <si>
    <t xml:space="preserve">    - Panama</t>
  </si>
  <si>
    <t xml:space="preserve">    - Paraguay</t>
  </si>
  <si>
    <t>โครงการพัฒนาคณะพยาบาลศาสตร์ มหาวิทยาลัยวิทยาศาสตร์ สุขภาพ</t>
  </si>
  <si>
    <t>โครงการพัฒนาหลักสูตรการสอนภาษาไทย ณ ม. พนมเปญ</t>
  </si>
  <si>
    <t>5. OTHERS</t>
  </si>
  <si>
    <t>4. SOUTH ASIA</t>
  </si>
  <si>
    <t>ADB</t>
  </si>
  <si>
    <t>Trade Facilitation and Logistics Development in the GMS</t>
  </si>
  <si>
    <t>Cambodia (3), China (4), Laos (5). Myanmar (4), Thailand (6), Vietnam (3)</t>
  </si>
  <si>
    <t>IAI</t>
  </si>
  <si>
    <t>โครงการจัดตั้งโรงงานผลิตขาเทียม</t>
  </si>
  <si>
    <t>โครงการพัฒนาศักยภาพการป้องกันโรคติดต่อของบุคลากรสุขภาพจาก สปป.ลาว อย่างมีส่วนร่วม</t>
  </si>
  <si>
    <t>โครงการความร่วมมือในการพัฒนาคุณภาพชีวิตเด็กและเยาวชนในกลุ่มประเทศเอเซียแปซิฟิก ตามพระราชดำริสมเด็จพระเทพฯ</t>
  </si>
  <si>
    <t>Other</t>
  </si>
  <si>
    <t>โครงการพัฒนาวิสาหกิจชุมชนอัฟกัน จังหวัดบัลคห์ อัฟกานิสถาน โดยมูลนิธิแม่ฟ้าหลวง</t>
  </si>
  <si>
    <t>โครงการการพัฒนาทางเลือกที่ยั่งยืน โดยมูลนิธิแม่ฟ้าหลวง</t>
  </si>
  <si>
    <t>โครงการเผยแพร่แนวทางการพัฒนาทางเลือกที่ยั่งยืนในระดับนานานชาติ โดยมูลนิธิแม่ฟ้าหลวง</t>
  </si>
  <si>
    <t>โครงการพระราชดำริเพื่อร่วมมือและแลกเปลี่ยนประสบการณ์ด้านวิชาการกับต่างประเทศ</t>
  </si>
  <si>
    <t>โครงการพัฒนาทางเลือกที่ยั่งยืน จังหวัดอาเจะห์ โดยมูลนิธิแม่ฟ้าหลวง</t>
  </si>
  <si>
    <t xml:space="preserve">     - Argentina</t>
  </si>
  <si>
    <t xml:space="preserve">     - Belize</t>
  </si>
  <si>
    <t xml:space="preserve">     - Brazil</t>
  </si>
  <si>
    <t xml:space="preserve">     - Burundi</t>
  </si>
  <si>
    <t xml:space="preserve">     - Chile</t>
  </si>
  <si>
    <t xml:space="preserve">     - El Salvador</t>
  </si>
  <si>
    <t xml:space="preserve">     - Gambia</t>
  </si>
  <si>
    <t xml:space="preserve">     - Ghana</t>
  </si>
  <si>
    <t xml:space="preserve">     - Hondurus</t>
  </si>
  <si>
    <t xml:space="preserve">     - Israel</t>
  </si>
  <si>
    <t xml:space="preserve">     -  Kenya</t>
  </si>
  <si>
    <t xml:space="preserve">     -  Lesotho</t>
  </si>
  <si>
    <t xml:space="preserve">     -  Madagascar</t>
  </si>
  <si>
    <t xml:space="preserve">     - Maldives</t>
  </si>
  <si>
    <t xml:space="preserve">     - Mexico</t>
  </si>
  <si>
    <t xml:space="preserve">     -  Mozambique</t>
  </si>
  <si>
    <t xml:space="preserve">     - Nepal</t>
  </si>
  <si>
    <t xml:space="preserve">     -  Panama</t>
  </si>
  <si>
    <t xml:space="preserve">     -  Paraguay</t>
  </si>
  <si>
    <t xml:space="preserve">     -  Peru</t>
  </si>
  <si>
    <t xml:space="preserve">     - Senegal</t>
  </si>
  <si>
    <t xml:space="preserve">     - Sri Lanka</t>
  </si>
  <si>
    <t xml:space="preserve">     - Sudan</t>
  </si>
  <si>
    <t xml:space="preserve">     - Swaziland</t>
  </si>
  <si>
    <t xml:space="preserve">     - Tajikistan</t>
  </si>
  <si>
    <t xml:space="preserve">     - Tanzania</t>
  </si>
  <si>
    <t xml:space="preserve">2. SOUTHEAST ASIA </t>
  </si>
  <si>
    <t xml:space="preserve">     - Trinidad and Tobago</t>
  </si>
  <si>
    <t xml:space="preserve">     - Uruguay</t>
  </si>
  <si>
    <t xml:space="preserve">     - Venezuela</t>
  </si>
  <si>
    <t>4. AFRICA</t>
  </si>
  <si>
    <t>5. CIS</t>
  </si>
  <si>
    <t>6. LATIN AMERICA</t>
  </si>
  <si>
    <t xml:space="preserve">    - Kyrgyzstan</t>
  </si>
  <si>
    <t xml:space="preserve">    - Brazil</t>
  </si>
  <si>
    <t xml:space="preserve">    - Bukina Faso</t>
  </si>
  <si>
    <t xml:space="preserve">    - Mozambique</t>
  </si>
  <si>
    <t xml:space="preserve">    - Mali</t>
  </si>
  <si>
    <t xml:space="preserve">    - Seychelles</t>
  </si>
  <si>
    <t>7. LATIN AMERICA</t>
  </si>
  <si>
    <t>CPS</t>
  </si>
  <si>
    <t>Beyond Climate Change Impacts on Water Resources, Biodiversify : Communication the Role of Society</t>
  </si>
  <si>
    <t>Industrial Ecology and Environment</t>
  </si>
  <si>
    <t>Bangladesh (2), Bhutan (1), Fiji (1), Malaysia (2), Myanmar (2), Nepal (1), Pakistan (2), Sri Lanka (2), Thailand (1)</t>
  </si>
  <si>
    <t>Afghanistan (2), Bangladesh (1), Fiji (1), Indonesia (1), Laos (1), Malaysia (1), Nepal (1), Pakistan (2), Sri Lanka (1), Thailand (1)</t>
  </si>
  <si>
    <t>Environmental Health and Food Safety</t>
  </si>
  <si>
    <t>Afghanistan (1), Bhutan (2), Indonesia (1), Malaysia (1), Maldives (1), Nepal (2), Pakistan (2), Philippines (1), Sri Lanka (2), Thailand (2)</t>
  </si>
  <si>
    <t>CSEP</t>
  </si>
  <si>
    <t>English for Manager and Administrators</t>
  </si>
  <si>
    <t>Myanmar (5)</t>
  </si>
  <si>
    <t>Laos (5)</t>
  </si>
  <si>
    <t>Integrated Water Resource Management and Climate Change Adaptation</t>
  </si>
  <si>
    <t>Indonesia (2), Laos (4), Myanmar (1), Singapore (2), Thailand (3), Timor Leste (4)</t>
  </si>
  <si>
    <t>Sustainable Development and Environmental Management</t>
  </si>
  <si>
    <t>Cambodia (2), Indonesia (2), Laos (2), Malaysia (2), Philippines(1), Vietnam(2)</t>
  </si>
  <si>
    <t>Development Strategies for SMEs in Cambodia</t>
  </si>
  <si>
    <t>Cambodia (5)</t>
  </si>
  <si>
    <t>Consultancy Service on Posaa Procession Plant Feasibility Study in Xayaboury Province</t>
  </si>
  <si>
    <t>Laos (3)</t>
  </si>
  <si>
    <t>Improving Harvesting Techniques by Thai Experts</t>
  </si>
  <si>
    <t>Study Mission in Thailand Result Chain : Quality Improvement</t>
  </si>
  <si>
    <t>Failure Analysis</t>
  </si>
  <si>
    <t>Failure Analysis concerning Corrosion &amp; Boiler Water Chemistry</t>
  </si>
  <si>
    <t>Improved Competence in Fracture Surface and Mapping Analysis</t>
  </si>
  <si>
    <t xml:space="preserve">Study of Failure Cases concerning  Welding / Forming </t>
  </si>
  <si>
    <t>Upgrading Training Course of SEM-EDX Analysis</t>
  </si>
  <si>
    <t>Vietnam (2)</t>
  </si>
  <si>
    <t xml:space="preserve">Improvement of COMFA'S Management Competence </t>
  </si>
  <si>
    <t>Cambodia (3)</t>
  </si>
  <si>
    <t>Joint Mission on Rural Sanitation Improvement and Hygience Promotion</t>
  </si>
  <si>
    <t>Myanmar (0)</t>
  </si>
  <si>
    <t>Laos (0)</t>
  </si>
  <si>
    <t>Bangladesh (2), Cambodia (3), Laos (3), Vietnam (6)</t>
  </si>
  <si>
    <t>Bangladesh (3), Brazil (1), Cambodia (6), Ethiopia (1), Iran (1), Laos (12), Myanmar (1), Nepal(1), Nigeria (1), Vietnam (1)</t>
  </si>
  <si>
    <t>Cambodia (5), Ethiopia (1), Indonesia (1), Laos (8), Nepal (2), Vietnam (10)</t>
  </si>
  <si>
    <t>Cambodia (2), Ethiopia (1), Guatemala (1), Jordan (2), Laos( 3), Mongolia (2), Seychelles (1), Vietnam (8)</t>
  </si>
  <si>
    <t>Instructor Training Course No.1</t>
  </si>
  <si>
    <t>Instructor Training Course No.2</t>
  </si>
  <si>
    <t>Cambodia (3), Ethiopia (1), Laos (4), Nepal (1), Tanzania (1), Vietnam (10)</t>
  </si>
  <si>
    <t>Performance Based Navigation Course No. 1</t>
  </si>
  <si>
    <t>Cambodia (3), Ethiopia (1), Jordan (1), Kenya (1), Laos (2), Myanmar (1), Nepal (2), Vietnam (7)</t>
  </si>
  <si>
    <t>Performance Based Navigation Course No. 2</t>
  </si>
  <si>
    <t>Bangladesh (2), Cambodia (3), Iran (1), Kenya (1), Laos (6), Mauritius (1), Mongolia (1), Myanmar (1), Nigeria (4), Seychelles (2), Vietnam (8)</t>
  </si>
  <si>
    <t>Bangladesh (2), Bhutan (4), Botswana (1), Cambodia (6), Iran (1), Jordan (1), Kenya (1), Laos (3), Morocco (2), Myanmar (1), Nigeria (4), Philippines (4), Seychelles (2), Uganda (1), Vietnam (6)</t>
  </si>
  <si>
    <t>Isarel</t>
  </si>
  <si>
    <t>Estimated Budget for Postharvest Management</t>
  </si>
  <si>
    <t>International Training of Reforestation and Extension Techniques for Forester Phase II</t>
  </si>
  <si>
    <t>Cambodia (4), China (2), Laos (4), Myanmar (4), Thailand (6), Vietnam (3)</t>
  </si>
  <si>
    <t>Training of the Trainers on Food Processing Phase II</t>
  </si>
  <si>
    <t xml:space="preserve">Indonesia (4), Laos (2), Myanmar (4), Philippines (5), Thailand (1), Vietnam (4) </t>
  </si>
  <si>
    <t>Cambodia (4), Indonesia (2), Laos (2), Myanmar (4), Thailand (3), Vietnam (3)</t>
  </si>
  <si>
    <t>Third Country Training Programme on Power Distribution System Design</t>
  </si>
  <si>
    <t>Laos (5), Myanmar (7), Thailand (5), Vietnam (6)</t>
  </si>
  <si>
    <t>Strengthening of Measurement Standards Institutes of Asia Pacific Countries</t>
  </si>
  <si>
    <t>Bangladesh (1), Cambodia (2), Indonesia (2), Laos(3), Malaysia (1), Mongolia (2), Myanmar (3), Pakistan (1), Sri Lanka (2), Vietnam (2)</t>
  </si>
  <si>
    <t xml:space="preserve">Environmental Impact Assessment </t>
  </si>
  <si>
    <t>Laos (4), Myanmar (4), Thailand (2), Vietnam (3)</t>
  </si>
  <si>
    <t>Training on Design, Operation and Management of Decentralized Wastewater Treatment System</t>
  </si>
  <si>
    <t>Laos (5), Myanmar (5), Thailand (4), Vietnam (6)</t>
  </si>
  <si>
    <t xml:space="preserve">Public Administration </t>
  </si>
  <si>
    <t>Management of Water Supply Business</t>
  </si>
  <si>
    <t>Cambodia (5), Laos (6), Myanmar (5), Thailand (4), Vietnam (3)</t>
  </si>
  <si>
    <t>Malaria Prevention and Control for Africa</t>
  </si>
  <si>
    <t>Burkina Faso (3), Gambia (2), Kenya (2), Mali (1), Mozambique (3), Senegal (3), Thailand (1), Zimbabwe (3)</t>
  </si>
  <si>
    <t xml:space="preserve">STIs Case Management Skills </t>
  </si>
  <si>
    <t>Kenya (5), Tanzania (3), Thailand (4), Uganda (3), Zambia (4)</t>
  </si>
  <si>
    <t>Capacity Building Workshop on the Return, Repatriation and Reintegration of Trafficked Persons in CLMV</t>
  </si>
  <si>
    <t>Cambodia (3), Laos (2), Myanmar (4), Thailand (1), Vietnam (5)</t>
  </si>
  <si>
    <t>Capacity Building Workshop on the Return, Repatriation and Reintegration of Trafficked Persons in CLMV ปีที่ 2</t>
  </si>
  <si>
    <t>Cambodia (4), Laos (7), Myanmar (4), Thailand (3), Vietnam (5)</t>
  </si>
  <si>
    <t>Bangladesh (2), Bhutan (2), Indonesia (1), Laos (3), Myanmar (2), Nepal (2), Philippines (2), Sri Lanka (3), Thailand (2), Vietnam (1)</t>
  </si>
  <si>
    <t>Learning Exchange on Sexuality Education in Schools : A Way Forward a First in a Series of the Dialogue Forum for Strategic</t>
  </si>
  <si>
    <t xml:space="preserve">Bhutan (3), Cambodia (4), Indonesia (4), Philippines (2), Thailand (3), Vietnam (4) </t>
  </si>
  <si>
    <t xml:space="preserve">Strengthening Institutional Capacity on Safe Motherhood Programme </t>
  </si>
  <si>
    <t>Bhutan (4), Laos (4), Thailand (5)</t>
  </si>
  <si>
    <t>Comprehensive Pediatric HIV/AIDs Care Management</t>
  </si>
  <si>
    <t>Nepal (4), Philippines (1), Sri Lanka (4), Thailand (1)</t>
  </si>
  <si>
    <t>Mongolia (2), Myanmar (2), Nepal (1), Thailand (1), Timor Leste (2)</t>
  </si>
  <si>
    <t xml:space="preserve">   - Belize</t>
  </si>
  <si>
    <t xml:space="preserve">   - Hondurus</t>
  </si>
  <si>
    <t xml:space="preserve">   - Israel</t>
  </si>
  <si>
    <t>8. OTHERS**</t>
  </si>
  <si>
    <t>Fellowship (IR)</t>
  </si>
  <si>
    <t xml:space="preserve">Appendix V : Project under Bilateral Programme (TICP FY 2011)                                                                                                                            </t>
  </si>
  <si>
    <t xml:space="preserve">Appendix VI : Expert/Mission under Non - Project (TICP FY 2011)                                                                     </t>
  </si>
  <si>
    <t xml:space="preserve">Appendix VII : Fellowship under TIPP Programme (TICP FY 2011)                                                                                                                                    </t>
  </si>
  <si>
    <t xml:space="preserve">Appendix VIII : Technical Cooperation among Developing Countries Programmes for Fellowships (TICP FY 2011)                                                                                                                                    </t>
  </si>
  <si>
    <t xml:space="preserve">Appendix IX  : Technical Cooperation among Developing Countries Programmes for Joint Research Projects (TICP FY 2011)                                                                                                                                    </t>
  </si>
  <si>
    <t xml:space="preserve">Appendix X : Annual International Training Courses Programme (TICP FY 2011)                                                                                                                                     </t>
  </si>
  <si>
    <t>Appendix XI : Annual International Training Courses (TICP FY 2011 )</t>
  </si>
  <si>
    <t>Appendix XIII : Trilateral and Regional Cooperation Programme (TICP FY 2011 )</t>
  </si>
  <si>
    <r>
      <t>No.</t>
    </r>
    <r>
      <rPr>
        <b/>
        <vertAlign val="superscript"/>
        <sz val="14"/>
        <rFont val="Cordia New"/>
        <family val="2"/>
      </rPr>
      <t>***</t>
    </r>
  </si>
  <si>
    <t xml:space="preserve">2. Southeast Asia </t>
  </si>
  <si>
    <t xml:space="preserve">Equipment and Others under Non - Project (TICP FY 2011)                                                                                                     </t>
  </si>
  <si>
    <t xml:space="preserve">   - Mali</t>
  </si>
  <si>
    <t xml:space="preserve">   - Seychelles</t>
  </si>
  <si>
    <t xml:space="preserve">   - Guatemala</t>
  </si>
  <si>
    <t>9. OTHERS****</t>
  </si>
  <si>
    <t xml:space="preserve">    - Nigeria</t>
  </si>
  <si>
    <t>Cambodia (1), China (5), Laos (3), Myanmar (5), Vietnam (5)</t>
  </si>
  <si>
    <t>๑. ประเทศเพื่อนบ้าน ๔ ประเทศ</t>
  </si>
  <si>
    <t>Appendix XIV : Fellowship/Expert under Cooperation Framework (TICP FY 2011)</t>
  </si>
  <si>
    <t xml:space="preserve">Appendix XV : Project under Cooperation Framework (TICP FY 2011)                                                                                                                            </t>
  </si>
  <si>
    <t>The Joint Fellowship Programme for Doctoral Students under the Royal Golden Jubilee Programme/ Tropical Agriculture(Agronomy)</t>
  </si>
  <si>
    <t>The Joint Fellowship Programme for Doctoral Students under the Royal Golden Jubilee Programme/ Biomedical Science</t>
  </si>
  <si>
    <t>The Joint Fellowship Programme for Doctoral Students under the Royal Golden Jubilee Programme/ สาธารณสุขศาสตร์</t>
  </si>
  <si>
    <t>The Joint Fellowship Programme for Doctoral Students under the Royal Golden Jubilee Programme/ Biotechnology</t>
  </si>
  <si>
    <t>The Joint Fellowship Programme for Doctoral Students under the Royal Golden Jubilee Programme/ Inorganic Chemistry</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</si>
</sst>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t&quot;$&quot;#,##0_);\(\t&quot;$&quot;#,##0\)"/>
    <numFmt numFmtId="200" formatCode="\t&quot;$&quot;#,##0_);[Red]\(\t&quot;$&quot;#,##0\)"/>
    <numFmt numFmtId="201" formatCode="\t&quot;$&quot;#,##0.00_);\(\t&quot;$&quot;#,##0.00\)"/>
    <numFmt numFmtId="202" formatCode="\t&quot;$&quot;#,##0.00_);[Red]\(\t&quot;$&quot;#,##0.00\)"/>
    <numFmt numFmtId="203" formatCode="\t&quot;฿&quot;#,##0_);\(\t&quot;฿&quot;#,##0\)"/>
    <numFmt numFmtId="204" formatCode="\t&quot;฿&quot;#,##0_);[Red]\(\t&quot;฿&quot;#,##0\)"/>
    <numFmt numFmtId="205" formatCode="\t&quot;฿&quot;#,##0.00_);\(\t&quot;฿&quot;#,##0.00\)"/>
    <numFmt numFmtId="206" formatCode="\t&quot;฿&quot;#,##0.00_);[Red]\(\t&quot;฿&quot;#,##0.00\)"/>
    <numFmt numFmtId="207" formatCode="&quot;£&quot;#,##0;\-&quot;£&quot;#,##0"/>
    <numFmt numFmtId="208" formatCode="&quot;£&quot;#,##0;[Red]\-&quot;£&quot;#,##0"/>
    <numFmt numFmtId="209" formatCode="&quot;£&quot;#,##0.00;\-&quot;£&quot;#,##0.00"/>
    <numFmt numFmtId="210" formatCode="&quot;£&quot;#,##0.00;[Red]\-&quot;£&quot;#,##0.00"/>
    <numFmt numFmtId="211" formatCode="_-&quot;£&quot;* #,##0_-;\-&quot;£&quot;* #,##0_-;_-&quot;£&quot;* &quot;-&quot;_-;_-@_-"/>
    <numFmt numFmtId="212" formatCode="_-&quot;£&quot;* #,##0.00_-;\-&quot;£&quot;* #,##0.00_-;_-&quot;£&quot;* &quot;-&quot;??_-;_-@_-"/>
    <numFmt numFmtId="213" formatCode="\t&quot;£&quot;#,##0_);\(\t&quot;£&quot;#,##0\)"/>
    <numFmt numFmtId="214" formatCode="\t&quot;£&quot;#,##0_);[Red]\(\t&quot;£&quot;#,##0\)"/>
    <numFmt numFmtId="215" formatCode="\t&quot;£&quot;#,##0.00_);\(\t&quot;£&quot;#,##0.00\)"/>
    <numFmt numFmtId="216" formatCode="\t&quot;£&quot;#,##0.00_);[Red]\(\t&quot;£&quot;#,##0.00\)"/>
    <numFmt numFmtId="217" formatCode="_-* #,##0.0_-;\-* #,##0.0_-;_-* &quot;-&quot;??_-;_-@_-"/>
    <numFmt numFmtId="218" formatCode="_-* #,##0_-;\-* #,##0_-;_-* &quot;-&quot;??_-;_-@_-"/>
    <numFmt numFmtId="219" formatCode="0.0"/>
    <numFmt numFmtId="220" formatCode="_-* #,##0.000_-;\-* #,##0.000_-;_-* &quot;-&quot;??_-;_-@_-"/>
    <numFmt numFmtId="221" formatCode="_-* #,##0.0000_-;\-* #,##0.0000_-;_-* &quot;-&quot;??_-;_-@_-"/>
    <numFmt numFmtId="222" formatCode="_-* #,##0.0_-;\-* #,##0.0_-;_-* &quot;-&quot;?_-;_-@_-"/>
    <numFmt numFmtId="223" formatCode="#,##0.0"/>
    <numFmt numFmtId="224" formatCode="&quot;Yes&quot;;&quot;Yes&quot;;&quot;No&quot;"/>
    <numFmt numFmtId="225" formatCode="&quot;True&quot;;&quot;True&quot;;&quot;False&quot;"/>
    <numFmt numFmtId="226" formatCode="&quot;On&quot;;&quot;On&quot;;&quot;Off&quot;"/>
    <numFmt numFmtId="227" formatCode="[$€-2]\ #,##0.00_);[Red]\([$€-2]\ #,##0.00\)"/>
    <numFmt numFmtId="228" formatCode="_(* #,##0.000_);_(* \(#,##0.000\);_(* &quot;-&quot;??_);_(@_)"/>
    <numFmt numFmtId="229" formatCode="_(* #,##0.0_);_(* \(#,##0.0\);_(* &quot;-&quot;??_);_(@_)"/>
    <numFmt numFmtId="230" formatCode="_(* #,##0_);_(* \(#,##0\);_(* &quot;-&quot;??_);_(@_)"/>
    <numFmt numFmtId="231" formatCode="_(* #,##0.0000_);_(* \(#,##0.0000\);_(* &quot;-&quot;??_);_(@_)"/>
    <numFmt numFmtId="232" formatCode="[$-409]dd\ mmmm\,\ yyyy"/>
    <numFmt numFmtId="233" formatCode="dddd\,\ mmmm\ dd\,\ yyyy"/>
    <numFmt numFmtId="234" formatCode="&quot;$&quot;#,##0.00;\(&quot;$&quot;#,##0.00\)"/>
    <numFmt numFmtId="235" formatCode="#,##0.00;[Red]#,##0.00"/>
    <numFmt numFmtId="236" formatCode="_(* #,##0.00000_);_(* \(#,##0.00000\);_(* &quot;-&quot;??_);_(@_)"/>
    <numFmt numFmtId="237" formatCode="[$-409]dddd\,\ mmmm\ dd\,\ yyyy"/>
    <numFmt numFmtId="238" formatCode="[$-409]d\-mmm\-yy;@"/>
    <numFmt numFmtId="239" formatCode="0.000"/>
    <numFmt numFmtId="240" formatCode="_(* #,##0.0_);_(* \(#,##0.0\);_(* &quot;-&quot;?_);_(@_)"/>
    <numFmt numFmtId="241" formatCode="0.00000"/>
    <numFmt numFmtId="242" formatCode="0.0000"/>
    <numFmt numFmtId="243" formatCode="0.000000"/>
    <numFmt numFmtId="244" formatCode="#,##0.00;\(#,##0.00\)"/>
    <numFmt numFmtId="245" formatCode="d/mm/yy"/>
    <numFmt numFmtId="246" formatCode="[$-409]h:mm:ss\ AM/PM"/>
  </numFmts>
  <fonts count="74">
    <font>
      <sz val="10"/>
      <name val="Arial"/>
      <family val="0"/>
    </font>
    <font>
      <sz val="8"/>
      <name val="Arial"/>
      <family val="0"/>
    </font>
    <font>
      <u val="single"/>
      <sz val="10"/>
      <color indexed="36"/>
      <name val="Arial"/>
      <family val="0"/>
    </font>
    <font>
      <u val="single"/>
      <sz val="10"/>
      <color indexed="12"/>
      <name val="Arial"/>
      <family val="0"/>
    </font>
    <font>
      <sz val="14"/>
      <name val="Cordia New"/>
      <family val="0"/>
    </font>
    <font>
      <b/>
      <sz val="14"/>
      <name val="Cordia New"/>
      <family val="2"/>
    </font>
    <font>
      <b/>
      <sz val="10"/>
      <name val="Cordia New"/>
      <family val="2"/>
    </font>
    <font>
      <b/>
      <sz val="12"/>
      <name val="Cordia New"/>
      <family val="2"/>
    </font>
    <font>
      <b/>
      <sz val="10"/>
      <name val="Arial"/>
      <family val="2"/>
    </font>
    <font>
      <b/>
      <sz val="9"/>
      <name val="Arial"/>
      <family val="2"/>
    </font>
    <font>
      <sz val="12"/>
      <name val="Cordia New"/>
      <family val="2"/>
    </font>
    <font>
      <b/>
      <sz val="13.5"/>
      <name val="Cordia New"/>
      <family val="2"/>
    </font>
    <font>
      <sz val="10"/>
      <name val="Cordia New"/>
      <family val="2"/>
    </font>
    <font>
      <sz val="13"/>
      <name val="Cordia New"/>
      <family val="2"/>
    </font>
    <font>
      <b/>
      <sz val="11"/>
      <name val="Cordia New"/>
      <family val="2"/>
    </font>
    <font>
      <sz val="14"/>
      <name val="Arial"/>
      <family val="0"/>
    </font>
    <font>
      <b/>
      <sz val="13"/>
      <name val="Cordia New"/>
      <family val="2"/>
    </font>
    <font>
      <b/>
      <sz val="8"/>
      <name val="Comic Sans MS"/>
      <family val="4"/>
    </font>
    <font>
      <sz val="8"/>
      <name val="Comic Sans MS"/>
      <family val="4"/>
    </font>
    <font>
      <b/>
      <sz val="16"/>
      <name val="Cordia New"/>
      <family val="2"/>
    </font>
    <font>
      <b/>
      <sz val="9"/>
      <name val="Arial Narrow"/>
      <family val="2"/>
    </font>
    <font>
      <b/>
      <sz val="8"/>
      <name val="Arial Narrow"/>
      <family val="2"/>
    </font>
    <font>
      <b/>
      <sz val="12"/>
      <color indexed="10"/>
      <name val="Cordia New"/>
      <family val="2"/>
    </font>
    <font>
      <sz val="9"/>
      <name val="Arial"/>
      <family val="0"/>
    </font>
    <font>
      <sz val="13"/>
      <name val="Arial"/>
      <family val="0"/>
    </font>
    <font>
      <sz val="12"/>
      <name val="Arial"/>
      <family val="0"/>
    </font>
    <font>
      <sz val="13.5"/>
      <name val="Cordia New"/>
      <family val="2"/>
    </font>
    <font>
      <sz val="13.5"/>
      <name val="Arial"/>
      <family val="0"/>
    </font>
    <font>
      <b/>
      <sz val="8"/>
      <name val="Arial"/>
      <family val="2"/>
    </font>
    <font>
      <b/>
      <sz val="15"/>
      <name val="Cordia New"/>
      <family val="2"/>
    </font>
    <font>
      <sz val="15"/>
      <name val="Cordia New"/>
      <family val="2"/>
    </font>
    <font>
      <sz val="16"/>
      <name val="Arial"/>
      <family val="0"/>
    </font>
    <font>
      <b/>
      <sz val="13.5"/>
      <color indexed="10"/>
      <name val="Cordia New"/>
      <family val="2"/>
    </font>
    <font>
      <sz val="8"/>
      <color indexed="45"/>
      <name val="Arial"/>
      <family val="0"/>
    </font>
    <font>
      <b/>
      <sz val="14"/>
      <color indexed="10"/>
      <name val="Cordia New"/>
      <family val="2"/>
    </font>
    <font>
      <sz val="10"/>
      <color indexed="10"/>
      <name val="Arial"/>
      <family val="0"/>
    </font>
    <font>
      <b/>
      <sz val="13.5"/>
      <color indexed="8"/>
      <name val="Cordia New"/>
      <family val="2"/>
    </font>
    <font>
      <sz val="13.5"/>
      <color indexed="8"/>
      <name val="Cordia New"/>
      <family val="2"/>
    </font>
    <font>
      <b/>
      <sz val="14"/>
      <name val="Arial"/>
      <family val="0"/>
    </font>
    <font>
      <b/>
      <vertAlign val="superscript"/>
      <sz val="14"/>
      <name val="Cordia New"/>
      <family val="2"/>
    </font>
    <font>
      <b/>
      <sz val="18"/>
      <color indexed="56"/>
      <name val="Tahoma"/>
      <family val="2"/>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hair"/>
      <bottom style="medium"/>
    </border>
    <border>
      <left>
        <color indexed="63"/>
      </left>
      <right>
        <color indexed="63"/>
      </right>
      <top style="hair"/>
      <bottom style="hair"/>
    </border>
    <border>
      <left>
        <color indexed="63"/>
      </left>
      <right>
        <color indexed="63"/>
      </right>
      <top style="medium"/>
      <bottom style="thin"/>
    </border>
    <border>
      <left>
        <color indexed="63"/>
      </left>
      <right>
        <color indexed="63"/>
      </right>
      <top style="hair"/>
      <bottom style="thin"/>
    </border>
    <border>
      <left style="hair"/>
      <right>
        <color indexed="63"/>
      </right>
      <top>
        <color indexed="63"/>
      </top>
      <bottom>
        <color indexed="63"/>
      </bottom>
    </border>
    <border>
      <left style="hair"/>
      <right>
        <color indexed="63"/>
      </right>
      <top>
        <color indexed="63"/>
      </top>
      <bottom style="hair"/>
    </border>
    <border>
      <left style="hair"/>
      <right>
        <color indexed="63"/>
      </right>
      <top style="medium"/>
      <bottom style="medium"/>
    </border>
    <border>
      <left>
        <color indexed="63"/>
      </left>
      <right style="hair"/>
      <top>
        <color indexed="63"/>
      </top>
      <bottom>
        <color indexed="63"/>
      </bottom>
    </border>
    <border>
      <left>
        <color indexed="63"/>
      </left>
      <right style="hair"/>
      <top>
        <color indexed="63"/>
      </top>
      <bottom style="hair"/>
    </border>
    <border>
      <left>
        <color indexed="63"/>
      </left>
      <right style="hair"/>
      <top style="medium"/>
      <bottom style="medium"/>
    </border>
    <border>
      <left>
        <color indexed="63"/>
      </left>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style="hair"/>
      <top style="thin"/>
      <bottom style="medium"/>
    </border>
    <border>
      <left>
        <color indexed="63"/>
      </left>
      <right style="hair"/>
      <top style="medium"/>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hair"/>
      <top>
        <color indexed="63"/>
      </top>
      <bottom style="medium"/>
    </border>
    <border>
      <left style="hair"/>
      <right style="hair"/>
      <top style="hair"/>
      <bottom style="hair"/>
    </border>
    <border>
      <left style="hair"/>
      <right style="hair"/>
      <top style="hair"/>
      <bottom style="medium"/>
    </border>
    <border>
      <left style="hair"/>
      <right>
        <color indexed="63"/>
      </right>
      <top style="hair"/>
      <bottom style="medium"/>
    </border>
    <border>
      <left>
        <color indexed="63"/>
      </left>
      <right style="hair"/>
      <top style="hair"/>
      <bottom style="medium"/>
    </border>
    <border>
      <left style="hair"/>
      <right>
        <color indexed="63"/>
      </right>
      <top>
        <color indexed="63"/>
      </top>
      <bottom style="thin"/>
    </border>
    <border>
      <left>
        <color indexed="63"/>
      </left>
      <right>
        <color indexed="63"/>
      </right>
      <top>
        <color indexed="63"/>
      </top>
      <bottom style="thin"/>
    </border>
    <border>
      <left style="hair"/>
      <right>
        <color indexed="63"/>
      </right>
      <top style="medium"/>
      <bottom style="thin"/>
    </border>
    <border>
      <left>
        <color indexed="63"/>
      </left>
      <right style="hair"/>
      <top style="medium"/>
      <bottom style="thin"/>
    </border>
    <border>
      <left>
        <color indexed="63"/>
      </left>
      <right style="hair"/>
      <top>
        <color indexed="63"/>
      </top>
      <bottom style="thin"/>
    </border>
    <border>
      <left style="hair"/>
      <right>
        <color indexed="63"/>
      </right>
      <top style="medium"/>
      <bottom>
        <color indexed="63"/>
      </bottom>
    </border>
    <border>
      <left style="hair"/>
      <right style="hair"/>
      <top style="medium"/>
      <bottom style="medium"/>
    </border>
    <border>
      <left style="hair"/>
      <right style="hair"/>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3"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0" fillId="0" borderId="0">
      <alignment/>
      <protection/>
    </xf>
  </cellStyleXfs>
  <cellXfs count="1311">
    <xf numFmtId="0" fontId="0" fillId="0" borderId="0" xfId="0" applyAlignment="1">
      <alignment/>
    </xf>
    <xf numFmtId="0" fontId="5" fillId="0" borderId="0" xfId="61" applyFont="1" applyAlignment="1">
      <alignment vertical="center"/>
      <protection/>
    </xf>
    <xf numFmtId="0" fontId="6" fillId="0" borderId="0" xfId="61" applyFont="1" applyAlignment="1">
      <alignment horizontal="center"/>
      <protection/>
    </xf>
    <xf numFmtId="0" fontId="6" fillId="0" borderId="0" xfId="61" applyFont="1">
      <alignment/>
      <protection/>
    </xf>
    <xf numFmtId="218" fontId="6" fillId="0" borderId="0" xfId="45" applyNumberFormat="1" applyFont="1" applyAlignment="1">
      <alignment horizontal="center"/>
    </xf>
    <xf numFmtId="218" fontId="6" fillId="0" borderId="0" xfId="45" applyNumberFormat="1" applyFont="1" applyAlignment="1">
      <alignment/>
    </xf>
    <xf numFmtId="0" fontId="4" fillId="0" borderId="0" xfId="61">
      <alignment/>
      <protection/>
    </xf>
    <xf numFmtId="0" fontId="9" fillId="0" borderId="10" xfId="61" applyFont="1" applyBorder="1" applyAlignment="1">
      <alignment horizontal="center" vertical="center"/>
      <protection/>
    </xf>
    <xf numFmtId="217" fontId="10" fillId="0" borderId="0" xfId="45" applyNumberFormat="1" applyFont="1" applyAlignment="1">
      <alignment/>
    </xf>
    <xf numFmtId="0" fontId="10" fillId="0" borderId="0" xfId="61" applyFont="1">
      <alignment/>
      <protection/>
    </xf>
    <xf numFmtId="0" fontId="5" fillId="0" borderId="0" xfId="61" applyFont="1" applyBorder="1">
      <alignment/>
      <protection/>
    </xf>
    <xf numFmtId="0" fontId="7" fillId="0" borderId="0" xfId="61" applyFont="1" applyBorder="1">
      <alignment/>
      <protection/>
    </xf>
    <xf numFmtId="0" fontId="11" fillId="0" borderId="0" xfId="61" applyFont="1" applyBorder="1">
      <alignment/>
      <protection/>
    </xf>
    <xf numFmtId="218" fontId="11" fillId="0" borderId="0" xfId="45" applyNumberFormat="1" applyFont="1" applyBorder="1" applyAlignment="1">
      <alignment horizontal="right"/>
    </xf>
    <xf numFmtId="218" fontId="11" fillId="0" borderId="0" xfId="45" applyNumberFormat="1" applyFont="1" applyBorder="1" applyAlignment="1">
      <alignment/>
    </xf>
    <xf numFmtId="0" fontId="11" fillId="0" borderId="0" xfId="61" applyFont="1" applyBorder="1" applyAlignment="1">
      <alignment horizontal="right"/>
      <protection/>
    </xf>
    <xf numFmtId="0" fontId="5" fillId="0" borderId="11" xfId="61" applyFont="1" applyBorder="1">
      <alignment/>
      <protection/>
    </xf>
    <xf numFmtId="218" fontId="11" fillId="0" borderId="0" xfId="45" applyNumberFormat="1" applyFont="1" applyBorder="1" applyAlignment="1">
      <alignment horizontal="center"/>
    </xf>
    <xf numFmtId="0" fontId="11" fillId="0" borderId="12" xfId="61" applyFont="1" applyBorder="1">
      <alignment/>
      <protection/>
    </xf>
    <xf numFmtId="218" fontId="11" fillId="0" borderId="12" xfId="45" applyNumberFormat="1" applyFont="1" applyBorder="1" applyAlignment="1">
      <alignment horizontal="right"/>
    </xf>
    <xf numFmtId="218" fontId="11" fillId="0" borderId="12" xfId="45" applyNumberFormat="1" applyFont="1" applyBorder="1" applyAlignment="1">
      <alignment horizontal="center"/>
    </xf>
    <xf numFmtId="0" fontId="7" fillId="0" borderId="0" xfId="61" applyFont="1" applyBorder="1" applyAlignment="1">
      <alignment horizontal="right"/>
      <protection/>
    </xf>
    <xf numFmtId="0" fontId="10" fillId="0" borderId="0" xfId="61" applyFont="1" applyBorder="1" applyAlignment="1">
      <alignment horizontal="center"/>
      <protection/>
    </xf>
    <xf numFmtId="0" fontId="10" fillId="0" borderId="0" xfId="61" applyFont="1" applyBorder="1">
      <alignment/>
      <protection/>
    </xf>
    <xf numFmtId="218" fontId="10" fillId="0" borderId="0" xfId="45" applyNumberFormat="1" applyFont="1" applyBorder="1" applyAlignment="1">
      <alignment horizontal="center"/>
    </xf>
    <xf numFmtId="218" fontId="10" fillId="0" borderId="0" xfId="45" applyNumberFormat="1" applyFont="1" applyBorder="1" applyAlignment="1">
      <alignment/>
    </xf>
    <xf numFmtId="218" fontId="12" fillId="0" borderId="0" xfId="45" applyNumberFormat="1" applyFont="1" applyAlignment="1">
      <alignment/>
    </xf>
    <xf numFmtId="0" fontId="12" fillId="0" borderId="0" xfId="61" applyFont="1" applyAlignment="1">
      <alignment horizontal="center"/>
      <protection/>
    </xf>
    <xf numFmtId="0" fontId="12" fillId="0" borderId="0" xfId="61" applyFont="1">
      <alignment/>
      <protection/>
    </xf>
    <xf numFmtId="230" fontId="5" fillId="0" borderId="0" xfId="42" applyNumberFormat="1" applyFont="1" applyAlignment="1">
      <alignment/>
    </xf>
    <xf numFmtId="230" fontId="10" fillId="0" borderId="0" xfId="42" applyNumberFormat="1" applyFont="1" applyBorder="1" applyAlignment="1">
      <alignment horizontal="center"/>
    </xf>
    <xf numFmtId="230" fontId="10" fillId="0" borderId="0" xfId="42" applyNumberFormat="1" applyFont="1" applyAlignment="1">
      <alignment/>
    </xf>
    <xf numFmtId="230" fontId="10" fillId="0" borderId="0" xfId="42" applyNumberFormat="1" applyFont="1" applyBorder="1" applyAlignment="1">
      <alignment/>
    </xf>
    <xf numFmtId="218" fontId="12" fillId="0" borderId="0" xfId="45" applyNumberFormat="1" applyFont="1" applyAlignment="1">
      <alignment horizontal="center"/>
    </xf>
    <xf numFmtId="218" fontId="10" fillId="0" borderId="0" xfId="61" applyNumberFormat="1" applyFont="1" applyBorder="1" applyAlignment="1">
      <alignment horizontal="center"/>
      <protection/>
    </xf>
    <xf numFmtId="218" fontId="12" fillId="0" borderId="0" xfId="61" applyNumberFormat="1" applyFont="1">
      <alignment/>
      <protection/>
    </xf>
    <xf numFmtId="0" fontId="5" fillId="0" borderId="0" xfId="60" applyFont="1">
      <alignment/>
      <protection/>
    </xf>
    <xf numFmtId="0" fontId="13" fillId="0" borderId="0" xfId="60" applyFont="1" applyAlignment="1">
      <alignment horizontal="center"/>
      <protection/>
    </xf>
    <xf numFmtId="218" fontId="13" fillId="0" borderId="0" xfId="45" applyNumberFormat="1" applyFont="1" applyAlignment="1">
      <alignment/>
    </xf>
    <xf numFmtId="0" fontId="13" fillId="0" borderId="0" xfId="60" applyFont="1" applyAlignment="1">
      <alignment horizontal="left"/>
      <protection/>
    </xf>
    <xf numFmtId="0" fontId="14" fillId="0" borderId="0" xfId="60" applyFont="1">
      <alignment/>
      <protection/>
    </xf>
    <xf numFmtId="0" fontId="7" fillId="0" borderId="0" xfId="60" applyFont="1" applyAlignment="1">
      <alignment horizontal="right"/>
      <protection/>
    </xf>
    <xf numFmtId="0" fontId="13" fillId="0" borderId="0" xfId="60" applyFont="1">
      <alignment/>
      <protection/>
    </xf>
    <xf numFmtId="0" fontId="4" fillId="0" borderId="0" xfId="60" applyFont="1" applyAlignment="1">
      <alignment horizontal="left"/>
      <protection/>
    </xf>
    <xf numFmtId="0" fontId="15" fillId="0" borderId="0" xfId="0" applyFont="1" applyAlignment="1">
      <alignment/>
    </xf>
    <xf numFmtId="0" fontId="4" fillId="0" borderId="0" xfId="60" applyFont="1" applyAlignment="1">
      <alignment horizontal="center"/>
      <protection/>
    </xf>
    <xf numFmtId="0" fontId="16" fillId="0" borderId="0" xfId="60" applyFont="1" applyBorder="1">
      <alignment/>
      <protection/>
    </xf>
    <xf numFmtId="218" fontId="7" fillId="0" borderId="0" xfId="68" applyNumberFormat="1" applyFont="1">
      <alignment/>
      <protection/>
    </xf>
    <xf numFmtId="218" fontId="7" fillId="0" borderId="0" xfId="68" applyNumberFormat="1" applyFont="1" applyAlignment="1">
      <alignment horizontal="right"/>
      <protection/>
    </xf>
    <xf numFmtId="218" fontId="7" fillId="0" borderId="0" xfId="60" applyNumberFormat="1" applyFont="1">
      <alignment/>
      <protection/>
    </xf>
    <xf numFmtId="218" fontId="7" fillId="0" borderId="0" xfId="68" applyNumberFormat="1" applyFont="1" applyBorder="1">
      <alignment/>
      <protection/>
    </xf>
    <xf numFmtId="0" fontId="16" fillId="0" borderId="12" xfId="60" applyFont="1" applyBorder="1">
      <alignment/>
      <protection/>
    </xf>
    <xf numFmtId="218" fontId="7" fillId="0" borderId="0" xfId="68" applyNumberFormat="1" applyFont="1" applyBorder="1" applyAlignment="1">
      <alignment horizontal="right"/>
      <protection/>
    </xf>
    <xf numFmtId="218" fontId="7" fillId="0" borderId="0" xfId="60" applyNumberFormat="1" applyFont="1" applyBorder="1">
      <alignment/>
      <protection/>
    </xf>
    <xf numFmtId="0" fontId="16" fillId="0" borderId="0" xfId="60" applyFont="1">
      <alignment/>
      <protection/>
    </xf>
    <xf numFmtId="0" fontId="16" fillId="0" borderId="0" xfId="60" applyFont="1">
      <alignment/>
      <protection/>
    </xf>
    <xf numFmtId="218" fontId="10" fillId="0" borderId="0" xfId="68" applyNumberFormat="1" applyFont="1">
      <alignment/>
      <protection/>
    </xf>
    <xf numFmtId="229" fontId="17" fillId="0" borderId="0" xfId="42" applyNumberFormat="1" applyFont="1" applyAlignment="1">
      <alignment/>
    </xf>
    <xf numFmtId="229" fontId="18" fillId="0" borderId="0" xfId="42" applyNumberFormat="1" applyFont="1" applyAlignment="1">
      <alignment/>
    </xf>
    <xf numFmtId="0" fontId="1" fillId="0" borderId="0" xfId="0" applyFont="1" applyAlignment="1">
      <alignment/>
    </xf>
    <xf numFmtId="0" fontId="4" fillId="0" borderId="0" xfId="60" applyAlignment="1">
      <alignment horizontal="center"/>
      <protection/>
    </xf>
    <xf numFmtId="0" fontId="12" fillId="0" borderId="0" xfId="60" applyFont="1">
      <alignment/>
      <protection/>
    </xf>
    <xf numFmtId="0" fontId="7" fillId="0" borderId="0" xfId="60" applyFont="1" applyBorder="1">
      <alignment/>
      <protection/>
    </xf>
    <xf numFmtId="0" fontId="12" fillId="0" borderId="0" xfId="60" applyFont="1" applyBorder="1" applyAlignment="1">
      <alignment horizontal="center"/>
      <protection/>
    </xf>
    <xf numFmtId="218" fontId="12" fillId="0" borderId="0" xfId="45" applyNumberFormat="1" applyFont="1" applyBorder="1" applyAlignment="1">
      <alignment/>
    </xf>
    <xf numFmtId="218" fontId="12" fillId="0" borderId="0" xfId="45" applyNumberFormat="1" applyFont="1" applyBorder="1" applyAlignment="1">
      <alignment horizontal="center"/>
    </xf>
    <xf numFmtId="0" fontId="7" fillId="0" borderId="0" xfId="60" applyFont="1" applyBorder="1" applyAlignment="1">
      <alignment horizontal="center"/>
      <protection/>
    </xf>
    <xf numFmtId="0" fontId="0" fillId="0" borderId="0" xfId="0" applyFont="1" applyAlignment="1">
      <alignment/>
    </xf>
    <xf numFmtId="0" fontId="10" fillId="0" borderId="0" xfId="60" applyFont="1" applyBorder="1">
      <alignment/>
      <protection/>
    </xf>
    <xf numFmtId="0" fontId="7" fillId="0" borderId="0" xfId="60" applyFont="1" applyBorder="1">
      <alignment/>
      <protection/>
    </xf>
    <xf numFmtId="0" fontId="4" fillId="0" borderId="0" xfId="60">
      <alignment/>
      <protection/>
    </xf>
    <xf numFmtId="0" fontId="5" fillId="0" borderId="0" xfId="60" applyFont="1">
      <alignment/>
      <protection/>
    </xf>
    <xf numFmtId="0" fontId="12" fillId="0" borderId="0" xfId="60" applyFont="1" applyAlignment="1">
      <alignment horizontal="center"/>
      <protection/>
    </xf>
    <xf numFmtId="218" fontId="12" fillId="0" borderId="0" xfId="45" applyNumberFormat="1" applyFont="1" applyFill="1" applyAlignment="1">
      <alignment/>
    </xf>
    <xf numFmtId="0" fontId="10" fillId="0" borderId="0" xfId="60" applyFont="1">
      <alignment/>
      <protection/>
    </xf>
    <xf numFmtId="0" fontId="10" fillId="0" borderId="0" xfId="60" applyFont="1">
      <alignment/>
      <protection/>
    </xf>
    <xf numFmtId="0" fontId="7" fillId="0" borderId="0" xfId="60" applyFont="1">
      <alignment/>
      <protection/>
    </xf>
    <xf numFmtId="0" fontId="5" fillId="0" borderId="0" xfId="60" applyFont="1" applyBorder="1">
      <alignment/>
      <protection/>
    </xf>
    <xf numFmtId="0" fontId="11" fillId="0" borderId="0" xfId="60" applyFont="1" applyBorder="1">
      <alignment/>
      <protection/>
    </xf>
    <xf numFmtId="218" fontId="13" fillId="0" borderId="0" xfId="45" applyNumberFormat="1" applyFont="1" applyBorder="1" applyAlignment="1">
      <alignment/>
    </xf>
    <xf numFmtId="218" fontId="13" fillId="0" borderId="0" xfId="45" applyNumberFormat="1" applyFont="1" applyBorder="1" applyAlignment="1">
      <alignment horizontal="center"/>
    </xf>
    <xf numFmtId="0" fontId="13" fillId="0" borderId="0" xfId="60" applyFont="1" applyBorder="1">
      <alignment/>
      <protection/>
    </xf>
    <xf numFmtId="0" fontId="13" fillId="0" borderId="0" xfId="60" applyFont="1">
      <alignment/>
      <protection/>
    </xf>
    <xf numFmtId="218" fontId="16" fillId="0" borderId="12" xfId="45" applyNumberFormat="1" applyFont="1" applyBorder="1" applyAlignment="1">
      <alignment/>
    </xf>
    <xf numFmtId="0" fontId="5" fillId="0" borderId="11" xfId="60" applyFont="1" applyBorder="1">
      <alignment/>
      <protection/>
    </xf>
    <xf numFmtId="218" fontId="14" fillId="0" borderId="11" xfId="45" applyNumberFormat="1" applyFont="1" applyBorder="1" applyAlignment="1">
      <alignment/>
    </xf>
    <xf numFmtId="218" fontId="14" fillId="0" borderId="11" xfId="45" applyNumberFormat="1" applyFont="1" applyBorder="1" applyAlignment="1">
      <alignment horizontal="center"/>
    </xf>
    <xf numFmtId="0" fontId="23" fillId="0" borderId="0" xfId="0" applyFont="1" applyAlignment="1">
      <alignment/>
    </xf>
    <xf numFmtId="217" fontId="13" fillId="0" borderId="0" xfId="45" applyNumberFormat="1" applyFont="1" applyAlignment="1">
      <alignment/>
    </xf>
    <xf numFmtId="218" fontId="13" fillId="0" borderId="0" xfId="45" applyNumberFormat="1" applyFont="1" applyAlignment="1">
      <alignment horizontal="center"/>
    </xf>
    <xf numFmtId="2" fontId="10" fillId="0" borderId="0" xfId="60" applyNumberFormat="1" applyFont="1">
      <alignment/>
      <protection/>
    </xf>
    <xf numFmtId="0" fontId="7" fillId="0" borderId="0" xfId="60" applyFont="1">
      <alignment/>
      <protection/>
    </xf>
    <xf numFmtId="0" fontId="14" fillId="0" borderId="0" xfId="60" applyFont="1" applyBorder="1" applyAlignment="1">
      <alignment horizontal="center"/>
      <protection/>
    </xf>
    <xf numFmtId="218" fontId="14" fillId="0" borderId="0" xfId="45" applyNumberFormat="1" applyFont="1" applyBorder="1" applyAlignment="1">
      <alignment/>
    </xf>
    <xf numFmtId="218" fontId="14" fillId="0" borderId="0" xfId="45" applyNumberFormat="1" applyFont="1" applyBorder="1" applyAlignment="1">
      <alignment horizontal="center"/>
    </xf>
    <xf numFmtId="0" fontId="25" fillId="0" borderId="0" xfId="0" applyFont="1" applyAlignment="1">
      <alignment/>
    </xf>
    <xf numFmtId="0" fontId="5" fillId="0" borderId="11" xfId="60" applyFont="1" applyBorder="1" applyAlignment="1">
      <alignment horizontal="center"/>
      <protection/>
    </xf>
    <xf numFmtId="218" fontId="5" fillId="0" borderId="11" xfId="45" applyNumberFormat="1" applyFont="1" applyBorder="1" applyAlignment="1">
      <alignment/>
    </xf>
    <xf numFmtId="218" fontId="5" fillId="0" borderId="11" xfId="45" applyNumberFormat="1" applyFont="1" applyBorder="1" applyAlignment="1">
      <alignment horizontal="center"/>
    </xf>
    <xf numFmtId="0" fontId="5" fillId="0" borderId="0" xfId="60" applyFont="1" applyBorder="1" applyAlignment="1">
      <alignment horizontal="center"/>
      <protection/>
    </xf>
    <xf numFmtId="218" fontId="5" fillId="0" borderId="0" xfId="45" applyNumberFormat="1" applyFont="1" applyBorder="1" applyAlignment="1">
      <alignment horizontal="center"/>
    </xf>
    <xf numFmtId="0" fontId="5" fillId="0" borderId="13" xfId="60" applyFont="1" applyBorder="1" applyAlignment="1">
      <alignment horizontal="center"/>
      <protection/>
    </xf>
    <xf numFmtId="218" fontId="5" fillId="0" borderId="10" xfId="45" applyNumberFormat="1" applyFont="1" applyBorder="1" applyAlignment="1">
      <alignment horizontal="center"/>
    </xf>
    <xf numFmtId="0" fontId="5" fillId="0" borderId="13" xfId="60" applyFont="1" applyBorder="1" applyAlignment="1">
      <alignment horizontal="center" vertical="center"/>
      <protection/>
    </xf>
    <xf numFmtId="0" fontId="12" fillId="0" borderId="0" xfId="60" applyFont="1" applyBorder="1">
      <alignment/>
      <protection/>
    </xf>
    <xf numFmtId="0" fontId="11" fillId="0" borderId="12" xfId="60" applyFont="1" applyBorder="1">
      <alignment/>
      <protection/>
    </xf>
    <xf numFmtId="0" fontId="26" fillId="0" borderId="0" xfId="60" applyFont="1">
      <alignment/>
      <protection/>
    </xf>
    <xf numFmtId="0" fontId="27" fillId="0" borderId="0" xfId="0" applyFont="1" applyAlignment="1">
      <alignment/>
    </xf>
    <xf numFmtId="0" fontId="11" fillId="0" borderId="0" xfId="60" applyFont="1" applyBorder="1">
      <alignment/>
      <protection/>
    </xf>
    <xf numFmtId="0" fontId="11" fillId="0" borderId="0" xfId="60" applyFont="1" applyBorder="1" applyAlignment="1">
      <alignment horizontal="left"/>
      <protection/>
    </xf>
    <xf numFmtId="0" fontId="10" fillId="0" borderId="0" xfId="60" applyFont="1" applyAlignment="1">
      <alignment horizontal="center"/>
      <protection/>
    </xf>
    <xf numFmtId="218" fontId="10" fillId="0" borderId="0" xfId="46" applyNumberFormat="1" applyFont="1" applyAlignment="1">
      <alignment/>
    </xf>
    <xf numFmtId="0" fontId="7" fillId="0" borderId="0" xfId="60" applyFont="1" applyAlignment="1">
      <alignment horizontal="right"/>
      <protection/>
    </xf>
    <xf numFmtId="218" fontId="7" fillId="0" borderId="0" xfId="46" applyNumberFormat="1" applyFont="1" applyBorder="1" applyAlignment="1">
      <alignment/>
    </xf>
    <xf numFmtId="218" fontId="7" fillId="0" borderId="0" xfId="46" applyNumberFormat="1" applyFont="1" applyBorder="1" applyAlignment="1">
      <alignment horizontal="center"/>
    </xf>
    <xf numFmtId="0" fontId="7" fillId="0" borderId="0" xfId="60" applyFont="1" applyBorder="1" applyAlignment="1">
      <alignment horizontal="center"/>
      <protection/>
    </xf>
    <xf numFmtId="218" fontId="5" fillId="0" borderId="13" xfId="60" applyNumberFormat="1" applyFont="1" applyBorder="1" applyAlignment="1">
      <alignment horizontal="center" vertical="center"/>
      <protection/>
    </xf>
    <xf numFmtId="0" fontId="16" fillId="0" borderId="0" xfId="60" applyFont="1" applyBorder="1" applyAlignment="1">
      <alignment horizontal="center" vertical="center"/>
      <protection/>
    </xf>
    <xf numFmtId="218" fontId="16" fillId="0" borderId="0" xfId="46" applyNumberFormat="1" applyFont="1" applyBorder="1" applyAlignment="1">
      <alignment horizontal="center" vertical="center"/>
    </xf>
    <xf numFmtId="218" fontId="16" fillId="0" borderId="0" xfId="60" applyNumberFormat="1" applyFont="1" applyBorder="1" applyAlignment="1">
      <alignment horizontal="center" vertical="center"/>
      <protection/>
    </xf>
    <xf numFmtId="0" fontId="5" fillId="0" borderId="14" xfId="60" applyFont="1" applyBorder="1" applyAlignment="1">
      <alignment horizontal="center" vertical="center"/>
      <protection/>
    </xf>
    <xf numFmtId="218" fontId="7" fillId="0" borderId="0" xfId="60" applyNumberFormat="1" applyFont="1" applyBorder="1" applyAlignment="1">
      <alignment horizontal="center" vertical="center"/>
      <protection/>
    </xf>
    <xf numFmtId="0" fontId="20" fillId="0" borderId="10" xfId="60" applyFont="1" applyBorder="1" applyAlignment="1">
      <alignment horizontal="right"/>
      <protection/>
    </xf>
    <xf numFmtId="218" fontId="20" fillId="0" borderId="10" xfId="45" applyNumberFormat="1" applyFont="1" applyBorder="1" applyAlignment="1">
      <alignment horizontal="right"/>
    </xf>
    <xf numFmtId="0" fontId="14" fillId="0" borderId="11" xfId="60" applyFont="1" applyBorder="1" applyAlignment="1">
      <alignment horizontal="right"/>
      <protection/>
    </xf>
    <xf numFmtId="0" fontId="5" fillId="0" borderId="0" xfId="60" applyFont="1" applyBorder="1">
      <alignment/>
      <protection/>
    </xf>
    <xf numFmtId="218" fontId="12" fillId="0" borderId="0" xfId="44" applyNumberFormat="1" applyFont="1" applyAlignment="1">
      <alignment/>
    </xf>
    <xf numFmtId="218" fontId="16" fillId="0" borderId="0" xfId="44" applyNumberFormat="1" applyFont="1" applyBorder="1" applyAlignment="1">
      <alignment/>
    </xf>
    <xf numFmtId="218" fontId="11" fillId="0" borderId="0" xfId="44" applyNumberFormat="1" applyFont="1" applyBorder="1" applyAlignment="1">
      <alignment horizontal="right" vertical="center"/>
    </xf>
    <xf numFmtId="218" fontId="13" fillId="0" borderId="0" xfId="44" applyNumberFormat="1" applyFont="1" applyAlignment="1">
      <alignment/>
    </xf>
    <xf numFmtId="0" fontId="4" fillId="0" borderId="0" xfId="60" applyFont="1">
      <alignment/>
      <protection/>
    </xf>
    <xf numFmtId="0" fontId="4" fillId="0" borderId="0" xfId="61" applyBorder="1">
      <alignment/>
      <protection/>
    </xf>
    <xf numFmtId="0" fontId="4" fillId="0" borderId="0" xfId="61" applyBorder="1" applyAlignment="1">
      <alignment horizontal="center" vertical="center"/>
      <protection/>
    </xf>
    <xf numFmtId="0" fontId="14" fillId="0" borderId="0" xfId="61" applyFont="1" applyBorder="1" applyAlignment="1">
      <alignment horizontal="right"/>
      <protection/>
    </xf>
    <xf numFmtId="0" fontId="7" fillId="0" borderId="0" xfId="61" applyFont="1" applyBorder="1" applyAlignment="1">
      <alignment horizontal="left"/>
      <protection/>
    </xf>
    <xf numFmtId="0" fontId="14" fillId="0" borderId="0" xfId="61" applyFont="1" applyBorder="1" applyAlignment="1">
      <alignment horizontal="center"/>
      <protection/>
    </xf>
    <xf numFmtId="0" fontId="6" fillId="0" borderId="0" xfId="61" applyFont="1" applyBorder="1">
      <alignment/>
      <protection/>
    </xf>
    <xf numFmtId="0" fontId="6" fillId="0" borderId="0" xfId="61" applyFont="1" applyBorder="1" applyAlignment="1">
      <alignment horizontal="center"/>
      <protection/>
    </xf>
    <xf numFmtId="0" fontId="6" fillId="0" borderId="0" xfId="61" applyFont="1" applyBorder="1" applyAlignment="1">
      <alignment horizontal="center" vertical="center"/>
      <protection/>
    </xf>
    <xf numFmtId="0" fontId="12" fillId="0" borderId="0" xfId="61" applyFont="1" applyAlignment="1">
      <alignment horizontal="center" vertical="center"/>
      <protection/>
    </xf>
    <xf numFmtId="0" fontId="4" fillId="0" borderId="0" xfId="61" applyAlignment="1">
      <alignment horizontal="center"/>
      <protection/>
    </xf>
    <xf numFmtId="0" fontId="4" fillId="0" borderId="0" xfId="61" applyAlignment="1">
      <alignment horizontal="center" vertical="center"/>
      <protection/>
    </xf>
    <xf numFmtId="0" fontId="7" fillId="0" borderId="0" xfId="61" applyFont="1">
      <alignment/>
      <protection/>
    </xf>
    <xf numFmtId="0" fontId="26" fillId="0" borderId="0" xfId="61" applyFont="1">
      <alignment/>
      <protection/>
    </xf>
    <xf numFmtId="0" fontId="5" fillId="0" borderId="15" xfId="61" applyFont="1" applyBorder="1" applyAlignment="1">
      <alignment vertical="center"/>
      <protection/>
    </xf>
    <xf numFmtId="0" fontId="11" fillId="0" borderId="15" xfId="61" applyFont="1" applyBorder="1" applyAlignment="1">
      <alignment vertical="center"/>
      <protection/>
    </xf>
    <xf numFmtId="218" fontId="11" fillId="0" borderId="15" xfId="46" applyNumberFormat="1" applyFont="1" applyBorder="1" applyAlignment="1">
      <alignment vertical="center"/>
    </xf>
    <xf numFmtId="0" fontId="11" fillId="0" borderId="0" xfId="61" applyFont="1" applyBorder="1" applyAlignment="1">
      <alignment vertical="center"/>
      <protection/>
    </xf>
    <xf numFmtId="0" fontId="5" fillId="0" borderId="11" xfId="61" applyFont="1" applyBorder="1" applyAlignment="1">
      <alignment vertical="center"/>
      <protection/>
    </xf>
    <xf numFmtId="0" fontId="11" fillId="0" borderId="12" xfId="61" applyFont="1" applyBorder="1" applyAlignment="1">
      <alignment vertical="center"/>
      <protection/>
    </xf>
    <xf numFmtId="0" fontId="5" fillId="0" borderId="0" xfId="61" applyFont="1" applyBorder="1" applyAlignment="1">
      <alignment vertical="center"/>
      <protection/>
    </xf>
    <xf numFmtId="0" fontId="5" fillId="0" borderId="13" xfId="61" applyFont="1" applyBorder="1" applyAlignment="1">
      <alignment vertical="center"/>
      <protection/>
    </xf>
    <xf numFmtId="0" fontId="5" fillId="0" borderId="10" xfId="61" applyFont="1" applyBorder="1" applyAlignment="1">
      <alignment horizontal="center" vertical="center"/>
      <protection/>
    </xf>
    <xf numFmtId="218" fontId="5" fillId="0" borderId="10" xfId="46" applyNumberFormat="1" applyFont="1" applyBorder="1" applyAlignment="1">
      <alignment vertical="center"/>
    </xf>
    <xf numFmtId="0" fontId="5" fillId="0" borderId="10" xfId="61" applyFont="1" applyBorder="1" applyAlignment="1">
      <alignment horizontal="right" vertical="center"/>
      <protection/>
    </xf>
    <xf numFmtId="218" fontId="5" fillId="0" borderId="10" xfId="44" applyNumberFormat="1" applyFont="1" applyBorder="1" applyAlignment="1">
      <alignment horizontal="right" vertical="center"/>
    </xf>
    <xf numFmtId="0" fontId="0" fillId="0" borderId="0" xfId="0" applyFont="1" applyAlignment="1">
      <alignment/>
    </xf>
    <xf numFmtId="218" fontId="0" fillId="0" borderId="0" xfId="0" applyNumberFormat="1" applyFont="1" applyAlignment="1">
      <alignment/>
    </xf>
    <xf numFmtId="217" fontId="0" fillId="0" borderId="0" xfId="45" applyNumberFormat="1" applyFont="1" applyAlignment="1">
      <alignment/>
    </xf>
    <xf numFmtId="0" fontId="4" fillId="0" borderId="0" xfId="61" applyFont="1">
      <alignment/>
      <protection/>
    </xf>
    <xf numFmtId="0" fontId="4" fillId="0" borderId="0" xfId="60" applyFont="1" applyAlignment="1">
      <alignment horizontal="center"/>
      <protection/>
    </xf>
    <xf numFmtId="218" fontId="4" fillId="0" borderId="0" xfId="45" applyNumberFormat="1" applyFont="1" applyAlignment="1">
      <alignment/>
    </xf>
    <xf numFmtId="218" fontId="4" fillId="0" borderId="0" xfId="45" applyNumberFormat="1" applyFont="1" applyAlignment="1">
      <alignment horizontal="center"/>
    </xf>
    <xf numFmtId="0" fontId="11" fillId="0" borderId="0" xfId="60" applyFont="1">
      <alignment/>
      <protection/>
    </xf>
    <xf numFmtId="0" fontId="11" fillId="0" borderId="10" xfId="61" applyFont="1" applyBorder="1" applyAlignment="1">
      <alignment horizontal="left" vertical="center" wrapText="1"/>
      <protection/>
    </xf>
    <xf numFmtId="0" fontId="26" fillId="0" borderId="0" xfId="61" applyFont="1">
      <alignment/>
      <protection/>
    </xf>
    <xf numFmtId="0" fontId="28" fillId="0" borderId="10" xfId="61" applyFont="1" applyBorder="1" applyAlignment="1">
      <alignment horizontal="center" vertical="center" wrapText="1"/>
      <protection/>
    </xf>
    <xf numFmtId="0" fontId="9" fillId="0" borderId="10" xfId="61" applyFont="1" applyBorder="1" applyAlignment="1">
      <alignment horizontal="left" vertical="center" wrapText="1"/>
      <protection/>
    </xf>
    <xf numFmtId="217" fontId="28" fillId="0" borderId="10" xfId="46" applyNumberFormat="1" applyFont="1" applyBorder="1" applyAlignment="1">
      <alignment horizontal="center" vertical="center" wrapText="1"/>
    </xf>
    <xf numFmtId="0" fontId="11" fillId="0" borderId="0" xfId="61" applyFont="1" applyBorder="1" applyAlignment="1">
      <alignment horizontal="left"/>
      <protection/>
    </xf>
    <xf numFmtId="0" fontId="26" fillId="0" borderId="0" xfId="61" applyFont="1" applyBorder="1" applyAlignment="1">
      <alignment horizontal="left"/>
      <protection/>
    </xf>
    <xf numFmtId="0" fontId="11" fillId="0" borderId="0" xfId="61" applyFont="1" applyBorder="1" applyAlignment="1">
      <alignment horizontal="center" vertical="center"/>
      <protection/>
    </xf>
    <xf numFmtId="0" fontId="7" fillId="0" borderId="0" xfId="61" applyFont="1" applyBorder="1" applyAlignment="1">
      <alignment vertical="center"/>
      <protection/>
    </xf>
    <xf numFmtId="0" fontId="7" fillId="0" borderId="0" xfId="61" applyFont="1" applyBorder="1" applyAlignment="1">
      <alignment horizontal="center" vertical="center"/>
      <protection/>
    </xf>
    <xf numFmtId="0" fontId="7" fillId="0" borderId="0" xfId="61" applyFont="1" applyBorder="1">
      <alignment/>
      <protection/>
    </xf>
    <xf numFmtId="0" fontId="7" fillId="0" borderId="0" xfId="61" applyFont="1" applyBorder="1" applyAlignment="1">
      <alignment horizontal="center"/>
      <protection/>
    </xf>
    <xf numFmtId="218" fontId="5" fillId="0" borderId="14" xfId="46" applyNumberFormat="1" applyFont="1" applyBorder="1" applyAlignment="1">
      <alignment horizontal="center" vertical="center"/>
    </xf>
    <xf numFmtId="0" fontId="5" fillId="0" borderId="13" xfId="60" applyFont="1" applyBorder="1">
      <alignment/>
      <protection/>
    </xf>
    <xf numFmtId="218" fontId="4" fillId="0" borderId="0" xfId="60" applyNumberFormat="1">
      <alignment/>
      <protection/>
    </xf>
    <xf numFmtId="0" fontId="5" fillId="0" borderId="16" xfId="60" applyFont="1" applyBorder="1">
      <alignment/>
      <protection/>
    </xf>
    <xf numFmtId="230" fontId="5" fillId="0" borderId="0" xfId="42" applyNumberFormat="1" applyFont="1" applyBorder="1" applyAlignment="1">
      <alignment horizontal="center"/>
    </xf>
    <xf numFmtId="218" fontId="5" fillId="0" borderId="0" xfId="60" applyNumberFormat="1" applyFont="1" applyBorder="1" applyAlignment="1">
      <alignment horizontal="center"/>
      <protection/>
    </xf>
    <xf numFmtId="0" fontId="5" fillId="0" borderId="0" xfId="60" applyFont="1" applyAlignment="1">
      <alignment horizontal="right"/>
      <protection/>
    </xf>
    <xf numFmtId="0" fontId="11" fillId="0" borderId="0" xfId="60" applyFont="1" applyBorder="1" applyAlignment="1">
      <alignment horizontal="center"/>
      <protection/>
    </xf>
    <xf numFmtId="0" fontId="11" fillId="0" borderId="0" xfId="60" applyFont="1" applyBorder="1" applyAlignment="1">
      <alignment horizontal="right"/>
      <protection/>
    </xf>
    <xf numFmtId="218" fontId="11" fillId="0" borderId="0" xfId="45" applyNumberFormat="1" applyFont="1" applyAlignment="1">
      <alignment horizontal="center"/>
    </xf>
    <xf numFmtId="218" fontId="26" fillId="0" borderId="0" xfId="45" applyNumberFormat="1" applyFont="1" applyBorder="1" applyAlignment="1">
      <alignment horizontal="center"/>
    </xf>
    <xf numFmtId="218" fontId="26" fillId="0" borderId="0" xfId="45" applyNumberFormat="1" applyFont="1" applyBorder="1" applyAlignment="1">
      <alignment/>
    </xf>
    <xf numFmtId="218" fontId="5" fillId="0" borderId="10" xfId="45" applyNumberFormat="1" applyFont="1" applyBorder="1" applyAlignment="1">
      <alignment horizontal="right"/>
    </xf>
    <xf numFmtId="218" fontId="5" fillId="0" borderId="10" xfId="60" applyNumberFormat="1" applyFont="1" applyBorder="1" applyAlignment="1">
      <alignment horizontal="center"/>
      <protection/>
    </xf>
    <xf numFmtId="218" fontId="5" fillId="0" borderId="10" xfId="45" applyNumberFormat="1" applyFont="1" applyBorder="1" applyAlignment="1">
      <alignment horizontal="center"/>
    </xf>
    <xf numFmtId="218" fontId="16" fillId="0" borderId="11" xfId="45" applyNumberFormat="1" applyFont="1" applyBorder="1" applyAlignment="1">
      <alignment horizontal="center"/>
    </xf>
    <xf numFmtId="218" fontId="5" fillId="0" borderId="12" xfId="45" applyNumberFormat="1" applyFont="1" applyBorder="1" applyAlignment="1">
      <alignment horizontal="center"/>
    </xf>
    <xf numFmtId="0" fontId="5" fillId="0" borderId="10" xfId="60" applyFont="1" applyBorder="1" applyAlignment="1">
      <alignment horizontal="right"/>
      <protection/>
    </xf>
    <xf numFmtId="218" fontId="5" fillId="0" borderId="0" xfId="60" applyNumberFormat="1" applyFont="1" applyBorder="1">
      <alignment/>
      <protection/>
    </xf>
    <xf numFmtId="0" fontId="4" fillId="0" borderId="0" xfId="60" applyFont="1">
      <alignment/>
      <protection/>
    </xf>
    <xf numFmtId="0" fontId="5" fillId="0" borderId="12" xfId="60" applyFont="1" applyBorder="1">
      <alignment/>
      <protection/>
    </xf>
    <xf numFmtId="218" fontId="5" fillId="0" borderId="0" xfId="46" applyNumberFormat="1" applyFont="1" applyBorder="1" applyAlignment="1">
      <alignment horizontal="right"/>
    </xf>
    <xf numFmtId="218" fontId="5" fillId="0" borderId="0" xfId="46" applyNumberFormat="1" applyFont="1" applyBorder="1" applyAlignment="1">
      <alignment horizontal="center"/>
    </xf>
    <xf numFmtId="0" fontId="5" fillId="0" borderId="12" xfId="60" applyFont="1" applyBorder="1">
      <alignment/>
      <protection/>
    </xf>
    <xf numFmtId="0" fontId="5" fillId="0" borderId="13" xfId="60" applyFont="1" applyBorder="1" applyAlignment="1">
      <alignment horizontal="right" vertical="center"/>
      <protection/>
    </xf>
    <xf numFmtId="0" fontId="5" fillId="0" borderId="13" xfId="60" applyFont="1" applyBorder="1" applyAlignment="1">
      <alignment horizontal="right"/>
      <protection/>
    </xf>
    <xf numFmtId="0" fontId="5" fillId="0" borderId="12" xfId="60" applyFont="1" applyBorder="1" applyAlignment="1">
      <alignment horizontal="center"/>
      <protection/>
    </xf>
    <xf numFmtId="218" fontId="11" fillId="0" borderId="11" xfId="45" applyNumberFormat="1" applyFont="1" applyBorder="1" applyAlignment="1">
      <alignment horizontal="right"/>
    </xf>
    <xf numFmtId="218" fontId="11" fillId="0" borderId="0" xfId="46" applyNumberFormat="1" applyFont="1" applyBorder="1" applyAlignment="1">
      <alignment vertical="center"/>
    </xf>
    <xf numFmtId="218" fontId="11" fillId="0" borderId="0" xfId="46" applyNumberFormat="1" applyFont="1" applyBorder="1" applyAlignment="1">
      <alignment horizontal="right" vertical="center"/>
    </xf>
    <xf numFmtId="0" fontId="11" fillId="0" borderId="0" xfId="61" applyFont="1" applyBorder="1" applyAlignment="1">
      <alignment horizontal="right" vertical="center"/>
      <protection/>
    </xf>
    <xf numFmtId="218" fontId="5" fillId="0" borderId="0" xfId="61" applyNumberFormat="1" applyFont="1" applyBorder="1" applyAlignment="1">
      <alignment vertical="center"/>
      <protection/>
    </xf>
    <xf numFmtId="218" fontId="5" fillId="0" borderId="11" xfId="61" applyNumberFormat="1" applyFont="1" applyBorder="1" applyAlignment="1">
      <alignment vertical="center"/>
      <protection/>
    </xf>
    <xf numFmtId="0" fontId="11" fillId="0" borderId="0" xfId="61" applyFont="1" applyBorder="1" applyAlignment="1">
      <alignment vertical="center"/>
      <protection/>
    </xf>
    <xf numFmtId="218" fontId="11" fillId="0" borderId="11" xfId="46" applyNumberFormat="1" applyFont="1" applyBorder="1" applyAlignment="1">
      <alignment vertical="center"/>
    </xf>
    <xf numFmtId="0" fontId="11" fillId="0" borderId="11" xfId="61" applyFont="1" applyBorder="1" applyAlignment="1">
      <alignment vertical="center"/>
      <protection/>
    </xf>
    <xf numFmtId="218" fontId="11" fillId="0" borderId="11" xfId="46" applyNumberFormat="1" applyFont="1" applyBorder="1" applyAlignment="1">
      <alignment horizontal="left" vertical="center"/>
    </xf>
    <xf numFmtId="0" fontId="11" fillId="0" borderId="11" xfId="61" applyFont="1" applyBorder="1" applyAlignment="1">
      <alignment horizontal="right" vertical="center"/>
      <protection/>
    </xf>
    <xf numFmtId="0" fontId="11" fillId="0" borderId="0" xfId="60" applyFont="1" applyBorder="1" applyAlignment="1">
      <alignment horizontal="center"/>
      <protection/>
    </xf>
    <xf numFmtId="0" fontId="11" fillId="0" borderId="12" xfId="60" applyFont="1" applyBorder="1" applyAlignment="1">
      <alignment horizontal="center"/>
      <protection/>
    </xf>
    <xf numFmtId="218" fontId="5" fillId="0" borderId="0" xfId="61" applyNumberFormat="1" applyFont="1" applyBorder="1" applyAlignment="1">
      <alignment horizontal="center"/>
      <protection/>
    </xf>
    <xf numFmtId="218" fontId="5" fillId="0" borderId="12" xfId="61" applyNumberFormat="1" applyFont="1" applyBorder="1" applyAlignment="1">
      <alignment horizontal="center"/>
      <protection/>
    </xf>
    <xf numFmtId="0" fontId="0" fillId="0" borderId="0" xfId="0" applyBorder="1" applyAlignment="1">
      <alignment/>
    </xf>
    <xf numFmtId="0" fontId="29" fillId="0" borderId="0" xfId="60" applyFont="1">
      <alignment/>
      <protection/>
    </xf>
    <xf numFmtId="218" fontId="16" fillId="0" borderId="10" xfId="68" applyNumberFormat="1" applyFont="1" applyBorder="1" applyAlignment="1">
      <alignment vertical="center"/>
      <protection/>
    </xf>
    <xf numFmtId="0" fontId="29" fillId="0" borderId="0" xfId="60" applyFont="1" applyBorder="1">
      <alignment/>
      <protection/>
    </xf>
    <xf numFmtId="0" fontId="29" fillId="0" borderId="0" xfId="60" applyFont="1" applyFill="1">
      <alignment/>
      <protection/>
    </xf>
    <xf numFmtId="0" fontId="29" fillId="0" borderId="13" xfId="0" applyFont="1" applyBorder="1" applyAlignment="1">
      <alignment horizontal="left"/>
    </xf>
    <xf numFmtId="218" fontId="5" fillId="0" borderId="13" xfId="44" applyNumberFormat="1" applyFont="1" applyBorder="1" applyAlignment="1">
      <alignment/>
    </xf>
    <xf numFmtId="218" fontId="5" fillId="0" borderId="0" xfId="44" applyNumberFormat="1" applyFont="1" applyFill="1" applyBorder="1" applyAlignment="1">
      <alignment vertical="center"/>
    </xf>
    <xf numFmtId="0" fontId="29" fillId="0" borderId="0" xfId="61" applyFont="1" applyBorder="1" applyAlignment="1">
      <alignment horizontal="left"/>
      <protection/>
    </xf>
    <xf numFmtId="0" fontId="29" fillId="0" borderId="0" xfId="61" applyFont="1">
      <alignment/>
      <protection/>
    </xf>
    <xf numFmtId="218" fontId="11" fillId="0" borderId="0" xfId="44" applyNumberFormat="1" applyFont="1" applyFill="1" applyBorder="1" applyAlignment="1">
      <alignment horizontal="right" vertical="center"/>
    </xf>
    <xf numFmtId="194" fontId="1" fillId="0" borderId="0" xfId="42" applyFont="1" applyAlignment="1">
      <alignment/>
    </xf>
    <xf numFmtId="228" fontId="1" fillId="0" borderId="0" xfId="42" applyNumberFormat="1" applyFont="1" applyAlignment="1">
      <alignment/>
    </xf>
    <xf numFmtId="194" fontId="10" fillId="0" borderId="0" xfId="42" applyFont="1" applyAlignment="1">
      <alignment/>
    </xf>
    <xf numFmtId="194" fontId="23" fillId="0" borderId="0" xfId="42" applyFont="1" applyAlignment="1">
      <alignment/>
    </xf>
    <xf numFmtId="0" fontId="33" fillId="0" borderId="0" xfId="0" applyFont="1" applyAlignment="1">
      <alignment/>
    </xf>
    <xf numFmtId="218" fontId="5" fillId="0" borderId="12" xfId="44" applyNumberFormat="1" applyFont="1" applyFill="1" applyBorder="1" applyAlignment="1">
      <alignment vertical="center"/>
    </xf>
    <xf numFmtId="0" fontId="10" fillId="0" borderId="0" xfId="0" applyFont="1" applyAlignment="1">
      <alignment/>
    </xf>
    <xf numFmtId="0" fontId="10" fillId="0" borderId="0" xfId="61" applyFont="1">
      <alignment/>
      <protection/>
    </xf>
    <xf numFmtId="0" fontId="25" fillId="0" borderId="0" xfId="0" applyFont="1" applyBorder="1" applyAlignment="1">
      <alignment/>
    </xf>
    <xf numFmtId="0" fontId="9" fillId="0" borderId="10" xfId="61" applyFont="1" applyFill="1" applyBorder="1" applyAlignment="1">
      <alignment horizontal="center" vertical="center"/>
      <protection/>
    </xf>
    <xf numFmtId="0" fontId="7" fillId="0" borderId="0" xfId="61" applyFont="1" applyFill="1" applyBorder="1">
      <alignment/>
      <protection/>
    </xf>
    <xf numFmtId="0" fontId="7" fillId="0" borderId="0" xfId="61" applyFont="1" applyFill="1" applyBorder="1" applyAlignment="1">
      <alignment vertical="center"/>
      <protection/>
    </xf>
    <xf numFmtId="0" fontId="7" fillId="0" borderId="0" xfId="60" applyFont="1" applyFill="1" applyBorder="1">
      <alignment/>
      <protection/>
    </xf>
    <xf numFmtId="0" fontId="14" fillId="0" borderId="0" xfId="61" applyFont="1" applyFill="1" applyBorder="1" applyAlignment="1">
      <alignment horizontal="center"/>
      <protection/>
    </xf>
    <xf numFmtId="0" fontId="0" fillId="0" borderId="0" xfId="0" applyFill="1" applyAlignment="1">
      <alignment/>
    </xf>
    <xf numFmtId="0" fontId="12" fillId="0" borderId="0" xfId="61" applyFont="1" applyFill="1">
      <alignment/>
      <protection/>
    </xf>
    <xf numFmtId="0" fontId="4" fillId="0" borderId="0" xfId="61" applyFill="1">
      <alignment/>
      <protection/>
    </xf>
    <xf numFmtId="0" fontId="5" fillId="0" borderId="0" xfId="61" applyFont="1" applyBorder="1" applyAlignment="1">
      <alignment horizontal="left"/>
      <protection/>
    </xf>
    <xf numFmtId="218" fontId="0" fillId="0" borderId="0" xfId="0" applyNumberFormat="1" applyFont="1" applyAlignment="1">
      <alignment/>
    </xf>
    <xf numFmtId="0" fontId="0" fillId="0" borderId="13" xfId="0" applyFont="1" applyBorder="1" applyAlignment="1">
      <alignment/>
    </xf>
    <xf numFmtId="0" fontId="7" fillId="0" borderId="0" xfId="60" applyFont="1" applyFill="1">
      <alignment/>
      <protection/>
    </xf>
    <xf numFmtId="0" fontId="7" fillId="0" borderId="0" xfId="0" applyFont="1" applyAlignment="1">
      <alignment horizontal="right"/>
    </xf>
    <xf numFmtId="0" fontId="26" fillId="0" borderId="0" xfId="60" applyFont="1" applyBorder="1" applyAlignment="1">
      <alignment horizontal="left"/>
      <protection/>
    </xf>
    <xf numFmtId="0" fontId="26" fillId="0" borderId="0" xfId="60" applyFont="1" applyBorder="1" applyAlignment="1">
      <alignment horizontal="left" vertical="center"/>
      <protection/>
    </xf>
    <xf numFmtId="0" fontId="0" fillId="0" borderId="0" xfId="0" applyFont="1" applyFill="1" applyAlignment="1">
      <alignment/>
    </xf>
    <xf numFmtId="0" fontId="12" fillId="0" borderId="11" xfId="60" applyFont="1" applyBorder="1">
      <alignment/>
      <protection/>
    </xf>
    <xf numFmtId="0" fontId="26" fillId="0" borderId="0" xfId="60" applyFont="1" applyAlignment="1">
      <alignment horizontal="center"/>
      <protection/>
    </xf>
    <xf numFmtId="0" fontId="27" fillId="0" borderId="13" xfId="0" applyFont="1" applyBorder="1" applyAlignment="1">
      <alignment/>
    </xf>
    <xf numFmtId="0" fontId="11" fillId="0" borderId="0" xfId="60" applyFont="1" applyFill="1" applyBorder="1" applyAlignment="1">
      <alignment horizontal="left"/>
      <protection/>
    </xf>
    <xf numFmtId="0" fontId="11" fillId="0" borderId="0" xfId="61" applyFont="1" applyBorder="1" applyAlignment="1">
      <alignment horizontal="center"/>
      <protection/>
    </xf>
    <xf numFmtId="0" fontId="32" fillId="0" borderId="0" xfId="61" applyFont="1" applyBorder="1" applyAlignment="1">
      <alignment horizontal="center" vertical="center"/>
      <protection/>
    </xf>
    <xf numFmtId="0" fontId="26" fillId="0" borderId="0" xfId="61" applyFont="1" applyAlignment="1">
      <alignment horizontal="center"/>
      <protection/>
    </xf>
    <xf numFmtId="0" fontId="26" fillId="0" borderId="0" xfId="61" applyFont="1" applyAlignment="1">
      <alignment horizontal="center"/>
      <protection/>
    </xf>
    <xf numFmtId="0" fontId="28" fillId="0" borderId="13" xfId="60" applyFont="1" applyBorder="1" applyAlignment="1">
      <alignment horizontal="center"/>
      <protection/>
    </xf>
    <xf numFmtId="218" fontId="28" fillId="0" borderId="13" xfId="45" applyNumberFormat="1" applyFont="1" applyBorder="1" applyAlignment="1">
      <alignment horizontal="center"/>
    </xf>
    <xf numFmtId="0" fontId="15" fillId="0" borderId="0" xfId="60" applyFont="1">
      <alignment/>
      <protection/>
    </xf>
    <xf numFmtId="15" fontId="15" fillId="0" borderId="0" xfId="60" applyNumberFormat="1" applyFont="1">
      <alignment/>
      <protection/>
    </xf>
    <xf numFmtId="218" fontId="15" fillId="0" borderId="0" xfId="45" applyNumberFormat="1" applyFont="1" applyAlignment="1">
      <alignment horizontal="center"/>
    </xf>
    <xf numFmtId="0" fontId="5" fillId="0" borderId="10" xfId="60" applyFont="1" applyBorder="1" applyAlignment="1">
      <alignment horizontal="center"/>
      <protection/>
    </xf>
    <xf numFmtId="0" fontId="7" fillId="0" borderId="16" xfId="60" applyFont="1" applyBorder="1" applyAlignment="1">
      <alignment horizontal="right"/>
      <protection/>
    </xf>
    <xf numFmtId="0" fontId="7" fillId="0" borderId="0" xfId="61" applyFont="1" applyBorder="1" applyAlignment="1">
      <alignment horizontal="center" vertical="center"/>
      <protection/>
    </xf>
    <xf numFmtId="218" fontId="26" fillId="0" borderId="0" xfId="45" applyNumberFormat="1" applyFont="1" applyAlignment="1">
      <alignment horizontal="center"/>
    </xf>
    <xf numFmtId="0" fontId="22" fillId="0" borderId="0" xfId="61" applyFont="1" applyBorder="1" applyAlignment="1">
      <alignment vertical="center"/>
      <protection/>
    </xf>
    <xf numFmtId="0" fontId="22" fillId="0" borderId="0" xfId="61" applyFont="1" applyBorder="1" applyAlignment="1">
      <alignment horizontal="center" vertical="center"/>
      <protection/>
    </xf>
    <xf numFmtId="4" fontId="11" fillId="0" borderId="0" xfId="46" applyNumberFormat="1" applyFont="1" applyBorder="1" applyAlignment="1">
      <alignment vertical="center"/>
    </xf>
    <xf numFmtId="218" fontId="0" fillId="0" borderId="0" xfId="0" applyNumberFormat="1" applyAlignment="1">
      <alignment/>
    </xf>
    <xf numFmtId="230" fontId="1" fillId="0" borderId="0" xfId="42" applyNumberFormat="1" applyFont="1" applyAlignment="1">
      <alignment/>
    </xf>
    <xf numFmtId="0" fontId="0" fillId="0" borderId="0" xfId="0" applyFont="1" applyBorder="1" applyAlignment="1">
      <alignment/>
    </xf>
    <xf numFmtId="218" fontId="34" fillId="0" borderId="11" xfId="44" applyNumberFormat="1" applyFont="1" applyFill="1" applyBorder="1" applyAlignment="1">
      <alignment vertical="center"/>
    </xf>
    <xf numFmtId="0" fontId="11" fillId="33" borderId="0" xfId="60" applyFont="1" applyFill="1" applyBorder="1">
      <alignment/>
      <protection/>
    </xf>
    <xf numFmtId="0" fontId="26" fillId="33" borderId="0" xfId="60" applyFont="1" applyFill="1">
      <alignment/>
      <protection/>
    </xf>
    <xf numFmtId="0" fontId="0" fillId="33" borderId="0" xfId="0" applyFill="1" applyAlignment="1">
      <alignment/>
    </xf>
    <xf numFmtId="194" fontId="1" fillId="33" borderId="0" xfId="42" applyFont="1" applyFill="1" applyAlignment="1">
      <alignment/>
    </xf>
    <xf numFmtId="228" fontId="1" fillId="33" borderId="0" xfId="42" applyNumberFormat="1" applyFont="1" applyFill="1" applyAlignment="1">
      <alignment/>
    </xf>
    <xf numFmtId="0" fontId="1" fillId="33" borderId="0" xfId="0" applyFont="1" applyFill="1" applyAlignment="1">
      <alignment/>
    </xf>
    <xf numFmtId="0" fontId="26" fillId="0" borderId="0" xfId="61" applyFont="1" applyBorder="1" applyAlignment="1">
      <alignment horizontal="left" vertical="top" wrapText="1"/>
      <protection/>
    </xf>
    <xf numFmtId="0" fontId="7" fillId="0" borderId="11" xfId="61" applyFont="1" applyBorder="1">
      <alignment/>
      <protection/>
    </xf>
    <xf numFmtId="0" fontId="25" fillId="0" borderId="11" xfId="0" applyFont="1" applyBorder="1" applyAlignment="1">
      <alignment/>
    </xf>
    <xf numFmtId="0" fontId="5" fillId="0" borderId="0" xfId="61" applyFont="1" applyBorder="1" applyAlignment="1">
      <alignment horizontal="center"/>
      <protection/>
    </xf>
    <xf numFmtId="0" fontId="5" fillId="0" borderId="0" xfId="61" applyFont="1" applyBorder="1">
      <alignment/>
      <protection/>
    </xf>
    <xf numFmtId="0" fontId="5" fillId="0" borderId="0" xfId="61" applyFont="1" applyBorder="1" applyAlignment="1">
      <alignment horizontal="center" vertical="center"/>
      <protection/>
    </xf>
    <xf numFmtId="0" fontId="15" fillId="0" borderId="0" xfId="0" applyFont="1" applyBorder="1" applyAlignment="1">
      <alignment/>
    </xf>
    <xf numFmtId="0" fontId="5" fillId="0" borderId="0" xfId="0" applyFont="1" applyAlignment="1">
      <alignment horizontal="left"/>
    </xf>
    <xf numFmtId="0" fontId="5" fillId="0" borderId="0" xfId="60" applyFont="1" applyAlignment="1">
      <alignment horizontal="left"/>
      <protection/>
    </xf>
    <xf numFmtId="0" fontId="11" fillId="0" borderId="11" xfId="60" applyFont="1" applyBorder="1" applyAlignment="1">
      <alignment horizontal="center"/>
      <protection/>
    </xf>
    <xf numFmtId="0" fontId="11" fillId="0" borderId="12" xfId="60" applyFont="1" applyBorder="1">
      <alignment/>
      <protection/>
    </xf>
    <xf numFmtId="0" fontId="11" fillId="0" borderId="12" xfId="60" applyFont="1" applyBorder="1" applyAlignment="1">
      <alignment horizontal="center"/>
      <protection/>
    </xf>
    <xf numFmtId="218" fontId="5" fillId="0" borderId="0" xfId="60" applyNumberFormat="1" applyFont="1" applyBorder="1" applyAlignment="1">
      <alignment horizontal="right"/>
      <protection/>
    </xf>
    <xf numFmtId="218" fontId="5" fillId="0" borderId="10" xfId="60" applyNumberFormat="1" applyFont="1" applyBorder="1" applyAlignment="1">
      <alignment horizontal="right"/>
      <protection/>
    </xf>
    <xf numFmtId="0" fontId="5" fillId="0" borderId="11" xfId="60" applyFont="1" applyBorder="1" applyAlignment="1">
      <alignment horizontal="left" vertical="center"/>
      <protection/>
    </xf>
    <xf numFmtId="0" fontId="12" fillId="0" borderId="0" xfId="60" applyFont="1" applyFill="1">
      <alignment/>
      <protection/>
    </xf>
    <xf numFmtId="0" fontId="16" fillId="0" borderId="0" xfId="60" applyFont="1" applyFill="1" applyBorder="1">
      <alignment/>
      <protection/>
    </xf>
    <xf numFmtId="218" fontId="0" fillId="0" borderId="0" xfId="0" applyNumberFormat="1" applyFont="1" applyFill="1" applyAlignment="1">
      <alignment/>
    </xf>
    <xf numFmtId="0" fontId="13" fillId="0" borderId="0" xfId="60" applyFont="1" applyFill="1">
      <alignment/>
      <protection/>
    </xf>
    <xf numFmtId="0" fontId="5" fillId="34" borderId="17" xfId="61" applyFont="1" applyFill="1" applyBorder="1" applyAlignment="1">
      <alignment horizontal="center" vertical="center"/>
      <protection/>
    </xf>
    <xf numFmtId="0" fontId="5" fillId="34" borderId="17" xfId="61" applyFont="1" applyFill="1" applyBorder="1" applyAlignment="1">
      <alignment horizontal="center" vertical="center"/>
      <protection/>
    </xf>
    <xf numFmtId="0" fontId="5" fillId="34" borderId="17" xfId="61" applyFont="1" applyFill="1" applyBorder="1" applyAlignment="1">
      <alignment vertical="center"/>
      <protection/>
    </xf>
    <xf numFmtId="0" fontId="5" fillId="34" borderId="17" xfId="61" applyFont="1" applyFill="1" applyBorder="1" applyAlignment="1">
      <alignment horizontal="center" vertical="top" wrapText="1"/>
      <protection/>
    </xf>
    <xf numFmtId="0" fontId="5" fillId="34" borderId="17" xfId="61" applyFont="1" applyFill="1" applyBorder="1" applyAlignment="1">
      <alignment vertical="top" wrapText="1"/>
      <protection/>
    </xf>
    <xf numFmtId="0" fontId="5" fillId="34" borderId="17" xfId="61" applyFont="1" applyFill="1" applyBorder="1" applyAlignment="1">
      <alignment horizontal="center" vertical="top"/>
      <protection/>
    </xf>
    <xf numFmtId="0" fontId="5" fillId="34" borderId="16" xfId="61" applyFont="1" applyFill="1" applyBorder="1" applyAlignment="1">
      <alignment horizontal="center" vertical="center"/>
      <protection/>
    </xf>
    <xf numFmtId="0" fontId="26" fillId="34" borderId="17" xfId="61" applyFont="1" applyFill="1" applyBorder="1" applyAlignment="1">
      <alignment horizontal="left" vertical="center" wrapText="1"/>
      <protection/>
    </xf>
    <xf numFmtId="0" fontId="26" fillId="0" borderId="12" xfId="60" applyFont="1" applyBorder="1">
      <alignment/>
      <protection/>
    </xf>
    <xf numFmtId="0" fontId="0" fillId="0" borderId="12" xfId="0" applyBorder="1" applyAlignment="1">
      <alignment/>
    </xf>
    <xf numFmtId="194" fontId="1" fillId="0" borderId="12" xfId="42" applyFont="1" applyBorder="1" applyAlignment="1">
      <alignment/>
    </xf>
    <xf numFmtId="228" fontId="1" fillId="0" borderId="12" xfId="42" applyNumberFormat="1" applyFont="1" applyBorder="1" applyAlignment="1">
      <alignment/>
    </xf>
    <xf numFmtId="0" fontId="1" fillId="0" borderId="12" xfId="0" applyFont="1" applyBorder="1" applyAlignment="1">
      <alignment/>
    </xf>
    <xf numFmtId="0" fontId="11" fillId="0" borderId="0" xfId="61" applyFont="1" applyBorder="1" applyAlignment="1">
      <alignment horizontal="center" vertical="top" wrapText="1"/>
      <protection/>
    </xf>
    <xf numFmtId="0" fontId="26" fillId="0" borderId="0" xfId="61" applyFont="1" applyBorder="1" applyAlignment="1">
      <alignment horizontal="left" vertical="top"/>
      <protection/>
    </xf>
    <xf numFmtId="0" fontId="5" fillId="34" borderId="11" xfId="61" applyFont="1" applyFill="1" applyBorder="1" applyAlignment="1">
      <alignment vertical="top" wrapText="1"/>
      <protection/>
    </xf>
    <xf numFmtId="0" fontId="5" fillId="0" borderId="0" xfId="60" applyFont="1" applyBorder="1" applyAlignment="1">
      <alignment vertical="top"/>
      <protection/>
    </xf>
    <xf numFmtId="218" fontId="11" fillId="0" borderId="0" xfId="45" applyNumberFormat="1" applyFont="1" applyBorder="1" applyAlignment="1">
      <alignment horizontal="right" vertical="top"/>
    </xf>
    <xf numFmtId="0" fontId="26" fillId="0" borderId="0" xfId="0" applyFont="1" applyAlignment="1">
      <alignment horizontal="center" vertical="top"/>
    </xf>
    <xf numFmtId="218" fontId="28" fillId="0" borderId="18" xfId="45" applyNumberFormat="1" applyFont="1" applyBorder="1" applyAlignment="1">
      <alignment horizontal="center" textRotation="78" wrapText="1"/>
    </xf>
    <xf numFmtId="0" fontId="11" fillId="0" borderId="0" xfId="60" applyFont="1" applyBorder="1" applyAlignment="1">
      <alignment horizontal="left" vertical="top" wrapText="1"/>
      <protection/>
    </xf>
    <xf numFmtId="0" fontId="26" fillId="0" borderId="0" xfId="60" applyFont="1" applyBorder="1" applyAlignment="1">
      <alignment horizontal="left" vertical="top"/>
      <protection/>
    </xf>
    <xf numFmtId="0" fontId="5" fillId="0" borderId="10" xfId="60" applyFont="1" applyBorder="1">
      <alignment/>
      <protection/>
    </xf>
    <xf numFmtId="0" fontId="13" fillId="0" borderId="12" xfId="60" applyFont="1" applyBorder="1">
      <alignment/>
      <protection/>
    </xf>
    <xf numFmtId="0" fontId="14" fillId="0" borderId="0" xfId="60" applyFont="1" applyBorder="1" applyAlignment="1">
      <alignment horizontal="center"/>
      <protection/>
    </xf>
    <xf numFmtId="218" fontId="14" fillId="0" borderId="0" xfId="45" applyNumberFormat="1" applyFont="1" applyBorder="1" applyAlignment="1">
      <alignment/>
    </xf>
    <xf numFmtId="218" fontId="14" fillId="0" borderId="0" xfId="45" applyNumberFormat="1" applyFont="1" applyBorder="1" applyAlignment="1">
      <alignment horizontal="center"/>
    </xf>
    <xf numFmtId="218" fontId="4" fillId="0" borderId="0" xfId="45" applyNumberFormat="1" applyFont="1" applyBorder="1" applyAlignment="1">
      <alignment horizontal="center"/>
    </xf>
    <xf numFmtId="218" fontId="26" fillId="0" borderId="12" xfId="45" applyNumberFormat="1" applyFont="1" applyBorder="1" applyAlignment="1">
      <alignment horizontal="center"/>
    </xf>
    <xf numFmtId="218" fontId="26" fillId="0" borderId="12" xfId="45" applyNumberFormat="1" applyFont="1" applyBorder="1" applyAlignment="1">
      <alignment/>
    </xf>
    <xf numFmtId="0" fontId="12" fillId="0" borderId="12" xfId="60" applyFont="1" applyBorder="1">
      <alignment/>
      <protection/>
    </xf>
    <xf numFmtId="218" fontId="4" fillId="0" borderId="12" xfId="45" applyNumberFormat="1" applyFont="1" applyBorder="1" applyAlignment="1">
      <alignment horizontal="center"/>
    </xf>
    <xf numFmtId="0" fontId="4" fillId="0" borderId="12" xfId="60" applyBorder="1">
      <alignment/>
      <protection/>
    </xf>
    <xf numFmtId="218" fontId="5" fillId="0" borderId="0" xfId="60" applyNumberFormat="1" applyFont="1" applyBorder="1" applyAlignment="1">
      <alignment/>
      <protection/>
    </xf>
    <xf numFmtId="218" fontId="5" fillId="0" borderId="12" xfId="46" applyNumberFormat="1" applyFont="1" applyBorder="1" applyAlignment="1">
      <alignment horizontal="right"/>
    </xf>
    <xf numFmtId="218" fontId="5" fillId="0" borderId="12" xfId="46" applyNumberFormat="1" applyFont="1" applyBorder="1" applyAlignment="1">
      <alignment horizontal="center"/>
    </xf>
    <xf numFmtId="0" fontId="4" fillId="0" borderId="12" xfId="60" applyFont="1" applyBorder="1">
      <alignment/>
      <protection/>
    </xf>
    <xf numFmtId="0" fontId="4" fillId="0" borderId="12" xfId="60" applyFont="1" applyBorder="1">
      <alignment/>
      <protection/>
    </xf>
    <xf numFmtId="218" fontId="5" fillId="0" borderId="12" xfId="60" applyNumberFormat="1" applyFont="1" applyBorder="1">
      <alignment/>
      <protection/>
    </xf>
    <xf numFmtId="0" fontId="10" fillId="0" borderId="12" xfId="60" applyFont="1" applyBorder="1">
      <alignment/>
      <protection/>
    </xf>
    <xf numFmtId="218" fontId="7" fillId="0" borderId="12" xfId="68" applyNumberFormat="1" applyFont="1" applyBorder="1" applyAlignment="1">
      <alignment horizontal="right"/>
      <protection/>
    </xf>
    <xf numFmtId="218" fontId="0" fillId="0" borderId="12" xfId="0" applyNumberFormat="1" applyFont="1" applyBorder="1" applyAlignment="1">
      <alignment/>
    </xf>
    <xf numFmtId="217" fontId="0" fillId="0" borderId="12" xfId="45" applyNumberFormat="1" applyFont="1" applyBorder="1" applyAlignment="1">
      <alignment/>
    </xf>
    <xf numFmtId="0" fontId="0" fillId="0" borderId="12" xfId="0" applyFont="1" applyBorder="1" applyAlignment="1">
      <alignment/>
    </xf>
    <xf numFmtId="0" fontId="4" fillId="0" borderId="0" xfId="60" applyFont="1" applyBorder="1">
      <alignment/>
      <protection/>
    </xf>
    <xf numFmtId="0" fontId="11" fillId="0" borderId="0" xfId="60" applyFont="1" applyBorder="1" applyAlignment="1">
      <alignment horizontal="left" vertical="top" wrapText="1"/>
      <protection/>
    </xf>
    <xf numFmtId="0" fontId="12" fillId="0" borderId="12" xfId="60" applyFont="1" applyFill="1" applyBorder="1">
      <alignment/>
      <protection/>
    </xf>
    <xf numFmtId="0" fontId="0" fillId="0" borderId="12" xfId="0" applyFont="1" applyBorder="1" applyAlignment="1">
      <alignment/>
    </xf>
    <xf numFmtId="217" fontId="13" fillId="0" borderId="12" xfId="45" applyNumberFormat="1" applyFont="1" applyBorder="1" applyAlignment="1">
      <alignment/>
    </xf>
    <xf numFmtId="0" fontId="23" fillId="0" borderId="12" xfId="0" applyFont="1" applyBorder="1" applyAlignment="1">
      <alignment/>
    </xf>
    <xf numFmtId="0" fontId="24" fillId="0" borderId="12" xfId="0" applyFont="1" applyBorder="1" applyAlignment="1">
      <alignment/>
    </xf>
    <xf numFmtId="0" fontId="4" fillId="0" borderId="0" xfId="61" applyFont="1" applyBorder="1">
      <alignment/>
      <protection/>
    </xf>
    <xf numFmtId="217" fontId="10" fillId="0" borderId="12" xfId="45" applyNumberFormat="1" applyFont="1" applyBorder="1" applyAlignment="1">
      <alignment/>
    </xf>
    <xf numFmtId="0" fontId="4" fillId="0" borderId="0" xfId="60" applyFont="1" applyBorder="1">
      <alignment/>
      <protection/>
    </xf>
    <xf numFmtId="0" fontId="11" fillId="0" borderId="12" xfId="61" applyFont="1" applyBorder="1" applyAlignment="1">
      <alignment horizontal="right"/>
      <protection/>
    </xf>
    <xf numFmtId="0" fontId="4" fillId="0" borderId="12" xfId="61" applyFont="1" applyBorder="1">
      <alignment/>
      <protection/>
    </xf>
    <xf numFmtId="0" fontId="0" fillId="0" borderId="10" xfId="0" applyFont="1" applyBorder="1" applyAlignment="1">
      <alignment/>
    </xf>
    <xf numFmtId="0" fontId="5" fillId="0" borderId="19" xfId="60" applyFont="1" applyBorder="1">
      <alignment/>
      <protection/>
    </xf>
    <xf numFmtId="218" fontId="5" fillId="0" borderId="19" xfId="44" applyNumberFormat="1" applyFont="1" applyFill="1" applyBorder="1" applyAlignment="1">
      <alignment vertical="center"/>
    </xf>
    <xf numFmtId="0" fontId="26" fillId="0" borderId="19" xfId="60" applyFont="1" applyBorder="1">
      <alignment/>
      <protection/>
    </xf>
    <xf numFmtId="0" fontId="0" fillId="0" borderId="19" xfId="0" applyBorder="1" applyAlignment="1">
      <alignment/>
    </xf>
    <xf numFmtId="194" fontId="1" fillId="0" borderId="19" xfId="42" applyFont="1" applyBorder="1" applyAlignment="1">
      <alignment/>
    </xf>
    <xf numFmtId="228" fontId="1" fillId="0" borderId="19" xfId="42" applyNumberFormat="1" applyFont="1" applyBorder="1" applyAlignment="1">
      <alignment/>
    </xf>
    <xf numFmtId="194" fontId="23" fillId="0" borderId="19" xfId="42" applyFont="1" applyBorder="1" applyAlignment="1">
      <alignment/>
    </xf>
    <xf numFmtId="0" fontId="23" fillId="0" borderId="19" xfId="0" applyFont="1" applyBorder="1" applyAlignment="1">
      <alignment/>
    </xf>
    <xf numFmtId="0" fontId="1" fillId="0" borderId="19" xfId="0" applyFont="1" applyBorder="1" applyAlignment="1">
      <alignment/>
    </xf>
    <xf numFmtId="217" fontId="12" fillId="0" borderId="0" xfId="44" applyNumberFormat="1" applyFont="1" applyAlignment="1">
      <alignment/>
    </xf>
    <xf numFmtId="217" fontId="5" fillId="0" borderId="10" xfId="44" applyNumberFormat="1" applyFont="1" applyBorder="1" applyAlignment="1">
      <alignment horizontal="right" vertical="center"/>
    </xf>
    <xf numFmtId="217" fontId="16" fillId="0" borderId="0" xfId="44" applyNumberFormat="1" applyFont="1" applyBorder="1" applyAlignment="1">
      <alignment/>
    </xf>
    <xf numFmtId="217" fontId="5" fillId="0" borderId="13" xfId="44" applyNumberFormat="1" applyFont="1" applyBorder="1" applyAlignment="1">
      <alignment/>
    </xf>
    <xf numFmtId="217" fontId="13" fillId="0" borderId="0" xfId="44" applyNumberFormat="1" applyFont="1" applyAlignment="1">
      <alignment/>
    </xf>
    <xf numFmtId="217" fontId="1" fillId="0" borderId="0" xfId="0" applyNumberFormat="1" applyFont="1" applyAlignment="1">
      <alignment/>
    </xf>
    <xf numFmtId="217" fontId="0" fillId="0" borderId="0" xfId="0" applyNumberFormat="1" applyFont="1" applyAlignment="1">
      <alignment/>
    </xf>
    <xf numFmtId="217" fontId="4" fillId="0" borderId="0" xfId="60" applyNumberFormat="1" applyFont="1">
      <alignment/>
      <protection/>
    </xf>
    <xf numFmtId="217" fontId="5" fillId="0" borderId="0" xfId="44" applyNumberFormat="1" applyFont="1" applyFill="1" applyBorder="1" applyAlignment="1">
      <alignment vertical="center"/>
    </xf>
    <xf numFmtId="217" fontId="34" fillId="0" borderId="11" xfId="44" applyNumberFormat="1" applyFont="1" applyFill="1" applyBorder="1" applyAlignment="1">
      <alignment vertical="center"/>
    </xf>
    <xf numFmtId="217" fontId="5" fillId="0" borderId="12" xfId="44" applyNumberFormat="1" applyFont="1" applyFill="1" applyBorder="1" applyAlignment="1">
      <alignment vertical="center"/>
    </xf>
    <xf numFmtId="217" fontId="5" fillId="0" borderId="19" xfId="44" applyNumberFormat="1" applyFont="1" applyFill="1" applyBorder="1" applyAlignment="1">
      <alignment vertical="center"/>
    </xf>
    <xf numFmtId="223" fontId="5" fillId="34" borderId="17" xfId="61" applyNumberFormat="1" applyFont="1" applyFill="1" applyBorder="1" applyAlignment="1">
      <alignment horizontal="right" vertical="center"/>
      <protection/>
    </xf>
    <xf numFmtId="223" fontId="11" fillId="0" borderId="0" xfId="46" applyNumberFormat="1" applyFont="1" applyBorder="1" applyAlignment="1">
      <alignment horizontal="right" vertical="top" wrapText="1"/>
    </xf>
    <xf numFmtId="223" fontId="5" fillId="34" borderId="17" xfId="61" applyNumberFormat="1" applyFont="1" applyFill="1" applyBorder="1" applyAlignment="1">
      <alignment horizontal="right" vertical="center"/>
      <protection/>
    </xf>
    <xf numFmtId="223" fontId="5" fillId="34" borderId="17" xfId="61" applyNumberFormat="1" applyFont="1" applyFill="1" applyBorder="1" applyAlignment="1">
      <alignment horizontal="right" vertical="top"/>
      <protection/>
    </xf>
    <xf numFmtId="223" fontId="5" fillId="34" borderId="17" xfId="61" applyNumberFormat="1" applyFont="1" applyFill="1" applyBorder="1" applyAlignment="1">
      <alignment vertical="top"/>
      <protection/>
    </xf>
    <xf numFmtId="223" fontId="5" fillId="0" borderId="10" xfId="46" applyNumberFormat="1" applyFont="1" applyBorder="1" applyAlignment="1">
      <alignment vertical="center"/>
    </xf>
    <xf numFmtId="0" fontId="5" fillId="0" borderId="0" xfId="61" applyFont="1" applyBorder="1" applyAlignment="1">
      <alignment horizontal="left" vertical="top" wrapText="1"/>
      <protection/>
    </xf>
    <xf numFmtId="0" fontId="11" fillId="0" borderId="0" xfId="61" applyFont="1" applyBorder="1" applyAlignment="1">
      <alignment horizontal="center" vertical="top"/>
      <protection/>
    </xf>
    <xf numFmtId="223" fontId="11" fillId="0" borderId="0" xfId="61" applyNumberFormat="1" applyFont="1" applyBorder="1" applyAlignment="1">
      <alignment horizontal="right" vertical="top" wrapText="1"/>
      <protection/>
    </xf>
    <xf numFmtId="223" fontId="5" fillId="34" borderId="17" xfId="46" applyNumberFormat="1" applyFont="1" applyFill="1" applyBorder="1" applyAlignment="1">
      <alignment horizontal="right" vertical="center" wrapText="1"/>
    </xf>
    <xf numFmtId="223" fontId="11" fillId="0" borderId="0" xfId="46" applyNumberFormat="1" applyFont="1" applyBorder="1" applyAlignment="1">
      <alignment vertical="center"/>
    </xf>
    <xf numFmtId="223" fontId="11" fillId="0" borderId="0" xfId="45" applyNumberFormat="1" applyFont="1" applyBorder="1" applyAlignment="1">
      <alignment/>
    </xf>
    <xf numFmtId="223" fontId="32" fillId="0" borderId="0" xfId="46" applyNumberFormat="1" applyFont="1" applyBorder="1" applyAlignment="1">
      <alignment vertical="center"/>
    </xf>
    <xf numFmtId="223" fontId="4" fillId="0" borderId="0" xfId="61" applyNumberFormat="1">
      <alignment/>
      <protection/>
    </xf>
    <xf numFmtId="223" fontId="5" fillId="0" borderId="0" xfId="42" applyNumberFormat="1" applyFont="1" applyBorder="1" applyAlignment="1">
      <alignment horizontal="right"/>
    </xf>
    <xf numFmtId="223" fontId="7" fillId="0" borderId="0" xfId="46" applyNumberFormat="1" applyFont="1" applyBorder="1" applyAlignment="1">
      <alignment/>
    </xf>
    <xf numFmtId="223" fontId="0" fillId="0" borderId="0" xfId="0" applyNumberFormat="1" applyAlignment="1">
      <alignment/>
    </xf>
    <xf numFmtId="0" fontId="25" fillId="0" borderId="0" xfId="0" applyFont="1" applyAlignment="1">
      <alignment vertical="top"/>
    </xf>
    <xf numFmtId="0" fontId="26" fillId="0" borderId="0" xfId="61" applyFont="1">
      <alignment/>
      <protection/>
    </xf>
    <xf numFmtId="0" fontId="26" fillId="0" borderId="0" xfId="0" applyFont="1" applyAlignment="1">
      <alignment/>
    </xf>
    <xf numFmtId="0" fontId="11" fillId="34" borderId="17" xfId="61" applyFont="1" applyFill="1" applyBorder="1" applyAlignment="1">
      <alignment horizontal="left" vertical="center" wrapText="1"/>
      <protection/>
    </xf>
    <xf numFmtId="0" fontId="26" fillId="34" borderId="17" xfId="61" applyFont="1" applyFill="1" applyBorder="1">
      <alignment/>
      <protection/>
    </xf>
    <xf numFmtId="0" fontId="26" fillId="0" borderId="11" xfId="61" applyFont="1" applyBorder="1" applyAlignment="1">
      <alignment horizontal="left" vertical="top" wrapText="1"/>
      <protection/>
    </xf>
    <xf numFmtId="0" fontId="26" fillId="33" borderId="0" xfId="61" applyFont="1" applyFill="1">
      <alignment/>
      <protection/>
    </xf>
    <xf numFmtId="0" fontId="26" fillId="33" borderId="0" xfId="0" applyFont="1" applyFill="1" applyAlignment="1">
      <alignment/>
    </xf>
    <xf numFmtId="0" fontId="11" fillId="0" borderId="0" xfId="61" applyFont="1" applyFill="1" applyBorder="1" applyAlignment="1">
      <alignment vertical="top" wrapText="1"/>
      <protection/>
    </xf>
    <xf numFmtId="0" fontId="11" fillId="0" borderId="0" xfId="61" applyFont="1" applyFill="1" applyBorder="1" applyAlignment="1">
      <alignment horizontal="left" vertical="top" wrapText="1"/>
      <protection/>
    </xf>
    <xf numFmtId="223" fontId="11" fillId="0" borderId="0" xfId="46" applyNumberFormat="1" applyFont="1" applyBorder="1" applyAlignment="1">
      <alignment vertical="top"/>
    </xf>
    <xf numFmtId="223" fontId="11" fillId="0" borderId="0" xfId="46" applyNumberFormat="1" applyFont="1" applyBorder="1" applyAlignment="1">
      <alignment vertical="top" wrapText="1"/>
    </xf>
    <xf numFmtId="0" fontId="11" fillId="0" borderId="0" xfId="61" applyFont="1" applyBorder="1" applyAlignment="1">
      <alignment horizontal="left" vertical="top" wrapText="1"/>
      <protection/>
    </xf>
    <xf numFmtId="0" fontId="36" fillId="0" borderId="0" xfId="61" applyFont="1" applyFill="1" applyBorder="1" applyAlignment="1">
      <alignment vertical="top" wrapText="1"/>
      <protection/>
    </xf>
    <xf numFmtId="0" fontId="11" fillId="0" borderId="0" xfId="61" applyFont="1" applyBorder="1" applyAlignment="1">
      <alignment horizontal="left" vertical="top"/>
      <protection/>
    </xf>
    <xf numFmtId="0" fontId="26" fillId="0" borderId="0" xfId="61" applyFont="1" applyAlignment="1">
      <alignment vertical="top"/>
      <protection/>
    </xf>
    <xf numFmtId="0" fontId="26" fillId="0" borderId="0" xfId="0" applyFont="1" applyAlignment="1">
      <alignment vertical="top"/>
    </xf>
    <xf numFmtId="0" fontId="11" fillId="0" borderId="0" xfId="61" applyFont="1" applyBorder="1" applyAlignment="1">
      <alignment horizontal="left" vertical="center" wrapText="1"/>
      <protection/>
    </xf>
    <xf numFmtId="0" fontId="36" fillId="0" borderId="0" xfId="61" applyFont="1" applyFill="1" applyBorder="1" applyAlignment="1">
      <alignment horizontal="left" vertical="top" wrapText="1"/>
      <protection/>
    </xf>
    <xf numFmtId="0" fontId="11" fillId="34" borderId="17" xfId="61" applyFont="1" applyFill="1" applyBorder="1" applyAlignment="1">
      <alignment horizontal="center" vertical="center"/>
      <protection/>
    </xf>
    <xf numFmtId="0" fontId="11" fillId="34" borderId="17" xfId="61" applyFont="1" applyFill="1" applyBorder="1" applyAlignment="1">
      <alignment horizontal="center" vertical="center" wrapText="1"/>
      <protection/>
    </xf>
    <xf numFmtId="0" fontId="36" fillId="0" borderId="0" xfId="61" applyFont="1" applyFill="1" applyBorder="1" applyAlignment="1">
      <alignment vertical="top"/>
      <protection/>
    </xf>
    <xf numFmtId="0" fontId="36" fillId="0" borderId="11" xfId="61" applyFont="1" applyFill="1" applyBorder="1" applyAlignment="1">
      <alignment vertical="top" wrapText="1"/>
      <protection/>
    </xf>
    <xf numFmtId="0" fontId="11" fillId="33" borderId="0" xfId="61" applyFont="1" applyFill="1" applyBorder="1" applyAlignment="1">
      <alignment horizontal="left" vertical="center" wrapText="1"/>
      <protection/>
    </xf>
    <xf numFmtId="0" fontId="11" fillId="0" borderId="0" xfId="61" applyFont="1" applyBorder="1" applyAlignment="1">
      <alignment vertical="top" wrapText="1"/>
      <protection/>
    </xf>
    <xf numFmtId="0" fontId="26" fillId="0" borderId="0" xfId="61" applyFont="1" applyAlignment="1">
      <alignment vertical="top" wrapText="1"/>
      <protection/>
    </xf>
    <xf numFmtId="0" fontId="26" fillId="0" borderId="0" xfId="0" applyFont="1" applyAlignment="1">
      <alignment vertical="top" wrapText="1"/>
    </xf>
    <xf numFmtId="0" fontId="11" fillId="0" borderId="0" xfId="61" applyFont="1" applyBorder="1" applyAlignment="1">
      <alignment vertical="top"/>
      <protection/>
    </xf>
    <xf numFmtId="49" fontId="11" fillId="0" borderId="0" xfId="61" applyNumberFormat="1" applyFont="1" applyBorder="1" applyAlignment="1">
      <alignment horizontal="center" vertical="top" wrapText="1"/>
      <protection/>
    </xf>
    <xf numFmtId="0" fontId="11" fillId="0" borderId="0" xfId="61" applyFont="1" applyAlignment="1">
      <alignment vertical="top"/>
      <protection/>
    </xf>
    <xf numFmtId="0" fontId="11" fillId="0" borderId="11" xfId="61" applyFont="1" applyBorder="1" applyAlignment="1">
      <alignment horizontal="center" vertical="top"/>
      <protection/>
    </xf>
    <xf numFmtId="0" fontId="36" fillId="0" borderId="11" xfId="61" applyFont="1" applyBorder="1" applyAlignment="1">
      <alignment horizontal="center" vertical="top"/>
      <protection/>
    </xf>
    <xf numFmtId="0" fontId="11" fillId="0" borderId="11" xfId="61" applyFont="1" applyBorder="1" applyAlignment="1">
      <alignment vertical="top"/>
      <protection/>
    </xf>
    <xf numFmtId="223" fontId="11" fillId="0" borderId="11" xfId="46" applyNumberFormat="1" applyFont="1" applyBorder="1" applyAlignment="1">
      <alignment vertical="top"/>
    </xf>
    <xf numFmtId="0" fontId="26" fillId="33" borderId="0" xfId="61" applyFont="1" applyFill="1" applyAlignment="1">
      <alignment vertical="top"/>
      <protection/>
    </xf>
    <xf numFmtId="0" fontId="26" fillId="33" borderId="0" xfId="0" applyFont="1" applyFill="1" applyAlignment="1">
      <alignment vertical="top"/>
    </xf>
    <xf numFmtId="0" fontId="4" fillId="34" borderId="17" xfId="61" applyFont="1" applyFill="1" applyBorder="1" applyAlignment="1">
      <alignment horizontal="left" vertical="top" wrapText="1"/>
      <protection/>
    </xf>
    <xf numFmtId="0" fontId="5" fillId="0" borderId="11" xfId="61" applyFont="1" applyBorder="1" applyAlignment="1">
      <alignment horizontal="left" vertical="top" wrapText="1"/>
      <protection/>
    </xf>
    <xf numFmtId="0" fontId="5" fillId="33" borderId="0" xfId="61" applyFont="1" applyFill="1" applyBorder="1" applyAlignment="1">
      <alignment horizontal="left" vertical="top" wrapText="1"/>
      <protection/>
    </xf>
    <xf numFmtId="223" fontId="11" fillId="0" borderId="0" xfId="46" applyNumberFormat="1" applyFont="1" applyBorder="1" applyAlignment="1">
      <alignment horizontal="right" vertical="top"/>
    </xf>
    <xf numFmtId="0" fontId="11" fillId="34" borderId="17" xfId="61" applyFont="1" applyFill="1" applyBorder="1" applyAlignment="1">
      <alignment horizontal="left" vertical="top"/>
      <protection/>
    </xf>
    <xf numFmtId="0" fontId="26" fillId="34" borderId="17" xfId="61" applyFont="1" applyFill="1" applyBorder="1" applyAlignment="1">
      <alignment horizontal="left" vertical="top"/>
      <protection/>
    </xf>
    <xf numFmtId="0" fontId="11" fillId="34" borderId="17" xfId="61" applyFont="1" applyFill="1" applyBorder="1" applyAlignment="1">
      <alignment vertical="top"/>
      <protection/>
    </xf>
    <xf numFmtId="0" fontId="5" fillId="0" borderId="11" xfId="61" applyFont="1" applyBorder="1" applyAlignment="1">
      <alignment horizontal="left" vertical="top"/>
      <protection/>
    </xf>
    <xf numFmtId="0" fontId="26" fillId="0" borderId="11" xfId="61" applyFont="1" applyBorder="1" applyAlignment="1">
      <alignment horizontal="left" vertical="top"/>
      <protection/>
    </xf>
    <xf numFmtId="0" fontId="26" fillId="0" borderId="11" xfId="0" applyFont="1" applyBorder="1" applyAlignment="1">
      <alignment vertical="top"/>
    </xf>
    <xf numFmtId="0" fontId="5" fillId="34" borderId="17" xfId="61" applyFont="1" applyFill="1" applyBorder="1" applyAlignment="1">
      <alignment horizontal="left" vertical="top"/>
      <protection/>
    </xf>
    <xf numFmtId="0" fontId="4" fillId="0" borderId="0" xfId="61" applyFont="1" applyAlignment="1">
      <alignment vertical="top"/>
      <protection/>
    </xf>
    <xf numFmtId="0" fontId="4" fillId="0" borderId="0" xfId="0" applyFont="1" applyAlignment="1">
      <alignment vertical="top"/>
    </xf>
    <xf numFmtId="0" fontId="11" fillId="34" borderId="16" xfId="61" applyFont="1" applyFill="1" applyBorder="1" applyAlignment="1">
      <alignment horizontal="left" vertical="top"/>
      <protection/>
    </xf>
    <xf numFmtId="0" fontId="26" fillId="34" borderId="16" xfId="61" applyFont="1" applyFill="1" applyBorder="1" applyAlignment="1">
      <alignment horizontal="left" vertical="top"/>
      <protection/>
    </xf>
    <xf numFmtId="0" fontId="5" fillId="34" borderId="16" xfId="61" applyFont="1" applyFill="1" applyBorder="1" applyAlignment="1">
      <alignment horizontal="center" vertical="top"/>
      <protection/>
    </xf>
    <xf numFmtId="0" fontId="7" fillId="34" borderId="16" xfId="61" applyFont="1" applyFill="1" applyBorder="1" applyAlignment="1">
      <alignment horizontal="center" vertical="top"/>
      <protection/>
    </xf>
    <xf numFmtId="0" fontId="7" fillId="34" borderId="16" xfId="61" applyFont="1" applyFill="1" applyBorder="1" applyAlignment="1">
      <alignment vertical="top"/>
      <protection/>
    </xf>
    <xf numFmtId="223" fontId="5" fillId="34" borderId="16" xfId="61" applyNumberFormat="1" applyFont="1" applyFill="1" applyBorder="1" applyAlignment="1">
      <alignment horizontal="right" vertical="top"/>
      <protection/>
    </xf>
    <xf numFmtId="0" fontId="7" fillId="0" borderId="0" xfId="61" applyFont="1" applyAlignment="1">
      <alignment vertical="top"/>
      <protection/>
    </xf>
    <xf numFmtId="0" fontId="5" fillId="0" borderId="10" xfId="61" applyFont="1" applyBorder="1" applyAlignment="1">
      <alignment horizontal="left" vertical="top"/>
      <protection/>
    </xf>
    <xf numFmtId="0" fontId="26" fillId="0" borderId="10" xfId="61" applyFont="1" applyBorder="1" applyAlignment="1">
      <alignment horizontal="left" vertical="top"/>
      <protection/>
    </xf>
    <xf numFmtId="0" fontId="5" fillId="0" borderId="10" xfId="61" applyFont="1" applyFill="1" applyBorder="1" applyAlignment="1">
      <alignment horizontal="center" vertical="top"/>
      <protection/>
    </xf>
    <xf numFmtId="0" fontId="7" fillId="0" borderId="10" xfId="61" applyFont="1" applyBorder="1" applyAlignment="1">
      <alignment horizontal="center" vertical="top"/>
      <protection/>
    </xf>
    <xf numFmtId="0" fontId="7" fillId="0" borderId="10" xfId="61" applyFont="1" applyBorder="1" applyAlignment="1">
      <alignment vertical="top"/>
      <protection/>
    </xf>
    <xf numFmtId="218" fontId="5" fillId="0" borderId="10" xfId="46" applyNumberFormat="1" applyFont="1" applyBorder="1" applyAlignment="1">
      <alignment vertical="top"/>
    </xf>
    <xf numFmtId="223" fontId="5" fillId="0" borderId="10" xfId="46" applyNumberFormat="1" applyFont="1" applyBorder="1" applyAlignment="1">
      <alignment vertical="top"/>
    </xf>
    <xf numFmtId="0" fontId="10" fillId="0" borderId="0" xfId="61" applyFont="1" applyBorder="1" applyAlignment="1">
      <alignment vertical="top"/>
      <protection/>
    </xf>
    <xf numFmtId="0" fontId="25" fillId="0" borderId="0" xfId="0" applyFont="1" applyBorder="1" applyAlignment="1">
      <alignment vertical="top"/>
    </xf>
    <xf numFmtId="0" fontId="11" fillId="0" borderId="11" xfId="61" applyFont="1" applyFill="1" applyBorder="1" applyAlignment="1">
      <alignment horizontal="left" vertical="top" wrapText="1"/>
      <protection/>
    </xf>
    <xf numFmtId="0" fontId="11" fillId="0" borderId="11" xfId="61" applyFont="1" applyBorder="1" applyAlignment="1">
      <alignment horizontal="center" vertical="top" wrapText="1"/>
      <protection/>
    </xf>
    <xf numFmtId="0" fontId="11" fillId="0" borderId="11" xfId="61" applyFont="1" applyBorder="1" applyAlignment="1">
      <alignment vertical="top" wrapText="1"/>
      <protection/>
    </xf>
    <xf numFmtId="223" fontId="11" fillId="0" borderId="11" xfId="46" applyNumberFormat="1" applyFont="1" applyBorder="1" applyAlignment="1">
      <alignment vertical="top" wrapText="1"/>
    </xf>
    <xf numFmtId="0" fontId="26" fillId="0" borderId="11" xfId="0" applyFont="1" applyBorder="1" applyAlignment="1">
      <alignment vertical="top" wrapText="1"/>
    </xf>
    <xf numFmtId="49" fontId="11" fillId="0" borderId="0" xfId="61" applyNumberFormat="1" applyFont="1" applyBorder="1" applyAlignment="1">
      <alignment horizontal="left" vertical="top" wrapText="1"/>
      <protection/>
    </xf>
    <xf numFmtId="219" fontId="10" fillId="0" borderId="0" xfId="46" applyNumberFormat="1" applyFont="1" applyAlignment="1">
      <alignment/>
    </xf>
    <xf numFmtId="219" fontId="5" fillId="0" borderId="10" xfId="61" applyNumberFormat="1" applyFont="1" applyBorder="1" applyAlignment="1">
      <alignment horizontal="right" vertical="center"/>
      <protection/>
    </xf>
    <xf numFmtId="219" fontId="11" fillId="0" borderId="15" xfId="61" applyNumberFormat="1" applyFont="1" applyBorder="1" applyAlignment="1">
      <alignment vertical="center"/>
      <protection/>
    </xf>
    <xf numFmtId="219" fontId="11" fillId="0" borderId="0" xfId="46" applyNumberFormat="1" applyFont="1" applyBorder="1" applyAlignment="1">
      <alignment horizontal="right" vertical="center"/>
    </xf>
    <xf numFmtId="219" fontId="11" fillId="0" borderId="11" xfId="46" applyNumberFormat="1" applyFont="1" applyBorder="1" applyAlignment="1">
      <alignment vertical="center"/>
    </xf>
    <xf numFmtId="219" fontId="11" fillId="0" borderId="0" xfId="46" applyNumberFormat="1" applyFont="1" applyBorder="1" applyAlignment="1">
      <alignment vertical="center"/>
    </xf>
    <xf numFmtId="219" fontId="5" fillId="0" borderId="10" xfId="46" applyNumberFormat="1" applyFont="1" applyBorder="1" applyAlignment="1">
      <alignment vertical="center"/>
    </xf>
    <xf numFmtId="219" fontId="0" fillId="0" borderId="0" xfId="0" applyNumberFormat="1" applyAlignment="1">
      <alignment/>
    </xf>
    <xf numFmtId="219" fontId="1" fillId="0" borderId="0" xfId="0" applyNumberFormat="1" applyFont="1" applyAlignment="1">
      <alignment/>
    </xf>
    <xf numFmtId="219" fontId="10" fillId="0" borderId="0" xfId="61" applyNumberFormat="1" applyFont="1">
      <alignment/>
      <protection/>
    </xf>
    <xf numFmtId="219" fontId="5" fillId="0" borderId="10" xfId="46" applyNumberFormat="1" applyFont="1" applyBorder="1" applyAlignment="1">
      <alignment horizontal="right" vertical="center"/>
    </xf>
    <xf numFmtId="219" fontId="11" fillId="0" borderId="15" xfId="46" applyNumberFormat="1" applyFont="1" applyBorder="1" applyAlignment="1">
      <alignment vertical="center"/>
    </xf>
    <xf numFmtId="219" fontId="11" fillId="0" borderId="11" xfId="46" applyNumberFormat="1" applyFont="1" applyBorder="1" applyAlignment="1">
      <alignment horizontal="right" vertical="center"/>
    </xf>
    <xf numFmtId="219" fontId="11" fillId="0" borderId="0" xfId="61" applyNumberFormat="1" applyFont="1" applyBorder="1" applyAlignment="1">
      <alignment horizontal="right" vertical="center"/>
      <protection/>
    </xf>
    <xf numFmtId="219" fontId="11" fillId="0" borderId="11" xfId="46" applyNumberFormat="1" applyFont="1" applyBorder="1" applyAlignment="1">
      <alignment horizontal="left" vertical="center"/>
    </xf>
    <xf numFmtId="219" fontId="0" fillId="0" borderId="0" xfId="0" applyNumberFormat="1" applyFont="1" applyAlignment="1">
      <alignment/>
    </xf>
    <xf numFmtId="219" fontId="7" fillId="0" borderId="0" xfId="61" applyNumberFormat="1" applyFont="1">
      <alignment/>
      <protection/>
    </xf>
    <xf numFmtId="219" fontId="7" fillId="0" borderId="0" xfId="61" applyNumberFormat="1" applyFont="1" applyAlignment="1">
      <alignment horizontal="right"/>
      <protection/>
    </xf>
    <xf numFmtId="219" fontId="5" fillId="0" borderId="15" xfId="61" applyNumberFormat="1" applyFont="1" applyBorder="1" applyAlignment="1">
      <alignment vertical="center"/>
      <protection/>
    </xf>
    <xf numFmtId="219" fontId="5" fillId="0" borderId="0" xfId="61" applyNumberFormat="1" applyFont="1" applyBorder="1" applyAlignment="1">
      <alignment vertical="center"/>
      <protection/>
    </xf>
    <xf numFmtId="219" fontId="5" fillId="0" borderId="11" xfId="61" applyNumberFormat="1" applyFont="1" applyBorder="1" applyAlignment="1">
      <alignment vertical="center"/>
      <protection/>
    </xf>
    <xf numFmtId="218" fontId="11" fillId="0" borderId="12" xfId="46" applyNumberFormat="1" applyFont="1" applyBorder="1" applyAlignment="1">
      <alignment horizontal="right" vertical="center"/>
    </xf>
    <xf numFmtId="219" fontId="11" fillId="0" borderId="12" xfId="46" applyNumberFormat="1" applyFont="1" applyBorder="1" applyAlignment="1">
      <alignment horizontal="right" vertical="center"/>
    </xf>
    <xf numFmtId="218" fontId="5" fillId="0" borderId="12" xfId="61" applyNumberFormat="1" applyFont="1" applyBorder="1" applyAlignment="1">
      <alignment vertical="center"/>
      <protection/>
    </xf>
    <xf numFmtId="219" fontId="5" fillId="0" borderId="12" xfId="61" applyNumberFormat="1" applyFont="1" applyBorder="1" applyAlignment="1">
      <alignment vertical="center"/>
      <protection/>
    </xf>
    <xf numFmtId="217" fontId="4" fillId="0" borderId="0" xfId="45" applyNumberFormat="1" applyFont="1" applyAlignment="1">
      <alignment/>
    </xf>
    <xf numFmtId="217" fontId="5" fillId="0" borderId="10" xfId="45" applyNumberFormat="1" applyFont="1" applyBorder="1" applyAlignment="1">
      <alignment horizontal="right"/>
    </xf>
    <xf numFmtId="217" fontId="12" fillId="0" borderId="0" xfId="45" applyNumberFormat="1" applyFont="1" applyBorder="1" applyAlignment="1">
      <alignment/>
    </xf>
    <xf numFmtId="217" fontId="5" fillId="0" borderId="11" xfId="45" applyNumberFormat="1" applyFont="1" applyBorder="1" applyAlignment="1">
      <alignment horizontal="center"/>
    </xf>
    <xf numFmtId="217" fontId="5" fillId="0" borderId="10" xfId="60" applyNumberFormat="1" applyFont="1" applyBorder="1" applyAlignment="1">
      <alignment horizontal="center"/>
      <protection/>
    </xf>
    <xf numFmtId="217" fontId="12" fillId="0" borderId="0" xfId="60" applyNumberFormat="1" applyFont="1">
      <alignment/>
      <protection/>
    </xf>
    <xf numFmtId="217" fontId="0" fillId="0" borderId="0" xfId="0" applyNumberFormat="1" applyAlignment="1">
      <alignment/>
    </xf>
    <xf numFmtId="217" fontId="5" fillId="0" borderId="11" xfId="45" applyNumberFormat="1" applyFont="1" applyBorder="1" applyAlignment="1">
      <alignment/>
    </xf>
    <xf numFmtId="217" fontId="12" fillId="0" borderId="0" xfId="45" applyNumberFormat="1" applyFont="1" applyAlignment="1">
      <alignment/>
    </xf>
    <xf numFmtId="219" fontId="7" fillId="0" borderId="0" xfId="60" applyNumberFormat="1" applyFont="1" applyAlignment="1">
      <alignment horizontal="right"/>
      <protection/>
    </xf>
    <xf numFmtId="219" fontId="5" fillId="0" borderId="10" xfId="45" applyNumberFormat="1" applyFont="1" applyBorder="1" applyAlignment="1">
      <alignment horizontal="right"/>
    </xf>
    <xf numFmtId="219" fontId="12" fillId="0" borderId="0" xfId="45" applyNumberFormat="1" applyFont="1" applyBorder="1" applyAlignment="1">
      <alignment/>
    </xf>
    <xf numFmtId="219" fontId="5" fillId="0" borderId="11" xfId="45" applyNumberFormat="1" applyFont="1" applyBorder="1" applyAlignment="1">
      <alignment horizontal="center"/>
    </xf>
    <xf numFmtId="219" fontId="5" fillId="0" borderId="0" xfId="45" applyNumberFormat="1" applyFont="1" applyBorder="1" applyAlignment="1">
      <alignment horizontal="center"/>
    </xf>
    <xf numFmtId="219" fontId="5" fillId="0" borderId="10" xfId="45" applyNumberFormat="1" applyFont="1" applyBorder="1" applyAlignment="1">
      <alignment horizontal="center"/>
    </xf>
    <xf numFmtId="219" fontId="12" fillId="0" borderId="0" xfId="60" applyNumberFormat="1" applyFont="1">
      <alignment/>
      <protection/>
    </xf>
    <xf numFmtId="219" fontId="4" fillId="0" borderId="0" xfId="60" applyNumberFormat="1" applyFont="1">
      <alignment/>
      <protection/>
    </xf>
    <xf numFmtId="217" fontId="5" fillId="0" borderId="0" xfId="60" applyNumberFormat="1" applyFont="1" applyBorder="1" applyAlignment="1">
      <alignment horizontal="center"/>
      <protection/>
    </xf>
    <xf numFmtId="0" fontId="13" fillId="0" borderId="0" xfId="60" applyFont="1" applyBorder="1">
      <alignment/>
      <protection/>
    </xf>
    <xf numFmtId="219" fontId="5" fillId="0" borderId="10" xfId="60" applyNumberFormat="1" applyFont="1" applyBorder="1" applyAlignment="1">
      <alignment horizontal="center"/>
      <protection/>
    </xf>
    <xf numFmtId="219" fontId="4" fillId="0" borderId="0" xfId="45" applyNumberFormat="1" applyFont="1" applyAlignment="1">
      <alignment/>
    </xf>
    <xf numFmtId="219" fontId="5" fillId="0" borderId="0" xfId="60" applyNumberFormat="1" applyFont="1" applyBorder="1" applyAlignment="1">
      <alignment horizontal="center"/>
      <protection/>
    </xf>
    <xf numFmtId="219" fontId="5" fillId="0" borderId="0" xfId="45" applyNumberFormat="1" applyFont="1" applyBorder="1" applyAlignment="1">
      <alignment horizontal="right"/>
    </xf>
    <xf numFmtId="219" fontId="12" fillId="0" borderId="0" xfId="45" applyNumberFormat="1" applyFont="1" applyFill="1" applyAlignment="1">
      <alignment/>
    </xf>
    <xf numFmtId="219" fontId="5" fillId="0" borderId="11" xfId="45" applyNumberFormat="1" applyFont="1" applyBorder="1" applyAlignment="1">
      <alignment/>
    </xf>
    <xf numFmtId="219" fontId="12" fillId="0" borderId="0" xfId="45" applyNumberFormat="1" applyFont="1" applyAlignment="1">
      <alignment/>
    </xf>
    <xf numFmtId="0" fontId="0" fillId="0" borderId="11" xfId="0" applyBorder="1" applyAlignment="1">
      <alignment/>
    </xf>
    <xf numFmtId="217" fontId="5" fillId="0" borderId="11" xfId="60" applyNumberFormat="1" applyFont="1" applyBorder="1" applyAlignment="1">
      <alignment horizontal="center"/>
      <protection/>
    </xf>
    <xf numFmtId="219" fontId="5" fillId="0" borderId="11" xfId="60" applyNumberFormat="1" applyFont="1" applyBorder="1" applyAlignment="1">
      <alignment horizontal="center"/>
      <protection/>
    </xf>
    <xf numFmtId="0" fontId="13" fillId="0" borderId="11" xfId="60" applyFont="1" applyBorder="1">
      <alignment/>
      <protection/>
    </xf>
    <xf numFmtId="217" fontId="5" fillId="0" borderId="11" xfId="45" applyNumberFormat="1" applyFont="1" applyBorder="1" applyAlignment="1">
      <alignment horizontal="right"/>
    </xf>
    <xf numFmtId="219" fontId="5" fillId="0" borderId="11" xfId="45" applyNumberFormat="1" applyFont="1" applyBorder="1" applyAlignment="1">
      <alignment horizontal="right"/>
    </xf>
    <xf numFmtId="218" fontId="5" fillId="0" borderId="11" xfId="45" applyNumberFormat="1" applyFont="1" applyBorder="1" applyAlignment="1">
      <alignment horizontal="right"/>
    </xf>
    <xf numFmtId="219" fontId="14" fillId="0" borderId="11" xfId="45" applyNumberFormat="1" applyFont="1" applyBorder="1" applyAlignment="1">
      <alignment/>
    </xf>
    <xf numFmtId="219" fontId="0" fillId="0" borderId="0" xfId="0" applyNumberFormat="1" applyFont="1" applyAlignment="1">
      <alignment/>
    </xf>
    <xf numFmtId="0" fontId="11" fillId="0" borderId="0" xfId="60" applyFont="1" applyFill="1" applyBorder="1" applyAlignment="1">
      <alignment horizontal="left" vertical="top" wrapText="1"/>
      <protection/>
    </xf>
    <xf numFmtId="219" fontId="20" fillId="0" borderId="10" xfId="45" applyNumberFormat="1" applyFont="1" applyBorder="1" applyAlignment="1">
      <alignment horizontal="right"/>
    </xf>
    <xf numFmtId="219" fontId="14" fillId="0" borderId="0" xfId="45" applyNumberFormat="1" applyFont="1" applyBorder="1" applyAlignment="1">
      <alignment/>
    </xf>
    <xf numFmtId="219" fontId="11" fillId="0" borderId="0" xfId="60" applyNumberFormat="1" applyFont="1" applyBorder="1" applyAlignment="1">
      <alignment horizontal="right"/>
      <protection/>
    </xf>
    <xf numFmtId="219" fontId="11" fillId="0" borderId="0" xfId="45" applyNumberFormat="1" applyFont="1" applyBorder="1" applyAlignment="1">
      <alignment horizontal="right"/>
    </xf>
    <xf numFmtId="219" fontId="1" fillId="0" borderId="0" xfId="42" applyNumberFormat="1" applyFont="1" applyAlignment="1">
      <alignment/>
    </xf>
    <xf numFmtId="219" fontId="5" fillId="0" borderId="0" xfId="60" applyNumberFormat="1" applyFont="1">
      <alignment/>
      <protection/>
    </xf>
    <xf numFmtId="219" fontId="13" fillId="0" borderId="0" xfId="45" applyNumberFormat="1" applyFont="1" applyBorder="1" applyAlignment="1">
      <alignment horizontal="center"/>
    </xf>
    <xf numFmtId="219" fontId="16" fillId="0" borderId="11" xfId="45" applyNumberFormat="1" applyFont="1" applyBorder="1" applyAlignment="1">
      <alignment horizontal="center"/>
    </xf>
    <xf numFmtId="219" fontId="7" fillId="0" borderId="0" xfId="60" applyNumberFormat="1" applyFont="1" applyFill="1">
      <alignment/>
      <protection/>
    </xf>
    <xf numFmtId="219" fontId="7" fillId="0" borderId="0" xfId="0" applyNumberFormat="1" applyFont="1" applyAlignment="1">
      <alignment horizontal="right"/>
    </xf>
    <xf numFmtId="219" fontId="28" fillId="0" borderId="13" xfId="45" applyNumberFormat="1" applyFont="1" applyBorder="1" applyAlignment="1">
      <alignment horizontal="center"/>
    </xf>
    <xf numFmtId="219" fontId="7" fillId="0" borderId="0" xfId="60" applyNumberFormat="1" applyFont="1" applyBorder="1">
      <alignment/>
      <protection/>
    </xf>
    <xf numFmtId="219" fontId="5" fillId="0" borderId="13" xfId="60" applyNumberFormat="1" applyFont="1" applyBorder="1">
      <alignment/>
      <protection/>
    </xf>
    <xf numFmtId="219" fontId="7" fillId="0" borderId="0" xfId="60" applyNumberFormat="1" applyFont="1" applyBorder="1">
      <alignment/>
      <protection/>
    </xf>
    <xf numFmtId="219" fontId="7" fillId="0" borderId="0" xfId="60" applyNumberFormat="1" applyFont="1" applyAlignment="1">
      <alignment horizontal="right"/>
      <protection/>
    </xf>
    <xf numFmtId="219" fontId="7" fillId="0" borderId="16" xfId="60" applyNumberFormat="1" applyFont="1" applyBorder="1" applyAlignment="1">
      <alignment horizontal="right"/>
      <protection/>
    </xf>
    <xf numFmtId="219" fontId="11" fillId="0" borderId="0" xfId="60" applyNumberFormat="1" applyFont="1" applyBorder="1" applyAlignment="1">
      <alignment horizontal="center"/>
      <protection/>
    </xf>
    <xf numFmtId="219" fontId="11" fillId="0" borderId="12" xfId="60" applyNumberFormat="1" applyFont="1" applyBorder="1" applyAlignment="1">
      <alignment horizontal="center"/>
      <protection/>
    </xf>
    <xf numFmtId="219" fontId="5" fillId="0" borderId="10" xfId="60" applyNumberFormat="1" applyFont="1" applyBorder="1" applyAlignment="1">
      <alignment horizontal="right"/>
      <protection/>
    </xf>
    <xf numFmtId="219" fontId="5" fillId="0" borderId="0" xfId="60" applyNumberFormat="1" applyFont="1" applyBorder="1" applyAlignment="1">
      <alignment horizontal="right"/>
      <protection/>
    </xf>
    <xf numFmtId="219" fontId="7" fillId="0" borderId="0" xfId="60" applyNumberFormat="1" applyFont="1" applyBorder="1" applyAlignment="1">
      <alignment horizontal="center"/>
      <protection/>
    </xf>
    <xf numFmtId="219" fontId="25" fillId="0" borderId="0" xfId="0" applyNumberFormat="1" applyFont="1" applyAlignment="1">
      <alignment/>
    </xf>
    <xf numFmtId="219" fontId="10" fillId="0" borderId="0" xfId="60" applyNumberFormat="1" applyFont="1">
      <alignment/>
      <protection/>
    </xf>
    <xf numFmtId="219" fontId="5" fillId="0" borderId="0" xfId="42" applyNumberFormat="1" applyFont="1" applyBorder="1" applyAlignment="1">
      <alignment horizontal="center"/>
    </xf>
    <xf numFmtId="219" fontId="14" fillId="0" borderId="0" xfId="45" applyNumberFormat="1" applyFont="1" applyBorder="1" applyAlignment="1">
      <alignment/>
    </xf>
    <xf numFmtId="219" fontId="14" fillId="0" borderId="0" xfId="45" applyNumberFormat="1" applyFont="1" applyBorder="1" applyAlignment="1">
      <alignment horizontal="center"/>
    </xf>
    <xf numFmtId="219" fontId="28" fillId="0" borderId="18" xfId="45" applyNumberFormat="1" applyFont="1" applyBorder="1" applyAlignment="1">
      <alignment horizontal="center" textRotation="78" wrapText="1"/>
    </xf>
    <xf numFmtId="219" fontId="4" fillId="0" borderId="0" xfId="60" applyNumberFormat="1">
      <alignment/>
      <protection/>
    </xf>
    <xf numFmtId="219" fontId="4" fillId="0" borderId="0" xfId="45" applyNumberFormat="1" applyFont="1" applyBorder="1" applyAlignment="1">
      <alignment horizontal="center"/>
    </xf>
    <xf numFmtId="219" fontId="5" fillId="0" borderId="12" xfId="45" applyNumberFormat="1" applyFont="1" applyBorder="1" applyAlignment="1">
      <alignment horizontal="center"/>
    </xf>
    <xf numFmtId="0" fontId="0" fillId="0" borderId="0" xfId="0" applyAlignment="1">
      <alignment vertical="top"/>
    </xf>
    <xf numFmtId="194" fontId="0" fillId="0" borderId="0" xfId="42" applyFont="1" applyAlignment="1">
      <alignment/>
    </xf>
    <xf numFmtId="194" fontId="0" fillId="0" borderId="0" xfId="42" applyFont="1" applyAlignment="1">
      <alignment vertical="top"/>
    </xf>
    <xf numFmtId="229" fontId="10" fillId="0" borderId="0" xfId="42" applyNumberFormat="1" applyFont="1" applyBorder="1" applyAlignment="1">
      <alignment horizontal="right"/>
    </xf>
    <xf numFmtId="229" fontId="11" fillId="0" borderId="11" xfId="42" applyNumberFormat="1" applyFont="1" applyBorder="1" applyAlignment="1">
      <alignment horizontal="right"/>
    </xf>
    <xf numFmtId="229" fontId="11" fillId="0" borderId="0" xfId="42" applyNumberFormat="1" applyFont="1" applyBorder="1" applyAlignment="1">
      <alignment horizontal="right" vertical="top"/>
    </xf>
    <xf numFmtId="229" fontId="0" fillId="0" borderId="0" xfId="42" applyNumberFormat="1" applyFont="1" applyAlignment="1">
      <alignment horizontal="right"/>
    </xf>
    <xf numFmtId="230" fontId="10" fillId="0" borderId="0" xfId="42" applyNumberFormat="1" applyFont="1" applyBorder="1" applyAlignment="1">
      <alignment horizontal="right"/>
    </xf>
    <xf numFmtId="230" fontId="11" fillId="0" borderId="11" xfId="42" applyNumberFormat="1" applyFont="1" applyBorder="1" applyAlignment="1">
      <alignment horizontal="right"/>
    </xf>
    <xf numFmtId="230" fontId="11" fillId="0" borderId="0" xfId="42" applyNumberFormat="1" applyFont="1" applyBorder="1" applyAlignment="1">
      <alignment horizontal="right" vertical="top"/>
    </xf>
    <xf numFmtId="230" fontId="0" fillId="0" borderId="0" xfId="42" applyNumberFormat="1" applyFont="1" applyAlignment="1">
      <alignment horizontal="right"/>
    </xf>
    <xf numFmtId="230" fontId="0" fillId="0" borderId="0" xfId="42" applyNumberFormat="1" applyFont="1" applyAlignment="1">
      <alignment/>
    </xf>
    <xf numFmtId="229" fontId="7" fillId="0" borderId="0" xfId="42" applyNumberFormat="1" applyFont="1" applyBorder="1" applyAlignment="1">
      <alignment horizontal="right"/>
    </xf>
    <xf numFmtId="229" fontId="11" fillId="0" borderId="11" xfId="42" applyNumberFormat="1" applyFont="1" applyBorder="1" applyAlignment="1">
      <alignment horizontal="right" vertical="center"/>
    </xf>
    <xf numFmtId="229" fontId="7" fillId="0" borderId="0" xfId="42" applyNumberFormat="1" applyFont="1" applyBorder="1" applyAlignment="1">
      <alignment/>
    </xf>
    <xf numFmtId="229" fontId="5" fillId="0" borderId="11" xfId="42" applyNumberFormat="1" applyFont="1" applyFill="1" applyBorder="1" applyAlignment="1">
      <alignment/>
    </xf>
    <xf numFmtId="229" fontId="0" fillId="0" borderId="0" xfId="42" applyNumberFormat="1" applyFont="1" applyAlignment="1">
      <alignment/>
    </xf>
    <xf numFmtId="0" fontId="7" fillId="0" borderId="0" xfId="60" applyFont="1" applyBorder="1" applyAlignment="1">
      <alignment horizontal="right"/>
      <protection/>
    </xf>
    <xf numFmtId="219" fontId="7" fillId="0" borderId="0" xfId="60" applyNumberFormat="1" applyFont="1" applyBorder="1" applyAlignment="1">
      <alignment horizontal="right"/>
      <protection/>
    </xf>
    <xf numFmtId="1" fontId="5" fillId="0" borderId="16" xfId="45" applyNumberFormat="1" applyFont="1" applyBorder="1" applyAlignment="1">
      <alignment horizontal="right"/>
    </xf>
    <xf numFmtId="218" fontId="26" fillId="0" borderId="0" xfId="45" applyNumberFormat="1" applyFont="1" applyAlignment="1">
      <alignment vertical="top" wrapText="1"/>
    </xf>
    <xf numFmtId="218" fontId="26" fillId="0" borderId="0" xfId="45" applyNumberFormat="1" applyFont="1" applyAlignment="1">
      <alignment/>
    </xf>
    <xf numFmtId="219" fontId="0" fillId="0" borderId="13" xfId="0" applyNumberFormat="1" applyFont="1" applyBorder="1" applyAlignment="1">
      <alignment/>
    </xf>
    <xf numFmtId="0" fontId="5" fillId="0" borderId="0" xfId="60" applyFont="1" applyAlignment="1">
      <alignment vertical="top"/>
      <protection/>
    </xf>
    <xf numFmtId="219" fontId="5" fillId="0" borderId="0" xfId="60" applyNumberFormat="1" applyFont="1" applyAlignment="1">
      <alignment vertical="top"/>
      <protection/>
    </xf>
    <xf numFmtId="0" fontId="12" fillId="0" borderId="0" xfId="60" applyFont="1" applyAlignment="1">
      <alignment vertical="top"/>
      <protection/>
    </xf>
    <xf numFmtId="218" fontId="4" fillId="0" borderId="0" xfId="45" applyNumberFormat="1" applyFont="1" applyAlignment="1">
      <alignment horizontal="center" vertical="top"/>
    </xf>
    <xf numFmtId="0" fontId="0" fillId="0" borderId="13" xfId="0" applyFont="1" applyBorder="1" applyAlignment="1">
      <alignment vertical="top"/>
    </xf>
    <xf numFmtId="219" fontId="0" fillId="0" borderId="13" xfId="0" applyNumberFormat="1" applyFont="1" applyBorder="1" applyAlignment="1">
      <alignment vertical="top"/>
    </xf>
    <xf numFmtId="218" fontId="5" fillId="0" borderId="0" xfId="45" applyNumberFormat="1" applyFont="1" applyBorder="1" applyAlignment="1">
      <alignment vertical="top"/>
    </xf>
    <xf numFmtId="218" fontId="4" fillId="0" borderId="0" xfId="45" applyNumberFormat="1" applyFont="1" applyAlignment="1">
      <alignment vertical="top"/>
    </xf>
    <xf numFmtId="219" fontId="4" fillId="0" borderId="0" xfId="45" applyNumberFormat="1" applyFont="1" applyAlignment="1">
      <alignment vertical="top"/>
    </xf>
    <xf numFmtId="218" fontId="5" fillId="0" borderId="10" xfId="45" applyNumberFormat="1" applyFont="1" applyBorder="1" applyAlignment="1">
      <alignment horizontal="center" vertical="top"/>
    </xf>
    <xf numFmtId="219" fontId="5" fillId="0" borderId="10" xfId="45" applyNumberFormat="1" applyFont="1" applyBorder="1" applyAlignment="1">
      <alignment horizontal="center" vertical="top"/>
    </xf>
    <xf numFmtId="0" fontId="0" fillId="0" borderId="0" xfId="0" applyFont="1" applyAlignment="1">
      <alignment vertical="top"/>
    </xf>
    <xf numFmtId="219" fontId="0" fillId="0" borderId="0" xfId="0" applyNumberFormat="1" applyFont="1" applyAlignment="1">
      <alignment vertical="top"/>
    </xf>
    <xf numFmtId="219" fontId="4" fillId="0" borderId="0" xfId="60" applyNumberFormat="1" applyFont="1" applyAlignment="1">
      <alignment vertical="top"/>
      <protection/>
    </xf>
    <xf numFmtId="219" fontId="7" fillId="0" borderId="0" xfId="60" applyNumberFormat="1" applyFont="1" applyAlignment="1">
      <alignment horizontal="right" vertical="top"/>
      <protection/>
    </xf>
    <xf numFmtId="219" fontId="5" fillId="0" borderId="0" xfId="45" applyNumberFormat="1" applyFont="1" applyBorder="1" applyAlignment="1">
      <alignment vertical="top"/>
    </xf>
    <xf numFmtId="0" fontId="7" fillId="0" borderId="10" xfId="60" applyFont="1" applyBorder="1" applyAlignment="1">
      <alignment vertical="top"/>
      <protection/>
    </xf>
    <xf numFmtId="0" fontId="11" fillId="0" borderId="10" xfId="60" applyFont="1" applyBorder="1" applyAlignment="1">
      <alignment horizontal="left" vertical="top"/>
      <protection/>
    </xf>
    <xf numFmtId="0" fontId="5" fillId="0" borderId="10" xfId="60" applyFont="1" applyBorder="1" applyAlignment="1">
      <alignment horizontal="center" vertical="top"/>
      <protection/>
    </xf>
    <xf numFmtId="0" fontId="5" fillId="0" borderId="0" xfId="61" applyFont="1" applyBorder="1" applyAlignment="1">
      <alignment horizontal="left" vertical="top"/>
      <protection/>
    </xf>
    <xf numFmtId="219" fontId="11" fillId="0" borderId="12" xfId="45" applyNumberFormat="1" applyFont="1" applyBorder="1" applyAlignment="1">
      <alignment horizontal="right"/>
    </xf>
    <xf numFmtId="219" fontId="11" fillId="0" borderId="0" xfId="45" applyNumberFormat="1" applyFont="1" applyBorder="1" applyAlignment="1">
      <alignment/>
    </xf>
    <xf numFmtId="219" fontId="11" fillId="0" borderId="0" xfId="60" applyNumberFormat="1" applyFont="1" applyBorder="1" applyAlignment="1">
      <alignment horizontal="right"/>
      <protection/>
    </xf>
    <xf numFmtId="217" fontId="11" fillId="0" borderId="0" xfId="45" applyNumberFormat="1" applyFont="1" applyBorder="1" applyAlignment="1">
      <alignment horizontal="right"/>
    </xf>
    <xf numFmtId="218" fontId="0" fillId="0" borderId="0" xfId="0" applyNumberFormat="1" applyFont="1" applyBorder="1" applyAlignment="1">
      <alignment/>
    </xf>
    <xf numFmtId="219" fontId="13" fillId="0" borderId="0" xfId="45" applyNumberFormat="1" applyFont="1" applyAlignment="1">
      <alignment/>
    </xf>
    <xf numFmtId="219" fontId="7" fillId="0" borderId="0" xfId="68" applyNumberFormat="1" applyFont="1" applyBorder="1" applyAlignment="1">
      <alignment horizontal="right"/>
      <protection/>
    </xf>
    <xf numFmtId="219" fontId="7" fillId="0" borderId="12" xfId="68" applyNumberFormat="1" applyFont="1" applyBorder="1" applyAlignment="1">
      <alignment horizontal="right"/>
      <protection/>
    </xf>
    <xf numFmtId="219" fontId="16" fillId="0" borderId="10" xfId="68" applyNumberFormat="1" applyFont="1" applyBorder="1" applyAlignment="1">
      <alignment vertical="center"/>
      <protection/>
    </xf>
    <xf numFmtId="219" fontId="7" fillId="0" borderId="0" xfId="68" applyNumberFormat="1" applyFont="1" applyBorder="1">
      <alignment/>
      <protection/>
    </xf>
    <xf numFmtId="219" fontId="18" fillId="0" borderId="0" xfId="42" applyNumberFormat="1" applyFont="1" applyAlignment="1">
      <alignment/>
    </xf>
    <xf numFmtId="219" fontId="10" fillId="0" borderId="0" xfId="68" applyNumberFormat="1" applyFont="1">
      <alignment/>
      <protection/>
    </xf>
    <xf numFmtId="218" fontId="7" fillId="0" borderId="20" xfId="68" applyNumberFormat="1" applyFont="1" applyBorder="1" applyAlignment="1">
      <alignment horizontal="right"/>
      <protection/>
    </xf>
    <xf numFmtId="218" fontId="7" fillId="0" borderId="21" xfId="68" applyNumberFormat="1" applyFont="1" applyBorder="1" applyAlignment="1">
      <alignment horizontal="right"/>
      <protection/>
    </xf>
    <xf numFmtId="218" fontId="16" fillId="0" borderId="22" xfId="68" applyNumberFormat="1" applyFont="1" applyBorder="1" applyAlignment="1">
      <alignment vertical="center"/>
      <protection/>
    </xf>
    <xf numFmtId="219" fontId="7" fillId="0" borderId="23" xfId="68" applyNumberFormat="1" applyFont="1" applyBorder="1" applyAlignment="1">
      <alignment horizontal="right"/>
      <protection/>
    </xf>
    <xf numFmtId="219" fontId="7" fillId="0" borderId="24" xfId="68" applyNumberFormat="1" applyFont="1" applyBorder="1" applyAlignment="1">
      <alignment horizontal="right"/>
      <protection/>
    </xf>
    <xf numFmtId="219" fontId="5" fillId="0" borderId="0" xfId="60" applyNumberFormat="1" applyFont="1" applyFill="1" applyAlignment="1">
      <alignment horizontal="right"/>
      <protection/>
    </xf>
    <xf numFmtId="219" fontId="11" fillId="0" borderId="11" xfId="45" applyNumberFormat="1" applyFont="1" applyBorder="1" applyAlignment="1">
      <alignment horizontal="right"/>
    </xf>
    <xf numFmtId="219" fontId="35" fillId="0" borderId="0" xfId="0" applyNumberFormat="1" applyFont="1" applyAlignment="1">
      <alignment/>
    </xf>
    <xf numFmtId="219" fontId="11" fillId="0" borderId="0" xfId="45" applyNumberFormat="1" applyFont="1" applyBorder="1" applyAlignment="1">
      <alignment horizontal="center"/>
    </xf>
    <xf numFmtId="219" fontId="7" fillId="0" borderId="0" xfId="60" applyNumberFormat="1" applyFont="1">
      <alignment/>
      <protection/>
    </xf>
    <xf numFmtId="217" fontId="10" fillId="0" borderId="0" xfId="45" applyNumberFormat="1" applyFont="1" applyBorder="1" applyAlignment="1">
      <alignment/>
    </xf>
    <xf numFmtId="0" fontId="23" fillId="0" borderId="0" xfId="0" applyFont="1" applyBorder="1" applyAlignment="1">
      <alignment/>
    </xf>
    <xf numFmtId="0" fontId="0" fillId="0" borderId="0" xfId="0" applyFont="1" applyBorder="1" applyAlignment="1">
      <alignment/>
    </xf>
    <xf numFmtId="0" fontId="13" fillId="0" borderId="12" xfId="60" applyFont="1" applyBorder="1">
      <alignment/>
      <protection/>
    </xf>
    <xf numFmtId="218" fontId="13" fillId="0" borderId="12" xfId="45" applyNumberFormat="1" applyFont="1" applyBorder="1" applyAlignment="1">
      <alignment horizontal="center"/>
    </xf>
    <xf numFmtId="230" fontId="5" fillId="0" borderId="10" xfId="42" applyNumberFormat="1" applyFont="1" applyBorder="1" applyAlignment="1">
      <alignment horizontal="right" vertical="center"/>
    </xf>
    <xf numFmtId="229" fontId="5" fillId="0" borderId="10" xfId="42" applyNumberFormat="1" applyFont="1" applyBorder="1" applyAlignment="1">
      <alignment horizontal="right" vertical="center"/>
    </xf>
    <xf numFmtId="194" fontId="0" fillId="0" borderId="11" xfId="42" applyFont="1" applyBorder="1" applyAlignment="1">
      <alignment/>
    </xf>
    <xf numFmtId="229" fontId="7" fillId="0" borderId="0" xfId="42" applyNumberFormat="1" applyFont="1" applyBorder="1" applyAlignment="1">
      <alignment horizontal="left"/>
    </xf>
    <xf numFmtId="0" fontId="11" fillId="34" borderId="17" xfId="60" applyFont="1" applyFill="1" applyBorder="1" applyAlignment="1">
      <alignment horizontal="left" vertical="center"/>
      <protection/>
    </xf>
    <xf numFmtId="0" fontId="5" fillId="34" borderId="17" xfId="60" applyFont="1" applyFill="1" applyBorder="1" applyAlignment="1">
      <alignment horizontal="right" vertical="center"/>
      <protection/>
    </xf>
    <xf numFmtId="230" fontId="5" fillId="34" borderId="17" xfId="42" applyNumberFormat="1" applyFont="1" applyFill="1" applyBorder="1" applyAlignment="1">
      <alignment horizontal="right"/>
    </xf>
    <xf numFmtId="229" fontId="5" fillId="34" borderId="17" xfId="42" applyNumberFormat="1" applyFont="1" applyFill="1" applyBorder="1" applyAlignment="1">
      <alignment horizontal="right"/>
    </xf>
    <xf numFmtId="229" fontId="5" fillId="34" borderId="17" xfId="42" applyNumberFormat="1" applyFont="1" applyFill="1" applyBorder="1" applyAlignment="1">
      <alignment/>
    </xf>
    <xf numFmtId="230" fontId="5" fillId="34" borderId="11" xfId="42" applyNumberFormat="1" applyFont="1" applyFill="1" applyBorder="1" applyAlignment="1">
      <alignment horizontal="right"/>
    </xf>
    <xf numFmtId="229" fontId="5" fillId="34" borderId="11" xfId="42" applyNumberFormat="1" applyFont="1" applyFill="1" applyBorder="1" applyAlignment="1">
      <alignment horizontal="right"/>
    </xf>
    <xf numFmtId="229" fontId="5" fillId="34" borderId="11" xfId="42" applyNumberFormat="1" applyFont="1" applyFill="1" applyBorder="1" applyAlignment="1">
      <alignment/>
    </xf>
    <xf numFmtId="219" fontId="1" fillId="0" borderId="0" xfId="45" applyNumberFormat="1" applyFont="1" applyAlignment="1">
      <alignment/>
    </xf>
    <xf numFmtId="217" fontId="7" fillId="0" borderId="0" xfId="68" applyNumberFormat="1" applyFont="1" applyBorder="1" applyAlignment="1">
      <alignment horizontal="right"/>
      <protection/>
    </xf>
    <xf numFmtId="217" fontId="7" fillId="0" borderId="12" xfId="68" applyNumberFormat="1" applyFont="1" applyBorder="1" applyAlignment="1">
      <alignment horizontal="right"/>
      <protection/>
    </xf>
    <xf numFmtId="217" fontId="16" fillId="0" borderId="10" xfId="68" applyNumberFormat="1" applyFont="1" applyBorder="1" applyAlignment="1">
      <alignment vertical="center"/>
      <protection/>
    </xf>
    <xf numFmtId="217" fontId="7" fillId="0" borderId="0" xfId="68" applyNumberFormat="1" applyFont="1" applyBorder="1">
      <alignment/>
      <protection/>
    </xf>
    <xf numFmtId="217" fontId="18" fillId="0" borderId="0" xfId="42" applyNumberFormat="1" applyFont="1" applyAlignment="1">
      <alignment/>
    </xf>
    <xf numFmtId="217" fontId="10" fillId="0" borderId="0" xfId="68" applyNumberFormat="1" applyFont="1">
      <alignment/>
      <protection/>
    </xf>
    <xf numFmtId="217" fontId="0" fillId="0" borderId="0" xfId="0" applyNumberFormat="1" applyFont="1" applyAlignment="1">
      <alignment/>
    </xf>
    <xf numFmtId="217" fontId="7" fillId="0" borderId="23" xfId="68" applyNumberFormat="1" applyFont="1" applyBorder="1" applyAlignment="1">
      <alignment horizontal="right"/>
      <protection/>
    </xf>
    <xf numFmtId="218" fontId="7" fillId="0" borderId="23" xfId="68" applyNumberFormat="1" applyFont="1" applyBorder="1" applyAlignment="1">
      <alignment horizontal="right"/>
      <protection/>
    </xf>
    <xf numFmtId="218" fontId="7" fillId="0" borderId="24" xfId="68" applyNumberFormat="1" applyFont="1" applyBorder="1" applyAlignment="1">
      <alignment horizontal="right"/>
      <protection/>
    </xf>
    <xf numFmtId="219" fontId="4" fillId="0" borderId="0" xfId="45" applyNumberFormat="1" applyFont="1" applyAlignment="1">
      <alignment horizontal="right"/>
    </xf>
    <xf numFmtId="219" fontId="28" fillId="0" borderId="13" xfId="45" applyNumberFormat="1" applyFont="1" applyBorder="1" applyAlignment="1">
      <alignment horizontal="right"/>
    </xf>
    <xf numFmtId="219" fontId="12" fillId="0" borderId="0" xfId="45" applyNumberFormat="1" applyFont="1" applyBorder="1" applyAlignment="1">
      <alignment horizontal="right"/>
    </xf>
    <xf numFmtId="219" fontId="5" fillId="0" borderId="16" xfId="45" applyNumberFormat="1" applyFont="1" applyBorder="1" applyAlignment="1">
      <alignment horizontal="right"/>
    </xf>
    <xf numFmtId="219" fontId="5" fillId="0" borderId="13" xfId="60" applyNumberFormat="1" applyFont="1" applyBorder="1" applyAlignment="1">
      <alignment horizontal="right"/>
      <protection/>
    </xf>
    <xf numFmtId="219" fontId="10" fillId="0" borderId="0" xfId="60" applyNumberFormat="1" applyFont="1" applyAlignment="1">
      <alignment horizontal="right"/>
      <protection/>
    </xf>
    <xf numFmtId="219" fontId="5" fillId="0" borderId="12" xfId="45" applyNumberFormat="1" applyFont="1" applyBorder="1" applyAlignment="1">
      <alignment horizontal="right"/>
    </xf>
    <xf numFmtId="217" fontId="5" fillId="0" borderId="10" xfId="60" applyNumberFormat="1" applyFont="1" applyBorder="1" applyAlignment="1">
      <alignment horizontal="right"/>
      <protection/>
    </xf>
    <xf numFmtId="219" fontId="0" fillId="0" borderId="0" xfId="0" applyNumberFormat="1" applyAlignment="1">
      <alignment horizontal="right"/>
    </xf>
    <xf numFmtId="219" fontId="4" fillId="0" borderId="0" xfId="60" applyNumberFormat="1" applyAlignment="1">
      <alignment horizontal="right"/>
      <protection/>
    </xf>
    <xf numFmtId="1" fontId="5" fillId="0" borderId="0" xfId="45" applyNumberFormat="1" applyFont="1" applyBorder="1" applyAlignment="1">
      <alignment horizontal="right"/>
    </xf>
    <xf numFmtId="217" fontId="11" fillId="0" borderId="0" xfId="45" applyNumberFormat="1" applyFont="1" applyBorder="1" applyAlignment="1">
      <alignment/>
    </xf>
    <xf numFmtId="218" fontId="7" fillId="0" borderId="22" xfId="60" applyNumberFormat="1" applyFont="1" applyBorder="1">
      <alignment/>
      <protection/>
    </xf>
    <xf numFmtId="219" fontId="7" fillId="0" borderId="0" xfId="60" applyNumberFormat="1" applyFont="1" applyAlignment="1">
      <alignment/>
      <protection/>
    </xf>
    <xf numFmtId="219" fontId="5" fillId="0" borderId="13" xfId="46" applyNumberFormat="1" applyFont="1" applyBorder="1" applyAlignment="1">
      <alignment vertical="center"/>
    </xf>
    <xf numFmtId="219" fontId="7" fillId="0" borderId="0" xfId="46" applyNumberFormat="1" applyFont="1" applyBorder="1" applyAlignment="1">
      <alignment/>
    </xf>
    <xf numFmtId="219" fontId="5" fillId="0" borderId="0" xfId="46" applyNumberFormat="1" applyFont="1" applyBorder="1" applyAlignment="1">
      <alignment/>
    </xf>
    <xf numFmtId="219" fontId="5" fillId="0" borderId="14" xfId="46" applyNumberFormat="1" applyFont="1" applyBorder="1" applyAlignment="1">
      <alignment vertical="center"/>
    </xf>
    <xf numFmtId="219" fontId="10" fillId="0" borderId="0" xfId="60" applyNumberFormat="1" applyFont="1" applyAlignment="1">
      <alignment/>
      <protection/>
    </xf>
    <xf numFmtId="219" fontId="5" fillId="0" borderId="13" xfId="46" applyNumberFormat="1" applyFont="1" applyBorder="1" applyAlignment="1">
      <alignment/>
    </xf>
    <xf numFmtId="219" fontId="5" fillId="0" borderId="13" xfId="60" applyNumberFormat="1" applyFont="1" applyBorder="1" applyAlignment="1">
      <alignment vertical="center"/>
      <protection/>
    </xf>
    <xf numFmtId="219" fontId="7" fillId="0" borderId="0" xfId="60" applyNumberFormat="1" applyFont="1" applyBorder="1" applyAlignment="1">
      <alignment vertical="center"/>
      <protection/>
    </xf>
    <xf numFmtId="219" fontId="7" fillId="0" borderId="0" xfId="60" applyNumberFormat="1" applyFont="1" applyBorder="1" applyAlignment="1">
      <alignment/>
      <protection/>
    </xf>
    <xf numFmtId="219" fontId="0" fillId="0" borderId="0" xfId="0" applyNumberFormat="1" applyAlignment="1">
      <alignment/>
    </xf>
    <xf numFmtId="219" fontId="4" fillId="0" borderId="0" xfId="60" applyNumberFormat="1" applyAlignment="1">
      <alignment/>
      <protection/>
    </xf>
    <xf numFmtId="217" fontId="16" fillId="0" borderId="25" xfId="68" applyNumberFormat="1" applyFont="1" applyBorder="1" applyAlignment="1">
      <alignment horizontal="right" vertical="center"/>
      <protection/>
    </xf>
    <xf numFmtId="219" fontId="10" fillId="0" borderId="0" xfId="46" applyNumberFormat="1" applyFont="1" applyAlignment="1">
      <alignment/>
    </xf>
    <xf numFmtId="219" fontId="5" fillId="0" borderId="12" xfId="46" applyNumberFormat="1" applyFont="1" applyBorder="1" applyAlignment="1">
      <alignment/>
    </xf>
    <xf numFmtId="219" fontId="16" fillId="0" borderId="0" xfId="46" applyNumberFormat="1" applyFont="1" applyBorder="1" applyAlignment="1">
      <alignment vertical="center"/>
    </xf>
    <xf numFmtId="219" fontId="4" fillId="0" borderId="0" xfId="46" applyNumberFormat="1" applyFont="1" applyAlignment="1">
      <alignment/>
    </xf>
    <xf numFmtId="217" fontId="5" fillId="0" borderId="12" xfId="46" applyNumberFormat="1" applyFont="1" applyBorder="1" applyAlignment="1">
      <alignment/>
    </xf>
    <xf numFmtId="217" fontId="5" fillId="0" borderId="0" xfId="46" applyNumberFormat="1" applyFont="1" applyBorder="1" applyAlignment="1">
      <alignment/>
    </xf>
    <xf numFmtId="219" fontId="7" fillId="0" borderId="0" xfId="46" applyNumberFormat="1" applyFont="1" applyFill="1" applyBorder="1" applyAlignment="1">
      <alignment/>
    </xf>
    <xf numFmtId="217" fontId="5" fillId="0" borderId="0" xfId="60" applyNumberFormat="1" applyFont="1" applyBorder="1">
      <alignment/>
      <protection/>
    </xf>
    <xf numFmtId="217" fontId="5" fillId="0" borderId="12" xfId="60" applyNumberFormat="1" applyFont="1" applyBorder="1">
      <alignment/>
      <protection/>
    </xf>
    <xf numFmtId="218" fontId="5" fillId="0" borderId="14" xfId="60" applyNumberFormat="1" applyFont="1" applyBorder="1">
      <alignment/>
      <protection/>
    </xf>
    <xf numFmtId="217" fontId="5" fillId="0" borderId="14" xfId="60" applyNumberFormat="1" applyFont="1" applyBorder="1">
      <alignment/>
      <protection/>
    </xf>
    <xf numFmtId="229" fontId="6" fillId="0" borderId="0" xfId="42" applyNumberFormat="1" applyFont="1" applyAlignment="1">
      <alignment/>
    </xf>
    <xf numFmtId="229" fontId="7" fillId="0" borderId="0" xfId="42" applyNumberFormat="1" applyFont="1" applyBorder="1" applyAlignment="1">
      <alignment/>
    </xf>
    <xf numFmtId="229" fontId="11" fillId="0" borderId="0" xfId="42" applyNumberFormat="1" applyFont="1" applyBorder="1" applyAlignment="1">
      <alignment horizontal="right"/>
    </xf>
    <xf numFmtId="229" fontId="11" fillId="0" borderId="12" xfId="42" applyNumberFormat="1" applyFont="1" applyBorder="1" applyAlignment="1">
      <alignment horizontal="right"/>
    </xf>
    <xf numFmtId="229" fontId="10" fillId="0" borderId="0" xfId="42" applyNumberFormat="1" applyFont="1" applyBorder="1" applyAlignment="1">
      <alignment/>
    </xf>
    <xf numFmtId="229" fontId="10" fillId="0" borderId="0" xfId="42" applyNumberFormat="1" applyFont="1" applyAlignment="1">
      <alignment/>
    </xf>
    <xf numFmtId="229" fontId="12" fillId="0" borderId="0" xfId="42" applyNumberFormat="1" applyFont="1" applyAlignment="1">
      <alignment/>
    </xf>
    <xf numFmtId="229" fontId="11" fillId="0" borderId="0" xfId="42" applyNumberFormat="1" applyFont="1" applyBorder="1" applyAlignment="1">
      <alignment/>
    </xf>
    <xf numFmtId="229" fontId="6" fillId="0" borderId="0" xfId="42" applyNumberFormat="1" applyFont="1" applyAlignment="1">
      <alignment horizontal="right"/>
    </xf>
    <xf numFmtId="229" fontId="12" fillId="0" borderId="0" xfId="42" applyNumberFormat="1" applyFont="1" applyAlignment="1">
      <alignment horizontal="right"/>
    </xf>
    <xf numFmtId="229" fontId="10" fillId="0" borderId="0" xfId="42" applyNumberFormat="1" applyFont="1" applyAlignment="1">
      <alignment horizontal="right"/>
    </xf>
    <xf numFmtId="229" fontId="5" fillId="0" borderId="0" xfId="42" applyNumberFormat="1" applyFont="1" applyBorder="1" applyAlignment="1">
      <alignment horizontal="right"/>
    </xf>
    <xf numFmtId="229" fontId="5" fillId="0" borderId="12" xfId="42" applyNumberFormat="1" applyFont="1" applyBorder="1" applyAlignment="1">
      <alignment horizontal="right"/>
    </xf>
    <xf numFmtId="219" fontId="0" fillId="0" borderId="0" xfId="0" applyNumberFormat="1" applyFont="1" applyAlignment="1">
      <alignment/>
    </xf>
    <xf numFmtId="219" fontId="4" fillId="0" borderId="0" xfId="60" applyNumberFormat="1" applyFont="1" applyAlignment="1">
      <alignment/>
      <protection/>
    </xf>
    <xf numFmtId="219" fontId="11" fillId="0" borderId="0" xfId="60" applyNumberFormat="1" applyFont="1" applyBorder="1" applyAlignment="1">
      <alignment/>
      <protection/>
    </xf>
    <xf numFmtId="219" fontId="11" fillId="0" borderId="12" xfId="60" applyNumberFormat="1" applyFont="1" applyBorder="1" applyAlignment="1">
      <alignment/>
      <protection/>
    </xf>
    <xf numFmtId="219" fontId="10" fillId="0" borderId="0" xfId="45" applyNumberFormat="1" applyFont="1" applyAlignment="1">
      <alignment/>
    </xf>
    <xf numFmtId="219" fontId="4" fillId="0" borderId="0" xfId="45" applyNumberFormat="1" applyFont="1" applyAlignment="1">
      <alignment/>
    </xf>
    <xf numFmtId="0" fontId="11" fillId="0" borderId="0" xfId="60" applyFont="1" applyBorder="1" applyAlignment="1">
      <alignment/>
      <protection/>
    </xf>
    <xf numFmtId="0" fontId="11" fillId="0" borderId="12" xfId="60" applyFont="1" applyBorder="1" applyAlignment="1">
      <alignment/>
      <protection/>
    </xf>
    <xf numFmtId="0" fontId="0" fillId="0" borderId="0" xfId="0" applyFont="1" applyAlignment="1">
      <alignment/>
    </xf>
    <xf numFmtId="0" fontId="10" fillId="0" borderId="0" xfId="60" applyFont="1" applyAlignment="1">
      <alignment/>
      <protection/>
    </xf>
    <xf numFmtId="0" fontId="4" fillId="0" borderId="0" xfId="60" applyFont="1" applyAlignment="1">
      <alignment/>
      <protection/>
    </xf>
    <xf numFmtId="218" fontId="10" fillId="0" borderId="0" xfId="45" applyNumberFormat="1" applyFont="1" applyAlignment="1">
      <alignment/>
    </xf>
    <xf numFmtId="218" fontId="4" fillId="0" borderId="0" xfId="45" applyNumberFormat="1" applyFont="1" applyAlignment="1">
      <alignment/>
    </xf>
    <xf numFmtId="0" fontId="11" fillId="0" borderId="0" xfId="60" applyFont="1" applyBorder="1" applyAlignment="1">
      <alignment horizontal="right"/>
      <protection/>
    </xf>
    <xf numFmtId="0" fontId="11" fillId="0" borderId="12" xfId="60" applyFont="1" applyBorder="1" applyAlignment="1">
      <alignment horizontal="right"/>
      <protection/>
    </xf>
    <xf numFmtId="219" fontId="11" fillId="0" borderId="12" xfId="60" applyNumberFormat="1" applyFont="1" applyBorder="1" applyAlignment="1">
      <alignment horizontal="right"/>
      <protection/>
    </xf>
    <xf numFmtId="0" fontId="0" fillId="0" borderId="0" xfId="0" applyFont="1" applyAlignment="1">
      <alignment horizontal="right"/>
    </xf>
    <xf numFmtId="219" fontId="0" fillId="0" borderId="0" xfId="0" applyNumberFormat="1" applyFont="1" applyAlignment="1">
      <alignment horizontal="right"/>
    </xf>
    <xf numFmtId="0" fontId="4" fillId="0" borderId="0" xfId="60" applyFont="1" applyAlignment="1">
      <alignment horizontal="right"/>
      <protection/>
    </xf>
    <xf numFmtId="218" fontId="10" fillId="0" borderId="0" xfId="45" applyNumberFormat="1" applyFont="1" applyAlignment="1">
      <alignment horizontal="right"/>
    </xf>
    <xf numFmtId="219" fontId="10" fillId="0" borderId="0" xfId="45" applyNumberFormat="1" applyFont="1" applyAlignment="1">
      <alignment horizontal="right"/>
    </xf>
    <xf numFmtId="218" fontId="4" fillId="0" borderId="0" xfId="45" applyNumberFormat="1" applyFont="1" applyAlignment="1">
      <alignment horizontal="right"/>
    </xf>
    <xf numFmtId="219" fontId="5" fillId="0" borderId="12" xfId="45" applyNumberFormat="1" applyFont="1" applyBorder="1" applyAlignment="1">
      <alignment horizontal="right"/>
    </xf>
    <xf numFmtId="219" fontId="4" fillId="0" borderId="0" xfId="60" applyNumberFormat="1" applyFont="1" applyAlignment="1">
      <alignment horizontal="right"/>
      <protection/>
    </xf>
    <xf numFmtId="0" fontId="11" fillId="0" borderId="0" xfId="60" applyFont="1" applyBorder="1" applyAlignment="1" quotePrefix="1">
      <alignment horizontal="right"/>
      <protection/>
    </xf>
    <xf numFmtId="218" fontId="5" fillId="0" borderId="0" xfId="45" applyNumberFormat="1" applyFont="1" applyBorder="1" applyAlignment="1">
      <alignment/>
    </xf>
    <xf numFmtId="218" fontId="5" fillId="0" borderId="12" xfId="45" applyNumberFormat="1" applyFont="1" applyBorder="1" applyAlignment="1">
      <alignment/>
    </xf>
    <xf numFmtId="217" fontId="5" fillId="0" borderId="0" xfId="45" applyNumberFormat="1" applyFont="1" applyBorder="1" applyAlignment="1">
      <alignment/>
    </xf>
    <xf numFmtId="217" fontId="5" fillId="0" borderId="12" xfId="45" applyNumberFormat="1" applyFont="1" applyBorder="1" applyAlignment="1">
      <alignment/>
    </xf>
    <xf numFmtId="0" fontId="12" fillId="0" borderId="0" xfId="60" applyFont="1" applyAlignment="1">
      <alignment/>
      <protection/>
    </xf>
    <xf numFmtId="217" fontId="11" fillId="0" borderId="12" xfId="45" applyNumberFormat="1" applyFont="1" applyBorder="1" applyAlignment="1">
      <alignment horizontal="right"/>
    </xf>
    <xf numFmtId="194" fontId="12" fillId="0" borderId="0" xfId="60" applyNumberFormat="1" applyFont="1" applyBorder="1">
      <alignment/>
      <protection/>
    </xf>
    <xf numFmtId="0" fontId="5" fillId="35" borderId="0" xfId="61" applyFont="1" applyFill="1" applyBorder="1">
      <alignment/>
      <protection/>
    </xf>
    <xf numFmtId="0" fontId="7" fillId="35" borderId="0" xfId="61" applyFont="1" applyFill="1" applyBorder="1" applyAlignment="1">
      <alignment horizontal="center"/>
      <protection/>
    </xf>
    <xf numFmtId="229" fontId="7" fillId="35" borderId="0" xfId="42" applyNumberFormat="1" applyFont="1" applyFill="1" applyBorder="1" applyAlignment="1">
      <alignment/>
    </xf>
    <xf numFmtId="0" fontId="7" fillId="35" borderId="0" xfId="61" applyFont="1" applyFill="1" applyBorder="1">
      <alignment/>
      <protection/>
    </xf>
    <xf numFmtId="218" fontId="7" fillId="35" borderId="0" xfId="45" applyNumberFormat="1" applyFont="1" applyFill="1" applyBorder="1" applyAlignment="1">
      <alignment horizontal="center"/>
    </xf>
    <xf numFmtId="229" fontId="7" fillId="35" borderId="0" xfId="42" applyNumberFormat="1" applyFont="1" applyFill="1" applyBorder="1" applyAlignment="1">
      <alignment horizontal="right"/>
    </xf>
    <xf numFmtId="218" fontId="7" fillId="35" borderId="0" xfId="45" applyNumberFormat="1" applyFont="1" applyFill="1" applyBorder="1" applyAlignment="1">
      <alignment/>
    </xf>
    <xf numFmtId="0" fontId="5" fillId="35" borderId="11" xfId="61" applyFont="1" applyFill="1" applyBorder="1">
      <alignment/>
      <protection/>
    </xf>
    <xf numFmtId="218" fontId="7" fillId="35" borderId="11" xfId="45" applyNumberFormat="1" applyFont="1" applyFill="1" applyBorder="1" applyAlignment="1">
      <alignment horizontal="center"/>
    </xf>
    <xf numFmtId="229" fontId="7" fillId="35" borderId="11" xfId="42" applyNumberFormat="1" applyFont="1" applyFill="1" applyBorder="1" applyAlignment="1">
      <alignment/>
    </xf>
    <xf numFmtId="218" fontId="7" fillId="35" borderId="11" xfId="45" applyNumberFormat="1" applyFont="1" applyFill="1" applyBorder="1" applyAlignment="1">
      <alignment/>
    </xf>
    <xf numFmtId="229" fontId="7" fillId="35" borderId="11" xfId="42" applyNumberFormat="1" applyFont="1" applyFill="1" applyBorder="1" applyAlignment="1">
      <alignment horizontal="right"/>
    </xf>
    <xf numFmtId="0" fontId="7" fillId="35" borderId="11" xfId="61" applyFont="1" applyFill="1" applyBorder="1" applyAlignment="1">
      <alignment horizontal="center"/>
      <protection/>
    </xf>
    <xf numFmtId="218" fontId="5" fillId="35" borderId="11" xfId="61" applyNumberFormat="1" applyFont="1" applyFill="1" applyBorder="1" applyAlignment="1">
      <alignment horizontal="center"/>
      <protection/>
    </xf>
    <xf numFmtId="229" fontId="5" fillId="35" borderId="11" xfId="42" applyNumberFormat="1" applyFont="1" applyFill="1" applyBorder="1" applyAlignment="1">
      <alignment horizontal="right"/>
    </xf>
    <xf numFmtId="218" fontId="7" fillId="35" borderId="0" xfId="45" applyNumberFormat="1" applyFont="1" applyFill="1" applyBorder="1" applyAlignment="1">
      <alignment horizontal="right"/>
    </xf>
    <xf numFmtId="218" fontId="5" fillId="35" borderId="0" xfId="61" applyNumberFormat="1" applyFont="1" applyFill="1" applyBorder="1" applyAlignment="1">
      <alignment horizontal="center"/>
      <protection/>
    </xf>
    <xf numFmtId="229" fontId="5" fillId="35" borderId="0" xfId="42" applyNumberFormat="1" applyFont="1" applyFill="1" applyBorder="1" applyAlignment="1">
      <alignment horizontal="right"/>
    </xf>
    <xf numFmtId="0" fontId="5" fillId="35" borderId="0" xfId="61" applyFont="1" applyFill="1" applyBorder="1" applyAlignment="1">
      <alignment vertical="center"/>
      <protection/>
    </xf>
    <xf numFmtId="0" fontId="7" fillId="35" borderId="0" xfId="61" applyFont="1" applyFill="1" applyBorder="1" applyAlignment="1">
      <alignment horizontal="right"/>
      <protection/>
    </xf>
    <xf numFmtId="218" fontId="7" fillId="35" borderId="11" xfId="45" applyNumberFormat="1" applyFont="1" applyFill="1" applyBorder="1" applyAlignment="1">
      <alignment horizontal="right"/>
    </xf>
    <xf numFmtId="0" fontId="7" fillId="35" borderId="11" xfId="61" applyFont="1" applyFill="1" applyBorder="1" applyAlignment="1">
      <alignment horizontal="right"/>
      <protection/>
    </xf>
    <xf numFmtId="218" fontId="11" fillId="35" borderId="0" xfId="45" applyNumberFormat="1" applyFont="1" applyFill="1" applyBorder="1" applyAlignment="1">
      <alignment horizontal="right"/>
    </xf>
    <xf numFmtId="229" fontId="11" fillId="35" borderId="0" xfId="42" applyNumberFormat="1" applyFont="1" applyFill="1" applyBorder="1" applyAlignment="1">
      <alignment horizontal="right"/>
    </xf>
    <xf numFmtId="217" fontId="11" fillId="35" borderId="0" xfId="45" applyNumberFormat="1" applyFont="1" applyFill="1" applyBorder="1" applyAlignment="1">
      <alignment horizontal="right"/>
    </xf>
    <xf numFmtId="0" fontId="5" fillId="36" borderId="10" xfId="61" applyFont="1" applyFill="1" applyBorder="1" applyAlignment="1">
      <alignment horizontal="center"/>
      <protection/>
    </xf>
    <xf numFmtId="0" fontId="0" fillId="36" borderId="10" xfId="0" applyFont="1" applyFill="1" applyBorder="1" applyAlignment="1">
      <alignment/>
    </xf>
    <xf numFmtId="0" fontId="0" fillId="36" borderId="10" xfId="0" applyFont="1" applyFill="1" applyBorder="1" applyAlignment="1">
      <alignment horizontal="right"/>
    </xf>
    <xf numFmtId="219" fontId="0" fillId="36" borderId="10" xfId="0" applyNumberFormat="1" applyFont="1" applyFill="1" applyBorder="1" applyAlignment="1">
      <alignment horizontal="right"/>
    </xf>
    <xf numFmtId="0" fontId="5" fillId="36" borderId="13" xfId="61" applyFont="1" applyFill="1" applyBorder="1" applyAlignment="1">
      <alignment horizontal="right" vertical="center"/>
      <protection/>
    </xf>
    <xf numFmtId="229" fontId="5" fillId="36" borderId="13" xfId="42" applyNumberFormat="1" applyFont="1" applyFill="1" applyBorder="1" applyAlignment="1">
      <alignment horizontal="right" vertical="center"/>
    </xf>
    <xf numFmtId="218" fontId="5" fillId="36" borderId="13" xfId="45" applyNumberFormat="1" applyFont="1" applyFill="1" applyBorder="1" applyAlignment="1">
      <alignment horizontal="right" vertical="center"/>
    </xf>
    <xf numFmtId="218" fontId="5" fillId="36" borderId="10" xfId="45" applyNumberFormat="1" applyFont="1" applyFill="1" applyBorder="1" applyAlignment="1">
      <alignment horizontal="right"/>
    </xf>
    <xf numFmtId="229" fontId="5" fillId="36" borderId="10" xfId="42" applyNumberFormat="1" applyFont="1" applyFill="1" applyBorder="1" applyAlignment="1">
      <alignment/>
    </xf>
    <xf numFmtId="229" fontId="5" fillId="36" borderId="10" xfId="42" applyNumberFormat="1" applyFont="1" applyFill="1" applyBorder="1" applyAlignment="1">
      <alignment horizontal="right"/>
    </xf>
    <xf numFmtId="0" fontId="5" fillId="36" borderId="10" xfId="61" applyFont="1" applyFill="1" applyBorder="1" applyAlignment="1">
      <alignment horizontal="right"/>
      <protection/>
    </xf>
    <xf numFmtId="218" fontId="5" fillId="36" borderId="10" xfId="61" applyNumberFormat="1" applyFont="1" applyFill="1" applyBorder="1" applyAlignment="1">
      <alignment horizontal="right"/>
      <protection/>
    </xf>
    <xf numFmtId="217" fontId="5" fillId="36" borderId="10" xfId="61" applyNumberFormat="1" applyFont="1" applyFill="1" applyBorder="1">
      <alignment/>
      <protection/>
    </xf>
    <xf numFmtId="0" fontId="12" fillId="35" borderId="0" xfId="60" applyFont="1" applyFill="1" applyBorder="1" applyAlignment="1">
      <alignment/>
      <protection/>
    </xf>
    <xf numFmtId="219" fontId="12" fillId="35" borderId="0" xfId="45" applyNumberFormat="1" applyFont="1" applyFill="1" applyBorder="1" applyAlignment="1">
      <alignment/>
    </xf>
    <xf numFmtId="218" fontId="12" fillId="35" borderId="0" xfId="45" applyNumberFormat="1" applyFont="1" applyFill="1" applyBorder="1" applyAlignment="1">
      <alignment/>
    </xf>
    <xf numFmtId="218" fontId="12" fillId="35" borderId="0" xfId="45" applyNumberFormat="1" applyFont="1" applyFill="1" applyBorder="1" applyAlignment="1">
      <alignment horizontal="right"/>
    </xf>
    <xf numFmtId="219" fontId="12" fillId="35" borderId="0" xfId="45" applyNumberFormat="1" applyFont="1" applyFill="1" applyBorder="1" applyAlignment="1">
      <alignment horizontal="right"/>
    </xf>
    <xf numFmtId="0" fontId="11" fillId="35" borderId="0" xfId="60" applyFont="1" applyFill="1" applyBorder="1" applyAlignment="1">
      <alignment/>
      <protection/>
    </xf>
    <xf numFmtId="219" fontId="11" fillId="35" borderId="0" xfId="60" applyNumberFormat="1" applyFont="1" applyFill="1" applyBorder="1" applyAlignment="1">
      <alignment/>
      <protection/>
    </xf>
    <xf numFmtId="0" fontId="11" fillId="35" borderId="0" xfId="60" applyFont="1" applyFill="1" applyBorder="1" applyAlignment="1">
      <alignment horizontal="right"/>
      <protection/>
    </xf>
    <xf numFmtId="219" fontId="11" fillId="35" borderId="0" xfId="60" applyNumberFormat="1" applyFont="1" applyFill="1" applyBorder="1" applyAlignment="1">
      <alignment horizontal="right"/>
      <protection/>
    </xf>
    <xf numFmtId="218" fontId="5" fillId="35" borderId="0" xfId="45" applyNumberFormat="1" applyFont="1" applyFill="1" applyBorder="1" applyAlignment="1">
      <alignment/>
    </xf>
    <xf numFmtId="219" fontId="5" fillId="35" borderId="0" xfId="45" applyNumberFormat="1" applyFont="1" applyFill="1" applyBorder="1" applyAlignment="1">
      <alignment horizontal="right"/>
    </xf>
    <xf numFmtId="217" fontId="5" fillId="35" borderId="0" xfId="45" applyNumberFormat="1" applyFont="1" applyFill="1" applyBorder="1" applyAlignment="1">
      <alignment/>
    </xf>
    <xf numFmtId="219" fontId="5" fillId="36" borderId="26" xfId="45" applyNumberFormat="1" applyFont="1" applyFill="1" applyBorder="1" applyAlignment="1">
      <alignment horizontal="center" vertical="center"/>
    </xf>
    <xf numFmtId="219" fontId="5" fillId="36" borderId="27" xfId="45" applyNumberFormat="1" applyFont="1" applyFill="1" applyBorder="1" applyAlignment="1">
      <alignment horizontal="center" vertical="center"/>
    </xf>
    <xf numFmtId="0" fontId="5" fillId="36" borderId="28" xfId="60" applyFont="1" applyFill="1" applyBorder="1" applyAlignment="1">
      <alignment horizontal="center" vertical="center"/>
      <protection/>
    </xf>
    <xf numFmtId="219" fontId="5" fillId="36" borderId="14" xfId="45" applyNumberFormat="1" applyFont="1" applyFill="1" applyBorder="1" applyAlignment="1">
      <alignment horizontal="center" vertical="center"/>
    </xf>
    <xf numFmtId="0" fontId="5" fillId="36" borderId="14" xfId="60" applyFont="1" applyFill="1" applyBorder="1" applyAlignment="1">
      <alignment horizontal="center" vertical="center"/>
      <protection/>
    </xf>
    <xf numFmtId="219" fontId="5" fillId="36" borderId="29" xfId="45" applyNumberFormat="1" applyFont="1" applyFill="1" applyBorder="1" applyAlignment="1">
      <alignment horizontal="center" vertical="center"/>
    </xf>
    <xf numFmtId="218" fontId="5" fillId="36" borderId="14" xfId="45" applyNumberFormat="1" applyFont="1" applyFill="1" applyBorder="1" applyAlignment="1">
      <alignment horizontal="center" vertical="center"/>
    </xf>
    <xf numFmtId="217" fontId="5" fillId="36" borderId="14" xfId="45" applyNumberFormat="1" applyFont="1" applyFill="1" applyBorder="1" applyAlignment="1">
      <alignment horizontal="center" vertical="center"/>
    </xf>
    <xf numFmtId="218" fontId="5" fillId="36" borderId="29" xfId="45" applyNumberFormat="1" applyFont="1" applyFill="1" applyBorder="1" applyAlignment="1">
      <alignment horizontal="center" vertical="center"/>
    </xf>
    <xf numFmtId="0" fontId="16" fillId="35" borderId="0" xfId="60" applyFont="1" applyFill="1" applyBorder="1">
      <alignment/>
      <protection/>
    </xf>
    <xf numFmtId="0" fontId="0" fillId="35" borderId="20" xfId="68" applyFont="1" applyFill="1" applyBorder="1">
      <alignment/>
      <protection/>
    </xf>
    <xf numFmtId="219" fontId="0" fillId="35" borderId="0" xfId="68" applyNumberFormat="1" applyFont="1" applyFill="1" applyBorder="1">
      <alignment/>
      <protection/>
    </xf>
    <xf numFmtId="0" fontId="0" fillId="35" borderId="0" xfId="68" applyFont="1" applyFill="1" applyBorder="1">
      <alignment/>
      <protection/>
    </xf>
    <xf numFmtId="219" fontId="0" fillId="35" borderId="23" xfId="68" applyNumberFormat="1" applyFont="1" applyFill="1" applyBorder="1">
      <alignment/>
      <protection/>
    </xf>
    <xf numFmtId="219" fontId="0" fillId="35" borderId="15" xfId="68" applyNumberFormat="1" applyFont="1" applyFill="1" applyBorder="1">
      <alignment/>
      <protection/>
    </xf>
    <xf numFmtId="0" fontId="0" fillId="35" borderId="15" xfId="68" applyFont="1" applyFill="1" applyBorder="1">
      <alignment/>
      <protection/>
    </xf>
    <xf numFmtId="219" fontId="0" fillId="35" borderId="30" xfId="68" applyNumberFormat="1" applyFont="1" applyFill="1" applyBorder="1">
      <alignment/>
      <protection/>
    </xf>
    <xf numFmtId="217" fontId="0" fillId="35" borderId="0" xfId="68" applyNumberFormat="1" applyFont="1" applyFill="1" applyBorder="1">
      <alignment/>
      <protection/>
    </xf>
    <xf numFmtId="0" fontId="0" fillId="35" borderId="23" xfId="68" applyFont="1" applyFill="1" applyBorder="1">
      <alignment/>
      <protection/>
    </xf>
    <xf numFmtId="0" fontId="13" fillId="35" borderId="0" xfId="60" applyFont="1" applyFill="1">
      <alignment/>
      <protection/>
    </xf>
    <xf numFmtId="219" fontId="13" fillId="35" borderId="0" xfId="60" applyNumberFormat="1" applyFont="1" applyFill="1">
      <alignment/>
      <protection/>
    </xf>
    <xf numFmtId="218" fontId="7" fillId="35" borderId="0" xfId="60" applyNumberFormat="1" applyFont="1" applyFill="1" applyBorder="1">
      <alignment/>
      <protection/>
    </xf>
    <xf numFmtId="218" fontId="7" fillId="35" borderId="20" xfId="68" applyNumberFormat="1" applyFont="1" applyFill="1" applyBorder="1" applyAlignment="1">
      <alignment horizontal="right"/>
      <protection/>
    </xf>
    <xf numFmtId="219" fontId="7" fillId="35" borderId="0" xfId="68" applyNumberFormat="1" applyFont="1" applyFill="1" applyBorder="1" applyAlignment="1">
      <alignment horizontal="right"/>
      <protection/>
    </xf>
    <xf numFmtId="218" fontId="7" fillId="35" borderId="0" xfId="68" applyNumberFormat="1" applyFont="1" applyFill="1" applyBorder="1" applyAlignment="1">
      <alignment horizontal="right"/>
      <protection/>
    </xf>
    <xf numFmtId="219" fontId="7" fillId="35" borderId="23" xfId="68" applyNumberFormat="1" applyFont="1" applyFill="1" applyBorder="1" applyAlignment="1">
      <alignment horizontal="right"/>
      <protection/>
    </xf>
    <xf numFmtId="217" fontId="7" fillId="35" borderId="0" xfId="68" applyNumberFormat="1" applyFont="1" applyFill="1" applyBorder="1" applyAlignment="1">
      <alignment horizontal="right"/>
      <protection/>
    </xf>
    <xf numFmtId="218" fontId="7" fillId="35" borderId="23" xfId="68" applyNumberFormat="1" applyFont="1" applyFill="1" applyBorder="1" applyAlignment="1">
      <alignment horizontal="right"/>
      <protection/>
    </xf>
    <xf numFmtId="217" fontId="7" fillId="35" borderId="23" xfId="68" applyNumberFormat="1" applyFont="1" applyFill="1" applyBorder="1" applyAlignment="1">
      <alignment horizontal="right"/>
      <protection/>
    </xf>
    <xf numFmtId="0" fontId="13" fillId="0" borderId="0" xfId="61" applyFont="1">
      <alignment/>
      <protection/>
    </xf>
    <xf numFmtId="0" fontId="7" fillId="0" borderId="0" xfId="61" applyFont="1" applyAlignment="1">
      <alignment horizontal="right"/>
      <protection/>
    </xf>
    <xf numFmtId="218" fontId="5" fillId="0" borderId="0" xfId="45" applyNumberFormat="1" applyFont="1" applyBorder="1" applyAlignment="1">
      <alignment/>
    </xf>
    <xf numFmtId="218" fontId="26" fillId="0" borderId="0" xfId="45" applyNumberFormat="1" applyFont="1" applyAlignment="1">
      <alignment vertical="top"/>
    </xf>
    <xf numFmtId="219" fontId="26" fillId="0" borderId="0" xfId="45" applyNumberFormat="1" applyFont="1" applyAlignment="1">
      <alignment vertical="top"/>
    </xf>
    <xf numFmtId="0" fontId="26" fillId="0" borderId="0" xfId="60" applyFont="1" applyBorder="1" applyAlignment="1">
      <alignment horizontal="left" vertical="center"/>
      <protection/>
    </xf>
    <xf numFmtId="0" fontId="26" fillId="0" borderId="0" xfId="60" applyFont="1" applyBorder="1" applyAlignment="1" quotePrefix="1">
      <alignment horizontal="left" vertical="top" wrapText="1"/>
      <protection/>
    </xf>
    <xf numFmtId="0" fontId="26" fillId="0" borderId="0" xfId="60" applyFont="1" applyBorder="1" applyAlignment="1">
      <alignment horizontal="left" vertical="top" wrapText="1"/>
      <protection/>
    </xf>
    <xf numFmtId="0" fontId="26" fillId="0" borderId="11" xfId="60" applyFont="1" applyBorder="1" applyAlignment="1">
      <alignment horizontal="left" vertical="top"/>
      <protection/>
    </xf>
    <xf numFmtId="0" fontId="26" fillId="34" borderId="17" xfId="60" applyFont="1" applyFill="1" applyBorder="1" applyAlignment="1">
      <alignment horizontal="left" vertical="top"/>
      <protection/>
    </xf>
    <xf numFmtId="0" fontId="26" fillId="0" borderId="0" xfId="0" applyFont="1" applyAlignment="1">
      <alignment horizontal="left" vertical="top"/>
    </xf>
    <xf numFmtId="0" fontId="27" fillId="0" borderId="0" xfId="0" applyFont="1" applyAlignment="1">
      <alignment horizontal="left" vertical="top"/>
    </xf>
    <xf numFmtId="229" fontId="5" fillId="0" borderId="0" xfId="42" applyNumberFormat="1" applyFont="1" applyFill="1" applyBorder="1" applyAlignment="1">
      <alignment vertical="top"/>
    </xf>
    <xf numFmtId="229" fontId="5" fillId="0" borderId="11" xfId="42" applyNumberFormat="1" applyFont="1" applyFill="1" applyBorder="1" applyAlignment="1">
      <alignment/>
    </xf>
    <xf numFmtId="230" fontId="5" fillId="0" borderId="0" xfId="42" applyNumberFormat="1" applyFont="1" applyBorder="1" applyAlignment="1">
      <alignment horizontal="right" vertical="top"/>
    </xf>
    <xf numFmtId="229" fontId="5" fillId="0" borderId="0" xfId="42" applyNumberFormat="1" applyFont="1" applyBorder="1" applyAlignment="1">
      <alignment horizontal="right" vertical="top"/>
    </xf>
    <xf numFmtId="230" fontId="5" fillId="0" borderId="11" xfId="42" applyNumberFormat="1" applyFont="1" applyBorder="1" applyAlignment="1">
      <alignment horizontal="right"/>
    </xf>
    <xf numFmtId="229" fontId="5" fillId="0" borderId="11" xfId="42" applyNumberFormat="1" applyFont="1" applyBorder="1" applyAlignment="1">
      <alignment horizontal="right"/>
    </xf>
    <xf numFmtId="229" fontId="5" fillId="0" borderId="11" xfId="42" applyNumberFormat="1" applyFont="1" applyBorder="1" applyAlignment="1">
      <alignment horizontal="right" vertical="center"/>
    </xf>
    <xf numFmtId="230" fontId="5" fillId="0" borderId="0" xfId="42" applyNumberFormat="1" applyFont="1" applyBorder="1" applyAlignment="1">
      <alignment horizontal="right"/>
    </xf>
    <xf numFmtId="230" fontId="4" fillId="0" borderId="0" xfId="42" applyNumberFormat="1" applyFont="1" applyAlignment="1">
      <alignment horizontal="right"/>
    </xf>
    <xf numFmtId="229" fontId="4" fillId="0" borderId="0" xfId="42" applyNumberFormat="1" applyFont="1" applyAlignment="1">
      <alignment horizontal="right"/>
    </xf>
    <xf numFmtId="229" fontId="4" fillId="0" borderId="0" xfId="42" applyNumberFormat="1" applyFont="1" applyBorder="1" applyAlignment="1">
      <alignment horizontal="right"/>
    </xf>
    <xf numFmtId="230" fontId="4" fillId="0" borderId="0" xfId="42" applyNumberFormat="1" applyFont="1" applyBorder="1" applyAlignment="1">
      <alignment horizontal="right"/>
    </xf>
    <xf numFmtId="229" fontId="4" fillId="0" borderId="0" xfId="42" applyNumberFormat="1" applyFont="1" applyBorder="1" applyAlignment="1">
      <alignment horizontal="right" vertical="top"/>
    </xf>
    <xf numFmtId="229" fontId="26" fillId="0" borderId="0" xfId="42" applyNumberFormat="1" applyFont="1" applyBorder="1" applyAlignment="1">
      <alignment horizontal="right" vertical="top"/>
    </xf>
    <xf numFmtId="229" fontId="26" fillId="0" borderId="0" xfId="42" applyNumberFormat="1" applyFont="1" applyBorder="1" applyAlignment="1">
      <alignment horizontal="right"/>
    </xf>
    <xf numFmtId="230" fontId="26" fillId="0" borderId="0" xfId="42" applyNumberFormat="1" applyFont="1" applyBorder="1" applyAlignment="1">
      <alignment horizontal="right"/>
    </xf>
    <xf numFmtId="218" fontId="5" fillId="0" borderId="0" xfId="45" applyNumberFormat="1" applyFont="1" applyAlignment="1">
      <alignment/>
    </xf>
    <xf numFmtId="219" fontId="5" fillId="0" borderId="0" xfId="45" applyNumberFormat="1" applyFont="1" applyAlignment="1">
      <alignment/>
    </xf>
    <xf numFmtId="217" fontId="5" fillId="0" borderId="0" xfId="60" applyNumberFormat="1" applyFont="1">
      <alignment/>
      <protection/>
    </xf>
    <xf numFmtId="218" fontId="5" fillId="0" borderId="0" xfId="45" applyNumberFormat="1" applyFont="1" applyAlignment="1">
      <alignment horizontal="center"/>
    </xf>
    <xf numFmtId="194" fontId="5" fillId="0" borderId="0" xfId="60" applyNumberFormat="1" applyFont="1" applyBorder="1" applyAlignment="1">
      <alignment horizontal="center"/>
      <protection/>
    </xf>
    <xf numFmtId="217" fontId="5" fillId="0" borderId="0" xfId="45" applyNumberFormat="1" applyFont="1" applyAlignment="1">
      <alignment/>
    </xf>
    <xf numFmtId="217" fontId="5" fillId="0" borderId="12" xfId="45" applyNumberFormat="1" applyFont="1" applyBorder="1" applyAlignment="1">
      <alignment horizontal="right"/>
    </xf>
    <xf numFmtId="218" fontId="5" fillId="0" borderId="12" xfId="45" applyNumberFormat="1" applyFont="1" applyBorder="1" applyAlignment="1">
      <alignment horizontal="right"/>
    </xf>
    <xf numFmtId="1" fontId="5" fillId="0" borderId="13" xfId="45" applyNumberFormat="1" applyFont="1" applyBorder="1" applyAlignment="1">
      <alignment horizontal="right"/>
    </xf>
    <xf numFmtId="219" fontId="5" fillId="0" borderId="13" xfId="45" applyNumberFormat="1" applyFont="1" applyBorder="1" applyAlignment="1">
      <alignment horizontal="right"/>
    </xf>
    <xf numFmtId="0" fontId="7" fillId="0" borderId="13" xfId="60" applyFont="1" applyBorder="1" applyAlignment="1">
      <alignment horizontal="right"/>
      <protection/>
    </xf>
    <xf numFmtId="219" fontId="7" fillId="0" borderId="13" xfId="60" applyNumberFormat="1" applyFont="1" applyBorder="1" applyAlignment="1">
      <alignment horizontal="right"/>
      <protection/>
    </xf>
    <xf numFmtId="1" fontId="7" fillId="0" borderId="13" xfId="60" applyNumberFormat="1" applyFont="1" applyBorder="1" applyAlignment="1">
      <alignment horizontal="right"/>
      <protection/>
    </xf>
    <xf numFmtId="0" fontId="7" fillId="0" borderId="12" xfId="60" applyFont="1" applyBorder="1" applyAlignment="1">
      <alignment horizontal="right"/>
      <protection/>
    </xf>
    <xf numFmtId="219" fontId="7" fillId="0" borderId="12" xfId="60" applyNumberFormat="1" applyFont="1" applyBorder="1" applyAlignment="1">
      <alignment horizontal="right"/>
      <protection/>
    </xf>
    <xf numFmtId="1" fontId="5" fillId="0" borderId="12" xfId="45" applyNumberFormat="1" applyFont="1" applyBorder="1" applyAlignment="1">
      <alignment horizontal="right"/>
    </xf>
    <xf numFmtId="0" fontId="5" fillId="0" borderId="31" xfId="60" applyFont="1" applyBorder="1">
      <alignment/>
      <protection/>
    </xf>
    <xf numFmtId="0" fontId="11" fillId="0" borderId="32" xfId="60" applyFont="1" applyBorder="1" applyAlignment="1">
      <alignment vertical="top" wrapText="1"/>
      <protection/>
    </xf>
    <xf numFmtId="0" fontId="11" fillId="0" borderId="32" xfId="60" applyFont="1" applyBorder="1" applyAlignment="1">
      <alignment vertical="top"/>
      <protection/>
    </xf>
    <xf numFmtId="0" fontId="11" fillId="0" borderId="32" xfId="60" applyFont="1" applyBorder="1" applyAlignment="1">
      <alignment horizontal="left" vertical="top" wrapText="1"/>
      <protection/>
    </xf>
    <xf numFmtId="0" fontId="11" fillId="0" borderId="32" xfId="60" applyFont="1" applyBorder="1">
      <alignment/>
      <protection/>
    </xf>
    <xf numFmtId="0" fontId="11" fillId="0" borderId="32" xfId="60" applyFont="1" applyBorder="1" applyAlignment="1">
      <alignment horizontal="left"/>
      <protection/>
    </xf>
    <xf numFmtId="0" fontId="5" fillId="0" borderId="31" xfId="60" applyFont="1" applyBorder="1" applyAlignment="1">
      <alignment horizontal="left"/>
      <protection/>
    </xf>
    <xf numFmtId="0" fontId="26" fillId="0" borderId="32" xfId="60" applyFont="1" applyBorder="1" applyAlignment="1">
      <alignment horizontal="left"/>
      <protection/>
    </xf>
    <xf numFmtId="0" fontId="5" fillId="0" borderId="12" xfId="61" applyFont="1" applyBorder="1">
      <alignment/>
      <protection/>
    </xf>
    <xf numFmtId="192" fontId="7" fillId="0" borderId="0" xfId="60" applyNumberFormat="1" applyFont="1" applyBorder="1" applyAlignment="1">
      <alignment horizontal="right"/>
      <protection/>
    </xf>
    <xf numFmtId="230" fontId="5" fillId="0" borderId="0" xfId="42" applyNumberFormat="1" applyFont="1" applyBorder="1" applyAlignment="1">
      <alignment horizontal="right" vertical="top" wrapText="1"/>
    </xf>
    <xf numFmtId="230" fontId="26" fillId="0" borderId="0" xfId="42" applyNumberFormat="1" applyFont="1" applyAlignment="1">
      <alignment horizontal="right" vertical="top"/>
    </xf>
    <xf numFmtId="229" fontId="26" fillId="0" borderId="0" xfId="42" applyNumberFormat="1" applyFont="1" applyAlignment="1">
      <alignment horizontal="right" vertical="top"/>
    </xf>
    <xf numFmtId="230" fontId="26" fillId="0" borderId="0" xfId="42" applyNumberFormat="1" applyFont="1" applyAlignment="1">
      <alignment vertical="top" wrapText="1"/>
    </xf>
    <xf numFmtId="229" fontId="26" fillId="0" borderId="0" xfId="42" applyNumberFormat="1" applyFont="1" applyAlignment="1">
      <alignment horizontal="right" vertical="top" wrapText="1"/>
    </xf>
    <xf numFmtId="0" fontId="26" fillId="0" borderId="32" xfId="60" applyFont="1" applyBorder="1" applyAlignment="1">
      <alignment vertical="top" wrapText="1"/>
      <protection/>
    </xf>
    <xf numFmtId="0" fontId="5" fillId="0" borderId="32" xfId="60" applyFont="1" applyBorder="1" applyAlignment="1">
      <alignment vertical="top" wrapText="1"/>
      <protection/>
    </xf>
    <xf numFmtId="0" fontId="11" fillId="0" borderId="33" xfId="60" applyFont="1" applyBorder="1" applyAlignment="1">
      <alignment vertical="top" wrapText="1"/>
      <protection/>
    </xf>
    <xf numFmtId="229" fontId="26" fillId="0" borderId="32" xfId="42" applyNumberFormat="1" applyFont="1" applyBorder="1" applyAlignment="1">
      <alignment horizontal="right" vertical="top"/>
    </xf>
    <xf numFmtId="219" fontId="26" fillId="0" borderId="0" xfId="0" applyNumberFormat="1" applyFont="1" applyAlignment="1">
      <alignment/>
    </xf>
    <xf numFmtId="0" fontId="26" fillId="0" borderId="33" xfId="0" applyFont="1" applyBorder="1" applyAlignment="1">
      <alignment horizontal="center" vertical="top"/>
    </xf>
    <xf numFmtId="0" fontId="26" fillId="0" borderId="33" xfId="0" applyFont="1" applyBorder="1" applyAlignment="1">
      <alignment vertical="top" wrapText="1"/>
    </xf>
    <xf numFmtId="230" fontId="26" fillId="0" borderId="33" xfId="42" applyNumberFormat="1" applyFont="1" applyBorder="1" applyAlignment="1">
      <alignment horizontal="right" vertical="top"/>
    </xf>
    <xf numFmtId="229" fontId="26" fillId="0" borderId="33" xfId="42" applyNumberFormat="1" applyFont="1" applyBorder="1" applyAlignment="1">
      <alignment horizontal="right" vertical="top"/>
    </xf>
    <xf numFmtId="230" fontId="26" fillId="0" borderId="33" xfId="42" applyNumberFormat="1" applyFont="1" applyBorder="1" applyAlignment="1">
      <alignment vertical="top"/>
    </xf>
    <xf numFmtId="0" fontId="26" fillId="0" borderId="33" xfId="0" applyFont="1" applyBorder="1" applyAlignment="1">
      <alignment vertical="top"/>
    </xf>
    <xf numFmtId="0" fontId="29" fillId="0" borderId="0" xfId="60" applyFont="1" applyBorder="1">
      <alignment/>
      <protection/>
    </xf>
    <xf numFmtId="230" fontId="5" fillId="0" borderId="34" xfId="42" applyNumberFormat="1" applyFont="1" applyBorder="1" applyAlignment="1">
      <alignment horizontal="right"/>
    </xf>
    <xf numFmtId="229" fontId="5" fillId="0" borderId="34" xfId="42" applyNumberFormat="1" applyFont="1" applyBorder="1" applyAlignment="1">
      <alignment horizontal="right"/>
    </xf>
    <xf numFmtId="230" fontId="5" fillId="0" borderId="34" xfId="42" applyNumberFormat="1" applyFont="1" applyBorder="1" applyAlignment="1">
      <alignment/>
    </xf>
    <xf numFmtId="230" fontId="5" fillId="0" borderId="32" xfId="42" applyNumberFormat="1" applyFont="1" applyBorder="1" applyAlignment="1">
      <alignment horizontal="right"/>
    </xf>
    <xf numFmtId="229" fontId="5" fillId="0" borderId="32" xfId="42" applyNumberFormat="1" applyFont="1" applyBorder="1" applyAlignment="1">
      <alignment horizontal="right"/>
    </xf>
    <xf numFmtId="230" fontId="5" fillId="0" borderId="32" xfId="42" applyNumberFormat="1" applyFont="1" applyBorder="1" applyAlignment="1">
      <alignment/>
    </xf>
    <xf numFmtId="229" fontId="5" fillId="0" borderId="32" xfId="42" applyNumberFormat="1" applyFont="1" applyBorder="1" applyAlignment="1">
      <alignment horizontal="right" vertical="center" textRotation="60"/>
    </xf>
    <xf numFmtId="229" fontId="5" fillId="0" borderId="32" xfId="42" applyNumberFormat="1" applyFont="1" applyBorder="1" applyAlignment="1">
      <alignment horizontal="right" vertical="center"/>
    </xf>
    <xf numFmtId="0" fontId="26" fillId="0" borderId="32" xfId="60" applyFont="1" applyBorder="1" applyAlignment="1">
      <alignment horizontal="center" vertical="top"/>
      <protection/>
    </xf>
    <xf numFmtId="229" fontId="11" fillId="0" borderId="32" xfId="42" applyNumberFormat="1" applyFont="1" applyBorder="1" applyAlignment="1">
      <alignment horizontal="right" vertical="top" wrapText="1"/>
    </xf>
    <xf numFmtId="0" fontId="5" fillId="34" borderId="35" xfId="60" applyFont="1" applyFill="1" applyBorder="1" applyAlignment="1">
      <alignment horizontal="right"/>
      <protection/>
    </xf>
    <xf numFmtId="229" fontId="5" fillId="34" borderId="35" xfId="42" applyNumberFormat="1" applyFont="1" applyFill="1" applyBorder="1" applyAlignment="1">
      <alignment horizontal="right"/>
    </xf>
    <xf numFmtId="230" fontId="5" fillId="34" borderId="35" xfId="42" applyNumberFormat="1" applyFont="1" applyFill="1" applyBorder="1" applyAlignment="1">
      <alignment/>
    </xf>
    <xf numFmtId="230" fontId="5" fillId="34" borderId="35" xfId="42" applyNumberFormat="1" applyFont="1" applyFill="1" applyBorder="1" applyAlignment="1">
      <alignment horizontal="right"/>
    </xf>
    <xf numFmtId="0" fontId="5" fillId="0" borderId="32" xfId="60" applyFont="1" applyBorder="1">
      <alignment/>
      <protection/>
    </xf>
    <xf numFmtId="229" fontId="5" fillId="0" borderId="31" xfId="42" applyNumberFormat="1" applyFont="1" applyBorder="1" applyAlignment="1">
      <alignment horizontal="right"/>
    </xf>
    <xf numFmtId="0" fontId="5" fillId="34" borderId="33" xfId="60" applyFont="1" applyFill="1" applyBorder="1" applyAlignment="1">
      <alignment horizontal="right"/>
      <protection/>
    </xf>
    <xf numFmtId="229" fontId="5" fillId="34" borderId="33" xfId="42" applyNumberFormat="1" applyFont="1" applyFill="1" applyBorder="1" applyAlignment="1">
      <alignment horizontal="right"/>
    </xf>
    <xf numFmtId="230" fontId="5" fillId="34" borderId="33" xfId="42" applyNumberFormat="1" applyFont="1" applyFill="1" applyBorder="1" applyAlignment="1">
      <alignment/>
    </xf>
    <xf numFmtId="0" fontId="26" fillId="0" borderId="32" xfId="60" applyFont="1" applyBorder="1" applyAlignment="1">
      <alignment horizontal="center" vertical="top" wrapText="1"/>
      <protection/>
    </xf>
    <xf numFmtId="230" fontId="11" fillId="0" borderId="32" xfId="42" applyNumberFormat="1" applyFont="1" applyBorder="1" applyAlignment="1">
      <alignment horizontal="right" vertical="top"/>
    </xf>
    <xf numFmtId="229" fontId="11" fillId="0" borderId="32" xfId="42" applyNumberFormat="1" applyFont="1" applyBorder="1" applyAlignment="1">
      <alignment horizontal="right" vertical="top"/>
    </xf>
    <xf numFmtId="229" fontId="5" fillId="0" borderId="31" xfId="42" applyNumberFormat="1" applyFont="1" applyFill="1" applyBorder="1" applyAlignment="1">
      <alignment horizontal="right"/>
    </xf>
    <xf numFmtId="230" fontId="11" fillId="0" borderId="32" xfId="42" applyNumberFormat="1" applyFont="1" applyBorder="1" applyAlignment="1">
      <alignment vertical="top"/>
    </xf>
    <xf numFmtId="0" fontId="26" fillId="0" borderId="32" xfId="60" applyFont="1" applyBorder="1" applyAlignment="1" quotePrefix="1">
      <alignment horizontal="center" vertical="top" wrapText="1"/>
      <protection/>
    </xf>
    <xf numFmtId="0" fontId="26" fillId="0" borderId="32" xfId="0" applyFont="1" applyBorder="1" applyAlignment="1">
      <alignment horizontal="center" vertical="top"/>
    </xf>
    <xf numFmtId="0" fontId="11" fillId="0" borderId="32" xfId="60" applyFont="1" applyBorder="1" applyAlignment="1" quotePrefix="1">
      <alignment vertical="top" wrapText="1"/>
      <protection/>
    </xf>
    <xf numFmtId="230" fontId="11" fillId="0" borderId="32" xfId="42" applyNumberFormat="1" applyFont="1" applyBorder="1" applyAlignment="1">
      <alignment horizontal="right"/>
    </xf>
    <xf numFmtId="229" fontId="11" fillId="0" borderId="32" xfId="42" applyNumberFormat="1" applyFont="1" applyBorder="1" applyAlignment="1">
      <alignment horizontal="right"/>
    </xf>
    <xf numFmtId="230" fontId="11" fillId="0" borderId="32" xfId="42" applyNumberFormat="1" applyFont="1" applyBorder="1" applyAlignment="1">
      <alignment/>
    </xf>
    <xf numFmtId="230" fontId="11" fillId="0" borderId="32" xfId="42" applyNumberFormat="1" applyFont="1" applyBorder="1" applyAlignment="1">
      <alignment horizontal="right" vertical="top" wrapText="1"/>
    </xf>
    <xf numFmtId="230" fontId="11" fillId="0" borderId="32" xfId="42" applyNumberFormat="1" applyFont="1" applyBorder="1" applyAlignment="1">
      <alignment vertical="top" wrapText="1"/>
    </xf>
    <xf numFmtId="0" fontId="26" fillId="33" borderId="32" xfId="60" applyFont="1" applyFill="1" applyBorder="1" applyAlignment="1">
      <alignment horizontal="center" vertical="top"/>
      <protection/>
    </xf>
    <xf numFmtId="229" fontId="11" fillId="33" borderId="32" xfId="42" applyNumberFormat="1" applyFont="1" applyFill="1" applyBorder="1" applyAlignment="1">
      <alignment horizontal="right" vertical="top"/>
    </xf>
    <xf numFmtId="0" fontId="26" fillId="0" borderId="32" xfId="60" applyFont="1" applyBorder="1" applyAlignment="1">
      <alignment vertical="top"/>
      <protection/>
    </xf>
    <xf numFmtId="0" fontId="5" fillId="34" borderId="36" xfId="60" applyFont="1" applyFill="1" applyBorder="1" applyAlignment="1">
      <alignment horizontal="right"/>
      <protection/>
    </xf>
    <xf numFmtId="230" fontId="5" fillId="34" borderId="36" xfId="42" applyNumberFormat="1" applyFont="1" applyFill="1" applyBorder="1" applyAlignment="1">
      <alignment horizontal="right"/>
    </xf>
    <xf numFmtId="229" fontId="5" fillId="34" borderId="36" xfId="42" applyNumberFormat="1" applyFont="1" applyFill="1" applyBorder="1" applyAlignment="1">
      <alignment horizontal="right"/>
    </xf>
    <xf numFmtId="230" fontId="5" fillId="34" borderId="34" xfId="42" applyNumberFormat="1" applyFont="1" applyFill="1" applyBorder="1" applyAlignment="1">
      <alignment horizontal="right" vertical="center"/>
    </xf>
    <xf numFmtId="229" fontId="5" fillId="34" borderId="34" xfId="42" applyNumberFormat="1" applyFont="1" applyFill="1" applyBorder="1" applyAlignment="1">
      <alignment horizontal="right" vertical="center"/>
    </xf>
    <xf numFmtId="0" fontId="26" fillId="0" borderId="0" xfId="60" applyFont="1" applyBorder="1">
      <alignment/>
      <protection/>
    </xf>
    <xf numFmtId="230" fontId="26" fillId="0" borderId="0" xfId="42" applyNumberFormat="1" applyFont="1" applyBorder="1" applyAlignment="1">
      <alignment/>
    </xf>
    <xf numFmtId="229" fontId="26" fillId="0" borderId="0" xfId="42" applyNumberFormat="1" applyFont="1" applyAlignment="1">
      <alignment horizontal="right"/>
    </xf>
    <xf numFmtId="0" fontId="26" fillId="0" borderId="32" xfId="0" applyFont="1" applyBorder="1" applyAlignment="1">
      <alignment/>
    </xf>
    <xf numFmtId="229" fontId="11" fillId="0" borderId="32" xfId="42" applyNumberFormat="1" applyFont="1" applyBorder="1" applyAlignment="1">
      <alignment horizontal="right" vertical="center" textRotation="60"/>
    </xf>
    <xf numFmtId="230" fontId="26" fillId="0" borderId="32" xfId="42" applyNumberFormat="1" applyFont="1" applyBorder="1" applyAlignment="1">
      <alignment vertical="top" wrapText="1"/>
    </xf>
    <xf numFmtId="229" fontId="26" fillId="0" borderId="32" xfId="42" applyNumberFormat="1" applyFont="1" applyBorder="1" applyAlignment="1">
      <alignment horizontal="right" vertical="top" wrapText="1"/>
    </xf>
    <xf numFmtId="0" fontId="26" fillId="0" borderId="32" xfId="0" applyFont="1" applyBorder="1" applyAlignment="1">
      <alignment vertical="top"/>
    </xf>
    <xf numFmtId="0" fontId="26" fillId="0" borderId="32" xfId="0" applyFont="1" applyBorder="1" applyAlignment="1">
      <alignment vertical="top" wrapText="1"/>
    </xf>
    <xf numFmtId="230" fontId="26" fillId="0" borderId="32" xfId="42" applyNumberFormat="1" applyFont="1" applyBorder="1" applyAlignment="1">
      <alignment horizontal="right"/>
    </xf>
    <xf numFmtId="229" fontId="26" fillId="0" borderId="32" xfId="42" applyNumberFormat="1" applyFont="1" applyBorder="1" applyAlignment="1">
      <alignment horizontal="right"/>
    </xf>
    <xf numFmtId="230" fontId="26" fillId="0" borderId="32" xfId="42" applyNumberFormat="1" applyFont="1" applyBorder="1" applyAlignment="1">
      <alignment/>
    </xf>
    <xf numFmtId="230" fontId="26" fillId="0" borderId="32" xfId="42" applyNumberFormat="1" applyFont="1" applyBorder="1" applyAlignment="1">
      <alignment horizontal="right" vertical="top" wrapText="1"/>
    </xf>
    <xf numFmtId="230" fontId="26" fillId="0" borderId="32" xfId="42" applyNumberFormat="1" applyFont="1" applyBorder="1" applyAlignment="1">
      <alignment horizontal="right" vertical="top"/>
    </xf>
    <xf numFmtId="230" fontId="26" fillId="0" borderId="32" xfId="42" applyNumberFormat="1" applyFont="1" applyBorder="1" applyAlignment="1">
      <alignment vertical="top"/>
    </xf>
    <xf numFmtId="230" fontId="11" fillId="33" borderId="32" xfId="42" applyNumberFormat="1" applyFont="1" applyFill="1" applyBorder="1" applyAlignment="1">
      <alignment horizontal="right" vertical="top"/>
    </xf>
    <xf numFmtId="230" fontId="11" fillId="33" borderId="32" xfId="42" applyNumberFormat="1" applyFont="1" applyFill="1" applyBorder="1" applyAlignment="1">
      <alignment vertical="top"/>
    </xf>
    <xf numFmtId="0" fontId="26" fillId="33" borderId="32" xfId="0" applyFont="1" applyFill="1" applyBorder="1" applyAlignment="1">
      <alignment vertical="top"/>
    </xf>
    <xf numFmtId="0" fontId="26" fillId="0" borderId="32" xfId="60" applyFont="1" applyBorder="1">
      <alignment/>
      <protection/>
    </xf>
    <xf numFmtId="230" fontId="26" fillId="0" borderId="0" xfId="42" applyNumberFormat="1" applyFont="1" applyAlignment="1">
      <alignment horizontal="right"/>
    </xf>
    <xf numFmtId="230" fontId="26" fillId="0" borderId="0" xfId="42" applyNumberFormat="1" applyFont="1" applyAlignment="1">
      <alignment/>
    </xf>
    <xf numFmtId="0" fontId="4" fillId="0" borderId="32" xfId="0" applyFont="1" applyBorder="1" applyAlignment="1">
      <alignment/>
    </xf>
    <xf numFmtId="0" fontId="5" fillId="34" borderId="35" xfId="60" applyFont="1" applyFill="1" applyBorder="1">
      <alignment/>
      <protection/>
    </xf>
    <xf numFmtId="230" fontId="5" fillId="0" borderId="31" xfId="42" applyNumberFormat="1" applyFont="1" applyBorder="1" applyAlignment="1">
      <alignment horizontal="right"/>
    </xf>
    <xf numFmtId="230" fontId="5" fillId="0" borderId="31" xfId="42" applyNumberFormat="1" applyFont="1" applyBorder="1" applyAlignment="1">
      <alignment/>
    </xf>
    <xf numFmtId="0" fontId="5" fillId="34" borderId="33" xfId="60" applyFont="1" applyFill="1" applyBorder="1">
      <alignment/>
      <protection/>
    </xf>
    <xf numFmtId="230" fontId="4" fillId="0" borderId="31" xfId="42" applyNumberFormat="1" applyFont="1" applyBorder="1" applyAlignment="1">
      <alignment horizontal="right"/>
    </xf>
    <xf numFmtId="229" fontId="4" fillId="0" borderId="31" xfId="42" applyNumberFormat="1" applyFont="1" applyBorder="1" applyAlignment="1">
      <alignment horizontal="right"/>
    </xf>
    <xf numFmtId="230" fontId="4" fillId="0" borderId="31" xfId="42" applyNumberFormat="1" applyFont="1" applyBorder="1" applyAlignment="1">
      <alignment/>
    </xf>
    <xf numFmtId="0" fontId="26" fillId="0" borderId="32" xfId="0" applyFont="1" applyBorder="1" applyAlignment="1">
      <alignment horizontal="center" vertical="top" wrapText="1"/>
    </xf>
    <xf numFmtId="0" fontId="5" fillId="0" borderId="32" xfId="0" applyFont="1" applyBorder="1" applyAlignment="1">
      <alignment/>
    </xf>
    <xf numFmtId="230" fontId="5" fillId="0" borderId="31" xfId="42" applyNumberFormat="1" applyFont="1" applyFill="1" applyBorder="1" applyAlignment="1">
      <alignment horizontal="right"/>
    </xf>
    <xf numFmtId="230" fontId="5" fillId="0" borderId="31" xfId="42" applyNumberFormat="1" applyFont="1" applyFill="1" applyBorder="1" applyAlignment="1">
      <alignment/>
    </xf>
    <xf numFmtId="0" fontId="4" fillId="34" borderId="35" xfId="60" applyFont="1" applyFill="1" applyBorder="1">
      <alignment/>
      <protection/>
    </xf>
    <xf numFmtId="230" fontId="4" fillId="0" borderId="32" xfId="42" applyNumberFormat="1" applyFont="1" applyBorder="1" applyAlignment="1">
      <alignment horizontal="right"/>
    </xf>
    <xf numFmtId="229" fontId="4" fillId="0" borderId="32" xfId="42" applyNumberFormat="1" applyFont="1" applyBorder="1" applyAlignment="1">
      <alignment horizontal="right"/>
    </xf>
    <xf numFmtId="230" fontId="4" fillId="0" borderId="32" xfId="42" applyNumberFormat="1" applyFont="1" applyBorder="1" applyAlignment="1">
      <alignment/>
    </xf>
    <xf numFmtId="0" fontId="4" fillId="34" borderId="36" xfId="0" applyFont="1" applyFill="1" applyBorder="1" applyAlignment="1">
      <alignment/>
    </xf>
    <xf numFmtId="0" fontId="4" fillId="0" borderId="32" xfId="60" applyFont="1" applyBorder="1" applyAlignment="1">
      <alignment horizontal="center" vertical="top" wrapText="1"/>
      <protection/>
    </xf>
    <xf numFmtId="229" fontId="26" fillId="0" borderId="33" xfId="42" applyNumberFormat="1" applyFont="1" applyBorder="1" applyAlignment="1">
      <alignment horizontal="right" vertical="top" wrapText="1"/>
    </xf>
    <xf numFmtId="229" fontId="26" fillId="0" borderId="32" xfId="42" applyNumberFormat="1" applyFont="1" applyBorder="1" applyAlignment="1">
      <alignment horizontal="center" vertical="top"/>
    </xf>
    <xf numFmtId="229" fontId="26" fillId="0" borderId="32" xfId="42" applyNumberFormat="1" applyFont="1" applyFill="1" applyBorder="1" applyAlignment="1">
      <alignment horizontal="right" vertical="top" wrapText="1"/>
    </xf>
    <xf numFmtId="230" fontId="26" fillId="0" borderId="32" xfId="42" applyNumberFormat="1" applyFont="1" applyFill="1" applyBorder="1" applyAlignment="1">
      <alignment horizontal="right" vertical="top"/>
    </xf>
    <xf numFmtId="230" fontId="26" fillId="0" borderId="32" xfId="42" applyNumberFormat="1" applyFont="1" applyFill="1" applyBorder="1" applyAlignment="1">
      <alignment vertical="top"/>
    </xf>
    <xf numFmtId="229" fontId="26" fillId="0" borderId="32" xfId="42" applyNumberFormat="1" applyFont="1" applyFill="1" applyBorder="1" applyAlignment="1">
      <alignment horizontal="right" vertical="top"/>
    </xf>
    <xf numFmtId="229" fontId="26" fillId="33" borderId="32" xfId="42" applyNumberFormat="1" applyFont="1" applyFill="1" applyBorder="1" applyAlignment="1">
      <alignment horizontal="right" vertical="top"/>
    </xf>
    <xf numFmtId="230" fontId="4" fillId="0" borderId="32" xfId="42" applyNumberFormat="1" applyFont="1" applyFill="1" applyBorder="1" applyAlignment="1">
      <alignment horizontal="right" vertical="top"/>
    </xf>
    <xf numFmtId="229" fontId="4" fillId="0" borderId="32" xfId="42" applyNumberFormat="1" applyFont="1" applyFill="1" applyBorder="1" applyAlignment="1">
      <alignment horizontal="right" vertical="top" wrapText="1"/>
    </xf>
    <xf numFmtId="230" fontId="4" fillId="0" borderId="32" xfId="42" applyNumberFormat="1" applyFont="1" applyFill="1" applyBorder="1" applyAlignment="1">
      <alignment vertical="top"/>
    </xf>
    <xf numFmtId="229" fontId="4" fillId="0" borderId="32" xfId="42" applyNumberFormat="1" applyFont="1" applyFill="1" applyBorder="1" applyAlignment="1">
      <alignment horizontal="right" vertical="top"/>
    </xf>
    <xf numFmtId="230" fontId="26" fillId="0" borderId="32" xfId="42" applyNumberFormat="1" applyFont="1" applyFill="1" applyBorder="1" applyAlignment="1">
      <alignment horizontal="right" vertical="top" wrapText="1"/>
    </xf>
    <xf numFmtId="0" fontId="26" fillId="0" borderId="0" xfId="60" applyFont="1" applyBorder="1" applyAlignment="1">
      <alignment horizontal="center" vertical="top"/>
      <protection/>
    </xf>
    <xf numFmtId="0" fontId="4" fillId="0" borderId="32" xfId="60" applyFont="1" applyBorder="1" applyAlignment="1">
      <alignment horizontal="center" vertical="top"/>
      <protection/>
    </xf>
    <xf numFmtId="0" fontId="4" fillId="34" borderId="35" xfId="60" applyFont="1" applyFill="1" applyBorder="1" applyAlignment="1">
      <alignment horizontal="center" vertical="top"/>
      <protection/>
    </xf>
    <xf numFmtId="0" fontId="4" fillId="0" borderId="31" xfId="60" applyFont="1" applyBorder="1" applyAlignment="1">
      <alignment horizontal="center" vertical="top"/>
      <protection/>
    </xf>
    <xf numFmtId="0" fontId="4" fillId="34" borderId="33" xfId="60" applyFont="1" applyFill="1" applyBorder="1" applyAlignment="1">
      <alignment horizontal="center" vertical="top"/>
      <protection/>
    </xf>
    <xf numFmtId="0" fontId="5" fillId="0" borderId="31" xfId="60" applyFont="1" applyBorder="1" applyAlignment="1">
      <alignment horizontal="center" vertical="top"/>
      <protection/>
    </xf>
    <xf numFmtId="0" fontId="4" fillId="34" borderId="36" xfId="0" applyFont="1" applyFill="1" applyBorder="1" applyAlignment="1">
      <alignment horizontal="center" vertical="top"/>
    </xf>
    <xf numFmtId="218" fontId="26" fillId="0" borderId="0" xfId="45" applyNumberFormat="1" applyFont="1" applyBorder="1" applyAlignment="1">
      <alignment horizontal="right" vertical="top"/>
    </xf>
    <xf numFmtId="219" fontId="26" fillId="0" borderId="0" xfId="45" applyNumberFormat="1" applyFont="1" applyBorder="1" applyAlignment="1">
      <alignment horizontal="right" vertical="top"/>
    </xf>
    <xf numFmtId="218" fontId="26" fillId="0" borderId="0" xfId="45" applyNumberFormat="1" applyFont="1" applyBorder="1" applyAlignment="1">
      <alignment horizontal="right"/>
    </xf>
    <xf numFmtId="219" fontId="26" fillId="0" borderId="0" xfId="45" applyNumberFormat="1" applyFont="1" applyBorder="1" applyAlignment="1">
      <alignment horizontal="right"/>
    </xf>
    <xf numFmtId="218" fontId="26" fillId="0" borderId="0" xfId="44" applyNumberFormat="1" applyFont="1" applyBorder="1" applyAlignment="1">
      <alignment vertical="center"/>
    </xf>
    <xf numFmtId="217" fontId="26" fillId="0" borderId="0" xfId="44" applyNumberFormat="1" applyFont="1" applyBorder="1" applyAlignment="1">
      <alignment vertical="center"/>
    </xf>
    <xf numFmtId="218" fontId="26" fillId="0" borderId="0" xfId="44" applyNumberFormat="1" applyFont="1" applyBorder="1" applyAlignment="1">
      <alignment horizontal="right" vertical="center"/>
    </xf>
    <xf numFmtId="218" fontId="26" fillId="0" borderId="0" xfId="44" applyNumberFormat="1" applyFont="1" applyFill="1" applyBorder="1" applyAlignment="1">
      <alignment vertical="center"/>
    </xf>
    <xf numFmtId="217" fontId="26" fillId="0" borderId="0" xfId="44" applyNumberFormat="1" applyFont="1" applyFill="1" applyBorder="1" applyAlignment="1">
      <alignment vertical="center"/>
    </xf>
    <xf numFmtId="218" fontId="13" fillId="0" borderId="11" xfId="44" applyNumberFormat="1" applyFont="1" applyBorder="1" applyAlignment="1">
      <alignment vertical="center"/>
    </xf>
    <xf numFmtId="217" fontId="13" fillId="0" borderId="11" xfId="60" applyNumberFormat="1" applyFont="1" applyBorder="1" applyAlignment="1">
      <alignment vertical="center"/>
      <protection/>
    </xf>
    <xf numFmtId="0" fontId="13" fillId="0" borderId="11" xfId="60" applyFont="1" applyBorder="1" applyAlignment="1">
      <alignment vertical="center"/>
      <protection/>
    </xf>
    <xf numFmtId="217" fontId="13" fillId="0" borderId="11" xfId="44" applyNumberFormat="1" applyFont="1" applyBorder="1" applyAlignment="1">
      <alignment vertical="center"/>
    </xf>
    <xf numFmtId="218" fontId="13" fillId="0" borderId="0" xfId="44" applyNumberFormat="1" applyFont="1" applyBorder="1" applyAlignment="1">
      <alignment vertical="center"/>
    </xf>
    <xf numFmtId="217" fontId="13" fillId="0" borderId="0" xfId="60" applyNumberFormat="1" applyFont="1" applyBorder="1" applyAlignment="1">
      <alignment vertical="center"/>
      <protection/>
    </xf>
    <xf numFmtId="0" fontId="13" fillId="0" borderId="0" xfId="60" applyFont="1" applyBorder="1" applyAlignment="1">
      <alignment vertical="center"/>
      <protection/>
    </xf>
    <xf numFmtId="217" fontId="13" fillId="0" borderId="0" xfId="44" applyNumberFormat="1" applyFont="1" applyBorder="1" applyAlignment="1">
      <alignment vertical="center"/>
    </xf>
    <xf numFmtId="217" fontId="26" fillId="0" borderId="0" xfId="44" applyNumberFormat="1" applyFont="1" applyBorder="1" applyAlignment="1">
      <alignment horizontal="right" vertical="center"/>
    </xf>
    <xf numFmtId="218" fontId="26" fillId="0" borderId="0" xfId="44" applyNumberFormat="1" applyFont="1" applyFill="1" applyBorder="1" applyAlignment="1">
      <alignment horizontal="right" vertical="center"/>
    </xf>
    <xf numFmtId="217" fontId="26" fillId="0" borderId="0" xfId="44" applyNumberFormat="1" applyFont="1" applyFill="1" applyBorder="1" applyAlignment="1">
      <alignment horizontal="right" vertical="center"/>
    </xf>
    <xf numFmtId="218" fontId="13" fillId="0" borderId="11" xfId="44" applyNumberFormat="1" applyFont="1" applyBorder="1" applyAlignment="1">
      <alignment horizontal="center" vertical="center"/>
    </xf>
    <xf numFmtId="217" fontId="13" fillId="0" borderId="11" xfId="44" applyNumberFormat="1" applyFont="1" applyBorder="1" applyAlignment="1">
      <alignment horizontal="center" vertical="center"/>
    </xf>
    <xf numFmtId="218" fontId="26" fillId="0" borderId="12" xfId="44" applyNumberFormat="1" applyFont="1" applyBorder="1" applyAlignment="1">
      <alignment horizontal="right" vertical="center"/>
    </xf>
    <xf numFmtId="217" fontId="26" fillId="0" borderId="12" xfId="44" applyNumberFormat="1" applyFont="1" applyBorder="1" applyAlignment="1">
      <alignment horizontal="right" vertical="center"/>
    </xf>
    <xf numFmtId="218" fontId="26" fillId="0" borderId="12" xfId="44" applyNumberFormat="1" applyFont="1" applyFill="1" applyBorder="1" applyAlignment="1">
      <alignment horizontal="right" vertical="center"/>
    </xf>
    <xf numFmtId="217" fontId="26" fillId="0" borderId="12" xfId="44" applyNumberFormat="1" applyFont="1" applyFill="1" applyBorder="1" applyAlignment="1">
      <alignment horizontal="right" vertical="center"/>
    </xf>
    <xf numFmtId="217" fontId="26" fillId="0" borderId="0" xfId="60" applyNumberFormat="1" applyFont="1" applyBorder="1" applyAlignment="1">
      <alignment horizontal="right" vertical="center"/>
      <protection/>
    </xf>
    <xf numFmtId="218" fontId="26" fillId="0" borderId="12" xfId="44" applyNumberFormat="1" applyFont="1" applyBorder="1" applyAlignment="1">
      <alignment vertical="center"/>
    </xf>
    <xf numFmtId="217" fontId="26" fillId="0" borderId="12" xfId="44" applyNumberFormat="1" applyFont="1" applyBorder="1" applyAlignment="1">
      <alignment vertical="center"/>
    </xf>
    <xf numFmtId="218" fontId="26" fillId="0" borderId="12" xfId="44" applyNumberFormat="1" applyFont="1" applyFill="1" applyBorder="1" applyAlignment="1">
      <alignment vertical="center"/>
    </xf>
    <xf numFmtId="217" fontId="26" fillId="0" borderId="12" xfId="44" applyNumberFormat="1" applyFont="1" applyFill="1" applyBorder="1" applyAlignment="1">
      <alignment vertical="center"/>
    </xf>
    <xf numFmtId="218" fontId="13" fillId="0" borderId="0" xfId="44" applyNumberFormat="1" applyFont="1" applyBorder="1" applyAlignment="1">
      <alignment horizontal="right" vertical="center"/>
    </xf>
    <xf numFmtId="217" fontId="13" fillId="0" borderId="0" xfId="44" applyNumberFormat="1" applyFont="1" applyBorder="1" applyAlignment="1">
      <alignment horizontal="right" vertical="center"/>
    </xf>
    <xf numFmtId="217" fontId="13" fillId="0" borderId="0" xfId="44" applyNumberFormat="1" applyFont="1" applyBorder="1" applyAlignment="1">
      <alignment horizontal="center" vertical="center"/>
    </xf>
    <xf numFmtId="218" fontId="13" fillId="0" borderId="0" xfId="44" applyNumberFormat="1" applyFont="1" applyBorder="1" applyAlignment="1">
      <alignment horizontal="center" vertical="center"/>
    </xf>
    <xf numFmtId="1" fontId="26" fillId="0" borderId="0" xfId="64" applyNumberFormat="1" applyFont="1" applyBorder="1" applyAlignment="1">
      <alignment vertical="center"/>
    </xf>
    <xf numFmtId="218" fontId="26" fillId="0" borderId="19" xfId="44" applyNumberFormat="1" applyFont="1" applyFill="1" applyBorder="1" applyAlignment="1">
      <alignment vertical="center"/>
    </xf>
    <xf numFmtId="217" fontId="26" fillId="0" borderId="19" xfId="44" applyNumberFormat="1" applyFont="1" applyFill="1" applyBorder="1" applyAlignment="1">
      <alignment vertical="center"/>
    </xf>
    <xf numFmtId="218" fontId="26" fillId="0" borderId="19" xfId="44" applyNumberFormat="1" applyFont="1" applyBorder="1" applyAlignment="1">
      <alignment vertical="center"/>
    </xf>
    <xf numFmtId="217" fontId="26" fillId="0" borderId="19" xfId="44" applyNumberFormat="1" applyFont="1" applyBorder="1" applyAlignment="1">
      <alignment vertical="center"/>
    </xf>
    <xf numFmtId="218" fontId="26" fillId="0" borderId="19" xfId="44" applyNumberFormat="1" applyFont="1" applyBorder="1" applyAlignment="1">
      <alignment horizontal="right" vertical="center"/>
    </xf>
    <xf numFmtId="217" fontId="26" fillId="0" borderId="19" xfId="44" applyNumberFormat="1" applyFont="1" applyBorder="1" applyAlignment="1">
      <alignment horizontal="right" vertical="center"/>
    </xf>
    <xf numFmtId="0" fontId="4" fillId="0" borderId="0" xfId="61" applyFont="1">
      <alignment/>
      <protection/>
    </xf>
    <xf numFmtId="0" fontId="4" fillId="0" borderId="0" xfId="0" applyFont="1" applyAlignment="1">
      <alignment/>
    </xf>
    <xf numFmtId="0" fontId="5" fillId="34" borderId="11" xfId="61" applyFont="1" applyFill="1" applyBorder="1" applyAlignment="1">
      <alignment horizontal="center" vertical="center"/>
      <protection/>
    </xf>
    <xf numFmtId="0" fontId="5" fillId="34" borderId="17" xfId="61" applyFont="1" applyFill="1" applyBorder="1" applyAlignment="1">
      <alignment horizontal="left" vertical="center" wrapText="1"/>
      <protection/>
    </xf>
    <xf numFmtId="0" fontId="4" fillId="34" borderId="17" xfId="61" applyFont="1" applyFill="1" applyBorder="1">
      <alignment/>
      <protection/>
    </xf>
    <xf numFmtId="0" fontId="4" fillId="0" borderId="0" xfId="61" applyFont="1">
      <alignment/>
      <protection/>
    </xf>
    <xf numFmtId="0" fontId="4" fillId="34" borderId="17" xfId="61" applyFont="1" applyFill="1" applyBorder="1" applyAlignment="1">
      <alignment horizontal="left"/>
      <protection/>
    </xf>
    <xf numFmtId="0" fontId="5" fillId="0" borderId="0" xfId="61" applyFont="1">
      <alignment/>
      <protection/>
    </xf>
    <xf numFmtId="0" fontId="7" fillId="0" borderId="0" xfId="61" applyFont="1" applyBorder="1" applyAlignment="1">
      <alignment horizontal="left"/>
      <protection/>
    </xf>
    <xf numFmtId="0" fontId="10" fillId="0" borderId="0" xfId="61" applyFont="1" applyAlignment="1">
      <alignment horizontal="center"/>
      <protection/>
    </xf>
    <xf numFmtId="0" fontId="10" fillId="0" borderId="0" xfId="61" applyFont="1" applyBorder="1">
      <alignment/>
      <protection/>
    </xf>
    <xf numFmtId="0" fontId="10" fillId="0" borderId="0" xfId="61" applyFont="1">
      <alignment/>
      <protection/>
    </xf>
    <xf numFmtId="0" fontId="10" fillId="0" borderId="0" xfId="60" applyFont="1" applyBorder="1" applyAlignment="1">
      <alignment horizontal="left"/>
      <protection/>
    </xf>
    <xf numFmtId="218" fontId="7" fillId="0" borderId="0" xfId="45" applyNumberFormat="1" applyFont="1" applyBorder="1" applyAlignment="1">
      <alignment/>
    </xf>
    <xf numFmtId="0" fontId="7" fillId="0" borderId="0" xfId="60" applyFont="1" applyBorder="1" applyAlignment="1">
      <alignment horizontal="left"/>
      <protection/>
    </xf>
    <xf numFmtId="218" fontId="7" fillId="0" borderId="0" xfId="46" applyNumberFormat="1" applyFont="1" applyBorder="1" applyAlignment="1">
      <alignment vertical="center"/>
    </xf>
    <xf numFmtId="0" fontId="10" fillId="0" borderId="0" xfId="61" applyFont="1" applyBorder="1" applyAlignment="1">
      <alignment horizontal="left"/>
      <protection/>
    </xf>
    <xf numFmtId="218" fontId="22" fillId="0" borderId="0" xfId="46" applyNumberFormat="1" applyFont="1" applyBorder="1" applyAlignment="1">
      <alignment vertical="center"/>
    </xf>
    <xf numFmtId="0" fontId="10" fillId="0" borderId="0" xfId="61" applyFont="1" applyFill="1">
      <alignment/>
      <protection/>
    </xf>
    <xf numFmtId="37" fontId="7" fillId="0" borderId="0" xfId="42" applyNumberFormat="1" applyFont="1" applyBorder="1" applyAlignment="1">
      <alignment horizontal="right"/>
    </xf>
    <xf numFmtId="0" fontId="7" fillId="0" borderId="0" xfId="61" applyFont="1" applyFill="1" applyBorder="1" applyAlignment="1">
      <alignment horizontal="center"/>
      <protection/>
    </xf>
    <xf numFmtId="0" fontId="25" fillId="0" borderId="0" xfId="0" applyFont="1" applyFill="1" applyAlignment="1">
      <alignment/>
    </xf>
    <xf numFmtId="0" fontId="10" fillId="0" borderId="0" xfId="61" applyFont="1" applyAlignment="1">
      <alignment horizontal="center"/>
      <protection/>
    </xf>
    <xf numFmtId="0" fontId="10" fillId="0" borderId="0" xfId="61" applyFont="1" applyFill="1">
      <alignment/>
      <protection/>
    </xf>
    <xf numFmtId="0" fontId="5" fillId="0" borderId="10" xfId="61" applyFont="1" applyBorder="1" applyAlignment="1">
      <alignment horizontal="center" vertical="center"/>
      <protection/>
    </xf>
    <xf numFmtId="0" fontId="5" fillId="0" borderId="10" xfId="61" applyFont="1" applyBorder="1" applyAlignment="1">
      <alignment horizontal="left" vertical="center" wrapText="1"/>
      <protection/>
    </xf>
    <xf numFmtId="0" fontId="5" fillId="0" borderId="10" xfId="61" applyFont="1" applyFill="1" applyBorder="1" applyAlignment="1">
      <alignment horizontal="center" vertical="center"/>
      <protection/>
    </xf>
    <xf numFmtId="217" fontId="5" fillId="0" borderId="10" xfId="46" applyNumberFormat="1" applyFont="1" applyBorder="1" applyAlignment="1">
      <alignment horizontal="center" vertical="center" wrapText="1"/>
    </xf>
    <xf numFmtId="0" fontId="5" fillId="0" borderId="15" xfId="61" applyFont="1" applyBorder="1" applyAlignment="1">
      <alignment horizontal="left" vertical="top"/>
      <protection/>
    </xf>
    <xf numFmtId="0" fontId="37" fillId="0" borderId="0" xfId="61" applyFont="1" applyFill="1" applyBorder="1" applyAlignment="1">
      <alignment horizontal="left" vertical="top" wrapText="1"/>
      <protection/>
    </xf>
    <xf numFmtId="0" fontId="26" fillId="0" borderId="0" xfId="61" applyFont="1" applyBorder="1" applyAlignment="1">
      <alignment vertical="top" wrapText="1"/>
      <protection/>
    </xf>
    <xf numFmtId="0" fontId="26" fillId="0" borderId="0" xfId="61" applyFont="1" applyBorder="1" applyAlignment="1">
      <alignment horizontal="center" vertical="top"/>
      <protection/>
    </xf>
    <xf numFmtId="223" fontId="26" fillId="0" borderId="0" xfId="46" applyNumberFormat="1" applyFont="1" applyBorder="1" applyAlignment="1">
      <alignment horizontal="right" vertical="top" wrapText="1"/>
    </xf>
    <xf numFmtId="0" fontId="26" fillId="0" borderId="11" xfId="61" applyFont="1" applyBorder="1" applyAlignment="1">
      <alignment horizontal="center" vertical="top" wrapText="1"/>
      <protection/>
    </xf>
    <xf numFmtId="223" fontId="26" fillId="0" borderId="11" xfId="46" applyNumberFormat="1" applyFont="1" applyBorder="1" applyAlignment="1">
      <alignment horizontal="right" vertical="top" wrapText="1"/>
    </xf>
    <xf numFmtId="0" fontId="26" fillId="0" borderId="0" xfId="61" applyFont="1" applyBorder="1" applyAlignment="1">
      <alignment horizontal="center" vertical="top" wrapText="1"/>
      <protection/>
    </xf>
    <xf numFmtId="0" fontId="5" fillId="34" borderId="17" xfId="61" applyFont="1" applyFill="1" applyBorder="1" applyAlignment="1">
      <alignment horizontal="left" vertical="top" wrapText="1"/>
      <protection/>
    </xf>
    <xf numFmtId="0" fontId="5" fillId="0" borderId="17" xfId="61" applyFont="1" applyBorder="1">
      <alignment/>
      <protection/>
    </xf>
    <xf numFmtId="0" fontId="38" fillId="0" borderId="17" xfId="0" applyFont="1" applyBorder="1" applyAlignment="1">
      <alignment/>
    </xf>
    <xf numFmtId="0" fontId="5" fillId="0" borderId="17" xfId="61" applyFont="1" applyBorder="1" applyAlignment="1">
      <alignment horizontal="left" vertical="top" wrapText="1"/>
      <protection/>
    </xf>
    <xf numFmtId="0" fontId="37" fillId="0" borderId="11" xfId="61" applyFont="1" applyFill="1" applyBorder="1" applyAlignment="1">
      <alignment horizontal="left" vertical="top" wrapText="1"/>
      <protection/>
    </xf>
    <xf numFmtId="0" fontId="38" fillId="0" borderId="0" xfId="0" applyFont="1" applyAlignment="1">
      <alignment/>
    </xf>
    <xf numFmtId="0" fontId="5" fillId="34" borderId="16" xfId="61" applyFont="1" applyFill="1" applyBorder="1" applyAlignment="1">
      <alignment horizontal="left"/>
      <protection/>
    </xf>
    <xf numFmtId="0" fontId="5" fillId="34" borderId="16" xfId="61" applyFont="1" applyFill="1" applyBorder="1" applyAlignment="1">
      <alignment horizontal="center" vertical="center"/>
      <protection/>
    </xf>
    <xf numFmtId="0" fontId="5" fillId="34" borderId="16" xfId="61" applyFont="1" applyFill="1" applyBorder="1">
      <alignment/>
      <protection/>
    </xf>
    <xf numFmtId="223" fontId="5" fillId="34" borderId="16" xfId="61" applyNumberFormat="1" applyFont="1" applyFill="1" applyBorder="1" applyAlignment="1">
      <alignment horizontal="right" vertical="center"/>
      <protection/>
    </xf>
    <xf numFmtId="0" fontId="5" fillId="0" borderId="10" xfId="61" applyFont="1" applyBorder="1" applyAlignment="1">
      <alignment horizontal="left"/>
      <protection/>
    </xf>
    <xf numFmtId="0" fontId="5" fillId="0" borderId="10" xfId="61" applyFont="1" applyBorder="1" applyAlignment="1">
      <alignment vertical="center"/>
      <protection/>
    </xf>
    <xf numFmtId="0" fontId="38" fillId="0" borderId="0" xfId="0" applyFont="1" applyBorder="1" applyAlignment="1">
      <alignment/>
    </xf>
    <xf numFmtId="0" fontId="7" fillId="0" borderId="0" xfId="61" applyFont="1" applyBorder="1" applyAlignment="1">
      <alignment horizontal="center"/>
      <protection/>
    </xf>
    <xf numFmtId="3" fontId="5" fillId="34" borderId="17" xfId="61" applyNumberFormat="1" applyFont="1" applyFill="1" applyBorder="1" applyAlignment="1">
      <alignment horizontal="center" vertical="top"/>
      <protection/>
    </xf>
    <xf numFmtId="218" fontId="5" fillId="0" borderId="10" xfId="46" applyNumberFormat="1" applyFont="1" applyBorder="1" applyAlignment="1">
      <alignment horizontal="center" vertical="center"/>
    </xf>
    <xf numFmtId="0" fontId="25" fillId="0" borderId="0" xfId="0" applyFont="1" applyAlignment="1">
      <alignment horizontal="center"/>
    </xf>
    <xf numFmtId="0" fontId="26" fillId="0" borderId="12" xfId="61" applyFont="1" applyBorder="1" applyAlignment="1" quotePrefix="1">
      <alignment horizontal="left" vertical="top" wrapText="1"/>
      <protection/>
    </xf>
    <xf numFmtId="230" fontId="4" fillId="0" borderId="32" xfId="42" applyNumberFormat="1" applyFont="1" applyBorder="1" applyAlignment="1">
      <alignment horizontal="right" vertical="top"/>
    </xf>
    <xf numFmtId="229" fontId="4" fillId="0" borderId="32" xfId="42" applyNumberFormat="1" applyFont="1" applyBorder="1" applyAlignment="1">
      <alignment horizontal="right" vertical="top"/>
    </xf>
    <xf numFmtId="230" fontId="4" fillId="0" borderId="32" xfId="42" applyNumberFormat="1" applyFont="1" applyBorder="1" applyAlignment="1">
      <alignment vertical="top"/>
    </xf>
    <xf numFmtId="0" fontId="4" fillId="0" borderId="32" xfId="0" applyFont="1" applyBorder="1" applyAlignment="1">
      <alignment vertical="top"/>
    </xf>
    <xf numFmtId="0" fontId="26" fillId="0" borderId="0" xfId="0" applyFont="1" applyAlignment="1">
      <alignment vertical="center" wrapText="1"/>
    </xf>
    <xf numFmtId="0" fontId="26" fillId="0" borderId="32" xfId="60" applyFont="1" applyBorder="1" applyAlignment="1">
      <alignment horizontal="left" vertical="top" wrapText="1"/>
      <protection/>
    </xf>
    <xf numFmtId="0" fontId="26" fillId="0" borderId="32" xfId="60" applyFont="1" applyFill="1" applyBorder="1" applyAlignment="1">
      <alignment vertical="top" wrapText="1"/>
      <protection/>
    </xf>
    <xf numFmtId="0" fontId="26" fillId="33" borderId="32" xfId="60" applyFont="1" applyFill="1" applyBorder="1" applyAlignment="1">
      <alignment horizontal="left" vertical="top"/>
      <protection/>
    </xf>
    <xf numFmtId="0" fontId="26" fillId="0" borderId="32" xfId="60" applyFont="1" applyFill="1" applyBorder="1" applyAlignment="1">
      <alignment horizontal="left" vertical="top" wrapText="1"/>
      <protection/>
    </xf>
    <xf numFmtId="0" fontId="26" fillId="33" borderId="32" xfId="60" applyFont="1" applyFill="1" applyBorder="1" applyAlignment="1">
      <alignment horizontal="left" vertical="top" wrapText="1"/>
      <protection/>
    </xf>
    <xf numFmtId="0" fontId="4" fillId="0" borderId="0" xfId="60" applyFont="1" applyBorder="1" quotePrefix="1">
      <alignment/>
      <protection/>
    </xf>
    <xf numFmtId="217" fontId="13" fillId="0" borderId="0" xfId="45" applyNumberFormat="1" applyFont="1" applyBorder="1" applyAlignment="1">
      <alignment/>
    </xf>
    <xf numFmtId="218" fontId="13" fillId="0" borderId="0" xfId="45" applyNumberFormat="1" applyFont="1" applyBorder="1" applyAlignment="1">
      <alignment horizontal="center"/>
    </xf>
    <xf numFmtId="218" fontId="16" fillId="0" borderId="0" xfId="45" applyNumberFormat="1" applyFont="1" applyBorder="1" applyAlignment="1">
      <alignment/>
    </xf>
    <xf numFmtId="0" fontId="4" fillId="0" borderId="12" xfId="60" applyFont="1" applyBorder="1" quotePrefix="1">
      <alignment/>
      <protection/>
    </xf>
    <xf numFmtId="0" fontId="24" fillId="0" borderId="0" xfId="0" applyFont="1" applyBorder="1" applyAlignment="1">
      <alignment/>
    </xf>
    <xf numFmtId="0" fontId="4" fillId="0" borderId="0" xfId="60" applyFont="1" applyBorder="1" applyAlignment="1">
      <alignment horizontal="center"/>
      <protection/>
    </xf>
    <xf numFmtId="219" fontId="4" fillId="0" borderId="0" xfId="45" applyNumberFormat="1" applyFont="1" applyBorder="1" applyAlignment="1">
      <alignment/>
    </xf>
    <xf numFmtId="218" fontId="4" fillId="0" borderId="0" xfId="45" applyNumberFormat="1" applyFont="1" applyBorder="1" applyAlignment="1">
      <alignment/>
    </xf>
    <xf numFmtId="218" fontId="4" fillId="0" borderId="0" xfId="45" applyNumberFormat="1" applyFont="1" applyBorder="1" applyAlignment="1">
      <alignment horizontal="center"/>
    </xf>
    <xf numFmtId="0" fontId="4" fillId="0" borderId="0" xfId="60" applyFont="1" applyBorder="1">
      <alignment/>
      <protection/>
    </xf>
    <xf numFmtId="219" fontId="4" fillId="0" borderId="0" xfId="60" applyNumberFormat="1" applyFont="1" applyBorder="1">
      <alignment/>
      <protection/>
    </xf>
    <xf numFmtId="229" fontId="5" fillId="34" borderId="10" xfId="42" applyNumberFormat="1" applyFont="1" applyFill="1" applyBorder="1" applyAlignment="1">
      <alignment horizontal="center"/>
    </xf>
    <xf numFmtId="230" fontId="5" fillId="34" borderId="10" xfId="42" applyNumberFormat="1" applyFont="1" applyFill="1" applyBorder="1" applyAlignment="1">
      <alignment/>
    </xf>
    <xf numFmtId="230" fontId="5" fillId="34" borderId="10" xfId="42" applyNumberFormat="1" applyFont="1" applyFill="1" applyBorder="1" applyAlignment="1">
      <alignment horizontal="center"/>
    </xf>
    <xf numFmtId="230" fontId="0" fillId="34" borderId="10" xfId="42" applyNumberFormat="1" applyFont="1" applyFill="1" applyBorder="1" applyAlignment="1">
      <alignment/>
    </xf>
    <xf numFmtId="230" fontId="13" fillId="34" borderId="10" xfId="42" applyNumberFormat="1" applyFont="1" applyFill="1" applyBorder="1" applyAlignment="1">
      <alignment/>
    </xf>
    <xf numFmtId="230" fontId="13" fillId="34" borderId="10" xfId="42" applyNumberFormat="1" applyFont="1" applyFill="1" applyBorder="1" applyAlignment="1">
      <alignment horizontal="center"/>
    </xf>
    <xf numFmtId="219" fontId="5" fillId="0" borderId="10" xfId="45" applyNumberFormat="1" applyFont="1" applyBorder="1" applyAlignment="1">
      <alignment vertical="top"/>
    </xf>
    <xf numFmtId="219" fontId="5" fillId="0" borderId="10" xfId="45" applyNumberFormat="1" applyFont="1" applyBorder="1" applyAlignment="1">
      <alignment horizontal="right" vertical="top"/>
    </xf>
    <xf numFmtId="0" fontId="20" fillId="0" borderId="13" xfId="60" applyFont="1" applyBorder="1" applyAlignment="1">
      <alignment horizontal="right" vertical="center"/>
      <protection/>
    </xf>
    <xf numFmtId="219" fontId="20" fillId="0" borderId="13" xfId="45" applyNumberFormat="1" applyFont="1" applyBorder="1" applyAlignment="1">
      <alignment horizontal="right" vertical="center"/>
    </xf>
    <xf numFmtId="219" fontId="20" fillId="0" borderId="13" xfId="45" applyNumberFormat="1" applyFont="1" applyBorder="1" applyAlignment="1">
      <alignment horizontal="center" vertical="center"/>
    </xf>
    <xf numFmtId="0" fontId="20" fillId="0" borderId="13" xfId="60" applyFont="1" applyBorder="1" applyAlignment="1">
      <alignment horizontal="center" vertical="center"/>
      <protection/>
    </xf>
    <xf numFmtId="0" fontId="5" fillId="33" borderId="11" xfId="61" applyFont="1" applyFill="1" applyBorder="1">
      <alignment/>
      <protection/>
    </xf>
    <xf numFmtId="219" fontId="5" fillId="0" borderId="0" xfId="60" applyNumberFormat="1" applyFont="1" applyBorder="1">
      <alignment/>
      <protection/>
    </xf>
    <xf numFmtId="0" fontId="26" fillId="0" borderId="0" xfId="61" applyFont="1" applyBorder="1">
      <alignment/>
      <protection/>
    </xf>
    <xf numFmtId="0" fontId="26" fillId="0" borderId="12" xfId="61" applyFont="1" applyBorder="1">
      <alignment/>
      <protection/>
    </xf>
    <xf numFmtId="0" fontId="4" fillId="0" borderId="0" xfId="61" applyFont="1" applyBorder="1" applyAlignment="1">
      <alignment horizontal="left" vertical="top" wrapText="1"/>
      <protection/>
    </xf>
    <xf numFmtId="0" fontId="5" fillId="0" borderId="0" xfId="61" applyFont="1" applyBorder="1" applyAlignment="1">
      <alignment horizontal="left" vertical="center" wrapText="1"/>
      <protection/>
    </xf>
    <xf numFmtId="0" fontId="11" fillId="0" borderId="11" xfId="61" applyFont="1" applyFill="1" applyBorder="1" applyAlignment="1">
      <alignment vertical="top" wrapText="1"/>
      <protection/>
    </xf>
    <xf numFmtId="229" fontId="5" fillId="0" borderId="10" xfId="42" applyNumberFormat="1" applyFont="1" applyBorder="1" applyAlignment="1">
      <alignment vertical="center"/>
    </xf>
    <xf numFmtId="229" fontId="5" fillId="0" borderId="0" xfId="42" applyNumberFormat="1" applyFont="1" applyBorder="1" applyAlignment="1">
      <alignment vertical="center"/>
    </xf>
    <xf numFmtId="0" fontId="11" fillId="34" borderId="11" xfId="61" applyFont="1" applyFill="1" applyBorder="1" applyAlignment="1">
      <alignment horizontal="left" vertical="center" wrapText="1"/>
      <protection/>
    </xf>
    <xf numFmtId="0" fontId="11" fillId="34" borderId="11" xfId="61" applyFont="1" applyFill="1" applyBorder="1" applyAlignment="1">
      <alignment horizontal="center" vertical="center"/>
      <protection/>
    </xf>
    <xf numFmtId="0" fontId="26" fillId="34" borderId="11" xfId="61" applyFont="1" applyFill="1" applyBorder="1">
      <alignment/>
      <protection/>
    </xf>
    <xf numFmtId="223" fontId="5" fillId="34" borderId="11" xfId="61" applyNumberFormat="1" applyFont="1" applyFill="1" applyBorder="1" applyAlignment="1">
      <alignment horizontal="right" vertical="center"/>
      <protection/>
    </xf>
    <xf numFmtId="0" fontId="36" fillId="0" borderId="0" xfId="61" applyFont="1" applyBorder="1" applyAlignment="1">
      <alignment horizontal="center" vertical="top" wrapText="1"/>
      <protection/>
    </xf>
    <xf numFmtId="0" fontId="36" fillId="0" borderId="0" xfId="61" applyFont="1" applyBorder="1" applyAlignment="1">
      <alignment horizontal="center" vertical="top"/>
      <protection/>
    </xf>
    <xf numFmtId="0" fontId="26" fillId="33" borderId="0" xfId="61" applyFont="1" applyFill="1" applyBorder="1" applyAlignment="1">
      <alignment vertical="top"/>
      <protection/>
    </xf>
    <xf numFmtId="0" fontId="26" fillId="33" borderId="0" xfId="0" applyFont="1" applyFill="1" applyBorder="1" applyAlignment="1">
      <alignment vertical="top"/>
    </xf>
    <xf numFmtId="229" fontId="5" fillId="0" borderId="13" xfId="42" applyNumberFormat="1" applyFont="1" applyBorder="1" applyAlignment="1">
      <alignment horizontal="right" vertical="center"/>
    </xf>
    <xf numFmtId="218" fontId="7" fillId="35" borderId="20" xfId="68" applyNumberFormat="1" applyFont="1" applyFill="1" applyBorder="1">
      <alignment/>
      <protection/>
    </xf>
    <xf numFmtId="219" fontId="7" fillId="35" borderId="0" xfId="68" applyNumberFormat="1" applyFont="1" applyFill="1" applyBorder="1">
      <alignment/>
      <protection/>
    </xf>
    <xf numFmtId="218" fontId="7" fillId="35" borderId="0" xfId="68" applyNumberFormat="1" applyFont="1" applyFill="1" applyBorder="1">
      <alignment/>
      <protection/>
    </xf>
    <xf numFmtId="219" fontId="7" fillId="35" borderId="23" xfId="68" applyNumberFormat="1" applyFont="1" applyFill="1" applyBorder="1">
      <alignment/>
      <protection/>
    </xf>
    <xf numFmtId="217" fontId="7" fillId="35" borderId="20" xfId="68" applyNumberFormat="1" applyFont="1" applyFill="1" applyBorder="1" applyAlignment="1">
      <alignment horizontal="right"/>
      <protection/>
    </xf>
    <xf numFmtId="1" fontId="7" fillId="0" borderId="20" xfId="68" applyNumberFormat="1" applyFont="1" applyBorder="1" applyAlignment="1">
      <alignment horizontal="right"/>
      <protection/>
    </xf>
    <xf numFmtId="217" fontId="7" fillId="35" borderId="0" xfId="68" applyNumberFormat="1" applyFont="1" applyFill="1" applyBorder="1">
      <alignment/>
      <protection/>
    </xf>
    <xf numFmtId="218" fontId="7" fillId="35" borderId="23" xfId="68" applyNumberFormat="1" applyFont="1" applyFill="1" applyBorder="1">
      <alignment/>
      <protection/>
    </xf>
    <xf numFmtId="217" fontId="7" fillId="0" borderId="24" xfId="68" applyNumberFormat="1" applyFont="1" applyBorder="1" applyAlignment="1">
      <alignment horizontal="right"/>
      <protection/>
    </xf>
    <xf numFmtId="218" fontId="7" fillId="0" borderId="12" xfId="60" applyNumberFormat="1" applyFont="1" applyBorder="1">
      <alignment/>
      <protection/>
    </xf>
    <xf numFmtId="0" fontId="16" fillId="0" borderId="12" xfId="60" applyFont="1" applyFill="1" applyBorder="1">
      <alignment/>
      <protection/>
    </xf>
    <xf numFmtId="218" fontId="0" fillId="0" borderId="12" xfId="0" applyNumberFormat="1" applyFont="1" applyFill="1" applyBorder="1" applyAlignment="1">
      <alignment/>
    </xf>
    <xf numFmtId="0" fontId="0" fillId="0" borderId="12" xfId="0" applyFont="1" applyFill="1" applyBorder="1" applyAlignment="1">
      <alignment/>
    </xf>
    <xf numFmtId="0" fontId="13" fillId="0" borderId="12" xfId="60" applyFont="1" applyFill="1" applyBorder="1">
      <alignment/>
      <protection/>
    </xf>
    <xf numFmtId="0" fontId="16" fillId="0" borderId="10" xfId="60" applyFont="1" applyBorder="1" applyAlignment="1">
      <alignment horizontal="center" vertical="center"/>
      <protection/>
    </xf>
    <xf numFmtId="217" fontId="16" fillId="0" borderId="25" xfId="68" applyNumberFormat="1" applyFont="1" applyBorder="1" applyAlignment="1">
      <alignment vertical="center"/>
      <protection/>
    </xf>
    <xf numFmtId="218" fontId="16" fillId="0" borderId="10" xfId="60" applyNumberFormat="1" applyFont="1" applyBorder="1" applyAlignment="1">
      <alignment vertical="center"/>
      <protection/>
    </xf>
    <xf numFmtId="218" fontId="13" fillId="0" borderId="10" xfId="60" applyNumberFormat="1" applyFont="1" applyBorder="1" applyAlignment="1">
      <alignment vertical="center"/>
      <protection/>
    </xf>
    <xf numFmtId="0" fontId="16" fillId="0" borderId="10" xfId="60" applyFont="1" applyBorder="1" applyAlignment="1">
      <alignment vertical="center"/>
      <protection/>
    </xf>
    <xf numFmtId="0" fontId="0" fillId="0" borderId="10" xfId="0" applyFont="1" applyBorder="1" applyAlignment="1">
      <alignment/>
    </xf>
    <xf numFmtId="229" fontId="16" fillId="0" borderId="10" xfId="42" applyNumberFormat="1" applyFont="1" applyBorder="1" applyAlignment="1">
      <alignment vertical="center"/>
    </xf>
    <xf numFmtId="229" fontId="16" fillId="0" borderId="25" xfId="42" applyNumberFormat="1" applyFont="1" applyBorder="1" applyAlignment="1">
      <alignment vertical="center"/>
    </xf>
    <xf numFmtId="219" fontId="7" fillId="35" borderId="37" xfId="68" applyNumberFormat="1" applyFont="1" applyFill="1" applyBorder="1" applyAlignment="1">
      <alignment horizontal="right"/>
      <protection/>
    </xf>
    <xf numFmtId="219" fontId="7" fillId="35" borderId="16" xfId="68" applyNumberFormat="1" applyFont="1" applyFill="1" applyBorder="1" applyAlignment="1">
      <alignment horizontal="right"/>
      <protection/>
    </xf>
    <xf numFmtId="219" fontId="7" fillId="35" borderId="38" xfId="68" applyNumberFormat="1" applyFont="1" applyFill="1" applyBorder="1" applyAlignment="1">
      <alignment horizontal="right"/>
      <protection/>
    </xf>
    <xf numFmtId="219" fontId="7" fillId="0" borderId="21" xfId="68" applyNumberFormat="1" applyFont="1" applyBorder="1" applyAlignment="1">
      <alignment horizontal="right"/>
      <protection/>
    </xf>
    <xf numFmtId="219" fontId="7" fillId="0" borderId="20" xfId="68" applyNumberFormat="1" applyFont="1" applyBorder="1" applyAlignment="1">
      <alignment horizontal="right"/>
      <protection/>
    </xf>
    <xf numFmtId="218" fontId="11" fillId="0" borderId="12" xfId="45" applyNumberFormat="1" applyFont="1" applyBorder="1" applyAlignment="1">
      <alignment/>
    </xf>
    <xf numFmtId="229" fontId="11" fillId="0" borderId="12" xfId="42" applyNumberFormat="1" applyFont="1" applyBorder="1" applyAlignment="1">
      <alignment/>
    </xf>
    <xf numFmtId="0" fontId="11" fillId="0" borderId="12" xfId="60" applyFont="1" applyBorder="1" applyAlignment="1">
      <alignment horizontal="left" vertical="top" wrapText="1"/>
      <protection/>
    </xf>
    <xf numFmtId="0" fontId="26" fillId="0" borderId="12" xfId="60" applyFont="1" applyBorder="1" applyAlignment="1">
      <alignment horizontal="left" vertical="top"/>
      <protection/>
    </xf>
    <xf numFmtId="0" fontId="11" fillId="0" borderId="12" xfId="60" applyFont="1" applyBorder="1" applyAlignment="1">
      <alignment horizontal="left" vertical="top" wrapText="1"/>
      <protection/>
    </xf>
    <xf numFmtId="230" fontId="11" fillId="0" borderId="12" xfId="42" applyNumberFormat="1" applyFont="1" applyBorder="1" applyAlignment="1">
      <alignment horizontal="right" vertical="top"/>
    </xf>
    <xf numFmtId="229" fontId="11" fillId="0" borderId="12" xfId="42" applyNumberFormat="1" applyFont="1" applyBorder="1" applyAlignment="1">
      <alignment horizontal="right" vertical="top"/>
    </xf>
    <xf numFmtId="230" fontId="11" fillId="0" borderId="12" xfId="42" applyNumberFormat="1" applyFont="1" applyBorder="1" applyAlignment="1">
      <alignment horizontal="right"/>
    </xf>
    <xf numFmtId="229" fontId="11" fillId="0" borderId="12" xfId="42" applyNumberFormat="1" applyFont="1" applyBorder="1" applyAlignment="1">
      <alignment horizontal="right"/>
    </xf>
    <xf numFmtId="194" fontId="0" fillId="0" borderId="12" xfId="42" applyFont="1" applyBorder="1" applyAlignment="1">
      <alignment/>
    </xf>
    <xf numFmtId="230" fontId="5" fillId="0" borderId="13" xfId="42" applyNumberFormat="1" applyFont="1" applyBorder="1" applyAlignment="1">
      <alignment horizontal="right" vertical="center"/>
    </xf>
    <xf numFmtId="194" fontId="0" fillId="0" borderId="17" xfId="42" applyFont="1" applyBorder="1" applyAlignment="1">
      <alignment/>
    </xf>
    <xf numFmtId="0" fontId="0" fillId="0" borderId="17" xfId="0" applyBorder="1" applyAlignment="1">
      <alignment/>
    </xf>
    <xf numFmtId="230" fontId="5" fillId="0" borderId="13" xfId="42" applyNumberFormat="1" applyFont="1" applyBorder="1" applyAlignment="1">
      <alignment horizontal="center"/>
    </xf>
    <xf numFmtId="229" fontId="5" fillId="0" borderId="13" xfId="42" applyNumberFormat="1" applyFont="1" applyBorder="1" applyAlignment="1">
      <alignment horizontal="center"/>
    </xf>
    <xf numFmtId="0" fontId="26" fillId="0" borderId="0" xfId="60" applyFont="1" applyBorder="1" applyAlignment="1">
      <alignment horizontal="left" vertical="top" wrapText="1"/>
      <protection/>
    </xf>
    <xf numFmtId="230" fontId="26" fillId="0" borderId="0" xfId="42" applyNumberFormat="1" applyFont="1" applyBorder="1" applyAlignment="1">
      <alignment horizontal="right" vertical="top"/>
    </xf>
    <xf numFmtId="0" fontId="5" fillId="0" borderId="0" xfId="60" applyFont="1" applyBorder="1" applyAlignment="1">
      <alignment horizontal="center" vertical="center"/>
      <protection/>
    </xf>
    <xf numFmtId="230" fontId="5" fillId="0" borderId="0" xfId="42" applyNumberFormat="1" applyFont="1" applyBorder="1" applyAlignment="1">
      <alignment horizontal="right" vertical="center"/>
    </xf>
    <xf numFmtId="229" fontId="5" fillId="0" borderId="0" xfId="42" applyNumberFormat="1" applyFont="1" applyBorder="1" applyAlignment="1">
      <alignment horizontal="right" vertical="center"/>
    </xf>
    <xf numFmtId="0" fontId="11" fillId="33" borderId="0" xfId="61" applyFont="1" applyFill="1" applyBorder="1">
      <alignment/>
      <protection/>
    </xf>
    <xf numFmtId="218" fontId="11" fillId="33" borderId="0" xfId="45" applyNumberFormat="1" applyFont="1" applyFill="1" applyBorder="1" applyAlignment="1">
      <alignment horizontal="right"/>
    </xf>
    <xf numFmtId="229" fontId="11" fillId="33" borderId="0" xfId="42" applyNumberFormat="1" applyFont="1" applyFill="1" applyBorder="1" applyAlignment="1">
      <alignment horizontal="right"/>
    </xf>
    <xf numFmtId="0" fontId="11" fillId="33" borderId="0" xfId="61" applyFont="1" applyFill="1" applyBorder="1" applyAlignment="1">
      <alignment horizontal="right"/>
      <protection/>
    </xf>
    <xf numFmtId="218" fontId="5" fillId="33" borderId="0" xfId="61" applyNumberFormat="1" applyFont="1" applyFill="1" applyBorder="1" applyAlignment="1">
      <alignment horizontal="center"/>
      <protection/>
    </xf>
    <xf numFmtId="229" fontId="5" fillId="33" borderId="0" xfId="42" applyNumberFormat="1" applyFont="1" applyFill="1" applyBorder="1" applyAlignment="1">
      <alignment horizontal="right"/>
    </xf>
    <xf numFmtId="0" fontId="0" fillId="33" borderId="0" xfId="0" applyFont="1" applyFill="1" applyAlignment="1">
      <alignment/>
    </xf>
    <xf numFmtId="0" fontId="4" fillId="33" borderId="0" xfId="61" applyFont="1" applyFill="1">
      <alignment/>
      <protection/>
    </xf>
    <xf numFmtId="194" fontId="11" fillId="0" borderId="0" xfId="42" applyNumberFormat="1" applyFont="1" applyBorder="1" applyAlignment="1">
      <alignment horizontal="right"/>
    </xf>
    <xf numFmtId="229" fontId="7" fillId="0" borderId="23" xfId="42" applyNumberFormat="1" applyFont="1" applyBorder="1" applyAlignment="1">
      <alignment horizontal="right"/>
    </xf>
    <xf numFmtId="229" fontId="7" fillId="0" borderId="0" xfId="42" applyNumberFormat="1" applyFont="1" applyAlignment="1">
      <alignment/>
    </xf>
    <xf numFmtId="229" fontId="7" fillId="0" borderId="12" xfId="42" applyNumberFormat="1" applyFont="1" applyBorder="1" applyAlignment="1">
      <alignment/>
    </xf>
    <xf numFmtId="229" fontId="7" fillId="35" borderId="0" xfId="42" applyNumberFormat="1" applyFont="1" applyFill="1" applyAlignment="1">
      <alignment/>
    </xf>
    <xf numFmtId="229" fontId="7" fillId="0" borderId="10" xfId="42" applyNumberFormat="1" applyFont="1" applyBorder="1" applyAlignment="1">
      <alignment/>
    </xf>
    <xf numFmtId="229" fontId="7" fillId="0" borderId="0" xfId="42" applyNumberFormat="1" applyFont="1" applyBorder="1" applyAlignment="1">
      <alignment horizontal="right"/>
    </xf>
    <xf numFmtId="229" fontId="7" fillId="0" borderId="12" xfId="42" applyNumberFormat="1" applyFont="1" applyBorder="1" applyAlignment="1">
      <alignment horizontal="right"/>
    </xf>
    <xf numFmtId="229" fontId="11" fillId="35" borderId="0" xfId="42" applyNumberFormat="1" applyFont="1" applyFill="1" applyBorder="1" applyAlignment="1">
      <alignment/>
    </xf>
    <xf numFmtId="229" fontId="0" fillId="36" borderId="10" xfId="42" applyNumberFormat="1" applyFont="1" applyFill="1" applyBorder="1" applyAlignment="1">
      <alignment/>
    </xf>
    <xf numFmtId="0" fontId="11" fillId="33" borderId="0" xfId="60" applyFont="1" applyFill="1" applyBorder="1" applyAlignment="1">
      <alignment/>
      <protection/>
    </xf>
    <xf numFmtId="219" fontId="11" fillId="33" borderId="0" xfId="60" applyNumberFormat="1" applyFont="1" applyFill="1" applyBorder="1" applyAlignment="1">
      <alignment/>
      <protection/>
    </xf>
    <xf numFmtId="219" fontId="11" fillId="33" borderId="0" xfId="60" applyNumberFormat="1" applyFont="1" applyFill="1" applyBorder="1" applyAlignment="1">
      <alignment horizontal="right"/>
      <protection/>
    </xf>
    <xf numFmtId="0" fontId="11" fillId="33" borderId="0" xfId="60" applyFont="1" applyFill="1" applyBorder="1" applyAlignment="1">
      <alignment horizontal="right"/>
      <protection/>
    </xf>
    <xf numFmtId="0" fontId="11" fillId="33" borderId="12" xfId="60" applyFont="1" applyFill="1" applyBorder="1" applyAlignment="1">
      <alignment horizontal="right"/>
      <protection/>
    </xf>
    <xf numFmtId="219" fontId="11" fillId="33" borderId="12" xfId="60" applyNumberFormat="1" applyFont="1" applyFill="1" applyBorder="1" applyAlignment="1">
      <alignment horizontal="right"/>
      <protection/>
    </xf>
    <xf numFmtId="0" fontId="11" fillId="33" borderId="12" xfId="60" applyFont="1" applyFill="1" applyBorder="1" applyAlignment="1">
      <alignment/>
      <protection/>
    </xf>
    <xf numFmtId="219" fontId="11" fillId="33" borderId="12" xfId="60" applyNumberFormat="1" applyFont="1" applyFill="1" applyBorder="1" applyAlignment="1">
      <alignment/>
      <protection/>
    </xf>
    <xf numFmtId="1" fontId="0" fillId="0" borderId="0" xfId="0" applyNumberFormat="1" applyFont="1" applyAlignment="1">
      <alignment horizontal="right"/>
    </xf>
    <xf numFmtId="229" fontId="0" fillId="36" borderId="10" xfId="42" applyNumberFormat="1" applyFont="1" applyFill="1" applyBorder="1" applyAlignment="1">
      <alignment horizontal="right"/>
    </xf>
    <xf numFmtId="230" fontId="0" fillId="36" borderId="10" xfId="42" applyNumberFormat="1" applyFont="1" applyFill="1" applyBorder="1" applyAlignment="1">
      <alignment/>
    </xf>
    <xf numFmtId="0" fontId="5" fillId="36" borderId="10" xfId="60" applyFont="1" applyFill="1" applyBorder="1" applyAlignment="1">
      <alignment horizontal="center"/>
      <protection/>
    </xf>
    <xf numFmtId="219" fontId="5" fillId="36" borderId="10" xfId="45" applyNumberFormat="1" applyFont="1" applyFill="1" applyBorder="1" applyAlignment="1">
      <alignment horizontal="center"/>
    </xf>
    <xf numFmtId="218" fontId="9" fillId="36" borderId="10" xfId="45" applyNumberFormat="1" applyFont="1" applyFill="1" applyBorder="1" applyAlignment="1">
      <alignment horizontal="center" vertical="center"/>
    </xf>
    <xf numFmtId="0" fontId="9" fillId="36" borderId="10" xfId="61" applyFont="1" applyFill="1" applyBorder="1" applyAlignment="1">
      <alignment horizontal="center" vertical="center"/>
      <protection/>
    </xf>
    <xf numFmtId="218" fontId="9" fillId="36" borderId="10" xfId="45" applyNumberFormat="1" applyFont="1" applyFill="1" applyBorder="1" applyAlignment="1">
      <alignment horizontal="center" vertical="center" wrapText="1"/>
    </xf>
    <xf numFmtId="0" fontId="8" fillId="36" borderId="15" xfId="61" applyFont="1" applyFill="1" applyBorder="1" applyAlignment="1">
      <alignment horizontal="center" vertical="center"/>
      <protection/>
    </xf>
    <xf numFmtId="0" fontId="8" fillId="36" borderId="13" xfId="61" applyFont="1" applyFill="1" applyBorder="1" applyAlignment="1">
      <alignment horizontal="center" vertical="center"/>
      <protection/>
    </xf>
    <xf numFmtId="218" fontId="21" fillId="36" borderId="10" xfId="45" applyNumberFormat="1" applyFont="1" applyFill="1" applyBorder="1" applyAlignment="1">
      <alignment horizontal="center" vertical="center" textRotation="60" wrapText="1"/>
    </xf>
    <xf numFmtId="218" fontId="21" fillId="36" borderId="10" xfId="45" applyNumberFormat="1" applyFont="1" applyFill="1" applyBorder="1" applyAlignment="1">
      <alignment horizontal="center" vertical="center" textRotation="61" wrapText="1"/>
    </xf>
    <xf numFmtId="0" fontId="19" fillId="36" borderId="15" xfId="60" applyFont="1" applyFill="1" applyBorder="1" applyAlignment="1">
      <alignment horizontal="center" vertical="center"/>
      <protection/>
    </xf>
    <xf numFmtId="0" fontId="19" fillId="36" borderId="13" xfId="60" applyFont="1" applyFill="1" applyBorder="1" applyAlignment="1">
      <alignment vertical="center"/>
      <protection/>
    </xf>
    <xf numFmtId="218" fontId="20" fillId="36" borderId="10" xfId="45" applyNumberFormat="1" applyFont="1" applyFill="1" applyBorder="1" applyAlignment="1">
      <alignment horizontal="center" vertical="center" textRotation="59" wrapText="1"/>
    </xf>
    <xf numFmtId="218" fontId="21" fillId="36" borderId="15" xfId="45" applyNumberFormat="1" applyFont="1" applyFill="1" applyBorder="1" applyAlignment="1">
      <alignment vertical="center" textRotation="60" wrapText="1"/>
    </xf>
    <xf numFmtId="218" fontId="21" fillId="36" borderId="10" xfId="45" applyNumberFormat="1" applyFont="1" applyFill="1" applyBorder="1" applyAlignment="1">
      <alignment vertical="center" textRotation="61" wrapText="1"/>
    </xf>
    <xf numFmtId="218" fontId="9" fillId="36" borderId="10" xfId="45" applyNumberFormat="1" applyFont="1" applyFill="1" applyBorder="1" applyAlignment="1">
      <alignment vertical="center"/>
    </xf>
    <xf numFmtId="218" fontId="21" fillId="36" borderId="15" xfId="45" applyNumberFormat="1" applyFont="1" applyFill="1" applyBorder="1" applyAlignment="1">
      <alignment vertical="center" textRotation="61" wrapText="1"/>
    </xf>
    <xf numFmtId="0" fontId="5" fillId="36" borderId="15" xfId="60" applyFont="1" applyFill="1" applyBorder="1" applyAlignment="1">
      <alignment horizontal="center" vertical="center"/>
      <protection/>
    </xf>
    <xf numFmtId="0" fontId="0" fillId="36" borderId="0" xfId="0" applyFill="1" applyAlignment="1">
      <alignment/>
    </xf>
    <xf numFmtId="0" fontId="0" fillId="36" borderId="13" xfId="0" applyFill="1" applyBorder="1" applyAlignment="1">
      <alignment/>
    </xf>
    <xf numFmtId="0" fontId="5" fillId="36" borderId="39" xfId="68" applyFont="1" applyFill="1" applyBorder="1" applyAlignment="1">
      <alignment horizontal="center" vertical="center"/>
      <protection/>
    </xf>
    <xf numFmtId="0" fontId="5" fillId="36" borderId="40" xfId="68" applyFont="1" applyFill="1" applyBorder="1" applyAlignment="1">
      <alignment horizontal="center" vertical="center"/>
      <protection/>
    </xf>
    <xf numFmtId="0" fontId="5" fillId="36" borderId="41" xfId="68" applyFont="1" applyFill="1" applyBorder="1" applyAlignment="1">
      <alignment horizontal="center" vertical="center"/>
      <protection/>
    </xf>
    <xf numFmtId="0" fontId="5" fillId="36" borderId="18" xfId="68" applyFont="1" applyFill="1" applyBorder="1" applyAlignment="1">
      <alignment horizontal="center" vertical="center"/>
      <protection/>
    </xf>
    <xf numFmtId="0" fontId="5" fillId="36" borderId="42" xfId="68" applyFont="1" applyFill="1" applyBorder="1" applyAlignment="1">
      <alignment horizontal="center" vertical="center"/>
      <protection/>
    </xf>
    <xf numFmtId="0" fontId="5" fillId="36" borderId="43" xfId="68" applyFont="1" applyFill="1" applyBorder="1" applyAlignment="1">
      <alignment horizontal="center" vertical="center"/>
      <protection/>
    </xf>
    <xf numFmtId="217" fontId="5" fillId="36" borderId="15" xfId="45" applyNumberFormat="1" applyFont="1" applyFill="1" applyBorder="1" applyAlignment="1">
      <alignment horizontal="center" vertical="center"/>
    </xf>
    <xf numFmtId="217" fontId="0" fillId="36" borderId="40" xfId="0" applyNumberFormat="1" applyFont="1" applyFill="1" applyBorder="1" applyAlignment="1">
      <alignment horizontal="center" vertical="center"/>
    </xf>
    <xf numFmtId="218" fontId="5" fillId="36" borderId="30" xfId="45" applyNumberFormat="1" applyFont="1" applyFill="1" applyBorder="1" applyAlignment="1">
      <alignment horizontal="center" vertical="center"/>
    </xf>
    <xf numFmtId="0" fontId="0" fillId="36" borderId="43" xfId="0" applyFont="1" applyFill="1" applyBorder="1" applyAlignment="1">
      <alignment horizontal="center" vertical="center"/>
    </xf>
    <xf numFmtId="218" fontId="5" fillId="36" borderId="15" xfId="45" applyNumberFormat="1" applyFont="1" applyFill="1" applyBorder="1" applyAlignment="1">
      <alignment horizontal="center" vertical="center"/>
    </xf>
    <xf numFmtId="0" fontId="0" fillId="36" borderId="40" xfId="0" applyFont="1" applyFill="1" applyBorder="1" applyAlignment="1">
      <alignment horizontal="center" vertical="center"/>
    </xf>
    <xf numFmtId="218" fontId="5" fillId="36" borderId="44" xfId="45" applyNumberFormat="1" applyFont="1" applyFill="1" applyBorder="1" applyAlignment="1">
      <alignment horizontal="center" vertical="center" wrapText="1"/>
    </xf>
    <xf numFmtId="218" fontId="5" fillId="36" borderId="15" xfId="45" applyNumberFormat="1"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40" xfId="0" applyFont="1" applyFill="1" applyBorder="1" applyAlignment="1">
      <alignment horizontal="center" vertical="center" wrapText="1"/>
    </xf>
    <xf numFmtId="218" fontId="5" fillId="36" borderId="41" xfId="45" applyNumberFormat="1" applyFont="1" applyFill="1" applyBorder="1" applyAlignment="1">
      <alignment horizontal="center" vertical="center"/>
    </xf>
    <xf numFmtId="218" fontId="5" fillId="36" borderId="18" xfId="45" applyNumberFormat="1" applyFont="1" applyFill="1" applyBorder="1" applyAlignment="1">
      <alignment horizontal="center" vertical="center"/>
    </xf>
    <xf numFmtId="218" fontId="5" fillId="36" borderId="42" xfId="45" applyNumberFormat="1" applyFont="1" applyFill="1" applyBorder="1" applyAlignment="1">
      <alignment horizontal="center" vertical="center"/>
    </xf>
    <xf numFmtId="218" fontId="5" fillId="36" borderId="26" xfId="45" applyNumberFormat="1" applyFont="1" applyFill="1" applyBorder="1" applyAlignment="1">
      <alignment horizontal="center" vertical="center"/>
    </xf>
    <xf numFmtId="218" fontId="28" fillId="0" borderId="15" xfId="45" applyNumberFormat="1" applyFont="1" applyBorder="1" applyAlignment="1">
      <alignment horizontal="center" textRotation="60" wrapText="1"/>
    </xf>
    <xf numFmtId="218" fontId="28" fillId="0" borderId="10" xfId="45" applyNumberFormat="1" applyFont="1" applyBorder="1" applyAlignment="1">
      <alignment horizontal="center" textRotation="60" wrapText="1"/>
    </xf>
    <xf numFmtId="0" fontId="8" fillId="0" borderId="15" xfId="60" applyFont="1" applyBorder="1" applyAlignment="1">
      <alignment horizontal="center" vertical="center"/>
      <protection/>
    </xf>
    <xf numFmtId="0" fontId="8" fillId="0" borderId="13" xfId="60" applyFont="1" applyBorder="1" applyAlignment="1">
      <alignment vertical="center"/>
      <protection/>
    </xf>
    <xf numFmtId="218" fontId="28" fillId="0" borderId="15" xfId="45" applyNumberFormat="1" applyFont="1" applyFill="1" applyBorder="1" applyAlignment="1">
      <alignment horizontal="center" textRotation="60" wrapText="1"/>
    </xf>
    <xf numFmtId="218" fontId="28" fillId="0" borderId="10" xfId="45" applyNumberFormat="1" applyFont="1" applyFill="1" applyBorder="1" applyAlignment="1">
      <alignment horizontal="center" textRotation="60" wrapText="1"/>
    </xf>
    <xf numFmtId="218" fontId="9" fillId="0" borderId="10" xfId="45" applyNumberFormat="1" applyFont="1" applyBorder="1" applyAlignment="1">
      <alignment horizontal="center" vertical="center"/>
    </xf>
    <xf numFmtId="0" fontId="5" fillId="34" borderId="34" xfId="60" applyFont="1" applyFill="1" applyBorder="1" applyAlignment="1">
      <alignment horizontal="center" vertical="center"/>
      <protection/>
    </xf>
    <xf numFmtId="194" fontId="5" fillId="0" borderId="45" xfId="42" applyFont="1" applyBorder="1" applyAlignment="1">
      <alignment horizontal="center"/>
    </xf>
    <xf numFmtId="229" fontId="5" fillId="0" borderId="46" xfId="42" applyNumberFormat="1" applyFont="1" applyBorder="1" applyAlignment="1">
      <alignment horizontal="right" vertical="center" textRotation="60"/>
    </xf>
    <xf numFmtId="229" fontId="5" fillId="0" borderId="34" xfId="42" applyNumberFormat="1" applyFont="1" applyBorder="1" applyAlignment="1">
      <alignment horizontal="right" vertical="center" textRotation="60"/>
    </xf>
    <xf numFmtId="229" fontId="5" fillId="0" borderId="46" xfId="42" applyNumberFormat="1" applyFont="1" applyBorder="1" applyAlignment="1">
      <alignment horizontal="right" vertical="center"/>
    </xf>
    <xf numFmtId="229" fontId="5" fillId="0" borderId="34" xfId="42" applyNumberFormat="1" applyFont="1" applyBorder="1" applyAlignment="1">
      <alignment horizontal="right" vertical="center"/>
    </xf>
    <xf numFmtId="0" fontId="5" fillId="0" borderId="46" xfId="60" applyFont="1" applyBorder="1" applyAlignment="1">
      <alignment horizontal="center" vertical="center"/>
      <protection/>
    </xf>
    <xf numFmtId="0" fontId="4" fillId="0" borderId="34" xfId="60" applyFont="1" applyBorder="1" applyAlignment="1">
      <alignment horizontal="center" vertical="center"/>
      <protection/>
    </xf>
    <xf numFmtId="0" fontId="4" fillId="0" borderId="46" xfId="60" applyFont="1" applyBorder="1" applyAlignment="1">
      <alignment horizontal="center" vertical="top"/>
      <protection/>
    </xf>
    <xf numFmtId="0" fontId="4" fillId="0" borderId="34" xfId="60" applyFont="1" applyBorder="1" applyAlignment="1">
      <alignment horizontal="center" vertical="top"/>
      <protection/>
    </xf>
    <xf numFmtId="0" fontId="5" fillId="0" borderId="34" xfId="60" applyFont="1" applyBorder="1" applyAlignment="1">
      <alignment horizontal="center" vertical="center"/>
      <protection/>
    </xf>
    <xf numFmtId="218" fontId="8" fillId="0" borderId="18" xfId="46" applyNumberFormat="1" applyFont="1" applyBorder="1" applyAlignment="1">
      <alignment horizontal="center" vertical="center"/>
    </xf>
    <xf numFmtId="0" fontId="8" fillId="0" borderId="13" xfId="60" applyFont="1" applyBorder="1" applyAlignment="1">
      <alignment horizontal="center" vertical="center"/>
      <protection/>
    </xf>
    <xf numFmtId="218" fontId="28" fillId="0" borderId="18" xfId="46" applyNumberFormat="1" applyFont="1" applyBorder="1" applyAlignment="1">
      <alignment horizontal="center" vertical="center" textRotation="61" wrapText="1"/>
    </xf>
    <xf numFmtId="218" fontId="28" fillId="0" borderId="18" xfId="45" applyNumberFormat="1" applyFont="1" applyBorder="1" applyAlignment="1">
      <alignment horizontal="center" textRotation="69" wrapText="1"/>
    </xf>
    <xf numFmtId="218" fontId="28" fillId="0" borderId="18" xfId="46" applyNumberFormat="1" applyFont="1" applyBorder="1" applyAlignment="1">
      <alignment horizontal="center" textRotation="60" wrapText="1"/>
    </xf>
    <xf numFmtId="218" fontId="28" fillId="0" borderId="10" xfId="45" applyNumberFormat="1" applyFont="1" applyBorder="1" applyAlignment="1">
      <alignment horizontal="left" textRotation="69" wrapText="1"/>
    </xf>
    <xf numFmtId="218" fontId="28" fillId="0" borderId="15" xfId="45" applyNumberFormat="1" applyFont="1" applyBorder="1" applyAlignment="1">
      <alignment horizontal="left" textRotation="70" wrapText="1"/>
    </xf>
    <xf numFmtId="218" fontId="28" fillId="0" borderId="10" xfId="45" applyNumberFormat="1" applyFont="1" applyBorder="1" applyAlignment="1">
      <alignment horizontal="left" textRotation="66" wrapText="1"/>
    </xf>
    <xf numFmtId="218" fontId="28" fillId="0" borderId="10" xfId="45" applyNumberFormat="1" applyFont="1" applyBorder="1" applyAlignment="1">
      <alignment horizontal="left" textRotation="70" wrapText="1"/>
    </xf>
    <xf numFmtId="218" fontId="20" fillId="0" borderId="15" xfId="45" applyNumberFormat="1" applyFont="1" applyBorder="1" applyAlignment="1">
      <alignment horizontal="center" textRotation="60" wrapText="1"/>
    </xf>
    <xf numFmtId="218" fontId="20" fillId="0" borderId="10" xfId="45" applyNumberFormat="1" applyFont="1" applyBorder="1" applyAlignment="1">
      <alignment horizontal="center" textRotation="60" wrapText="1"/>
    </xf>
    <xf numFmtId="0" fontId="19" fillId="0" borderId="15" xfId="60" applyFont="1" applyBorder="1" applyAlignment="1">
      <alignment horizontal="center" vertical="center"/>
      <protection/>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8" fillId="0" borderId="18" xfId="0" applyFont="1" applyBorder="1" applyAlignment="1">
      <alignment horizontal="center" vertical="center"/>
    </xf>
    <xf numFmtId="0" fontId="0" fillId="0" borderId="18" xfId="0" applyBorder="1" applyAlignment="1">
      <alignment horizontal="center" vertical="center"/>
    </xf>
    <xf numFmtId="0" fontId="9" fillId="0" borderId="15" xfId="0" applyFont="1" applyBorder="1" applyAlignment="1">
      <alignment horizontal="left" vertical="center" textRotation="71"/>
    </xf>
    <xf numFmtId="0" fontId="0" fillId="0" borderId="13" xfId="0" applyBorder="1" applyAlignment="1">
      <alignment vertical="center"/>
    </xf>
    <xf numFmtId="0" fontId="0" fillId="0" borderId="13" xfId="0" applyBorder="1" applyAlignment="1">
      <alignment horizontal="left" vertical="center"/>
    </xf>
    <xf numFmtId="218" fontId="5" fillId="0" borderId="18" xfId="45" applyNumberFormat="1" applyFont="1" applyBorder="1" applyAlignment="1">
      <alignment horizontal="center" vertical="center"/>
    </xf>
    <xf numFmtId="0" fontId="0" fillId="0" borderId="18" xfId="0" applyBorder="1" applyAlignment="1">
      <alignment vertical="center"/>
    </xf>
    <xf numFmtId="0" fontId="29" fillId="0" borderId="15" xfId="60" applyFont="1" applyBorder="1" applyAlignment="1">
      <alignment horizontal="center" vertical="center"/>
      <protection/>
    </xf>
    <xf numFmtId="0" fontId="30" fillId="0" borderId="13" xfId="60" applyFont="1" applyBorder="1" applyAlignment="1">
      <alignment vertical="center"/>
      <protection/>
    </xf>
    <xf numFmtId="218" fontId="28" fillId="0" borderId="15" xfId="44" applyNumberFormat="1" applyFont="1" applyBorder="1" applyAlignment="1">
      <alignment horizontal="center" textRotation="60" wrapText="1"/>
    </xf>
    <xf numFmtId="218" fontId="28" fillId="0" borderId="15" xfId="44" applyNumberFormat="1" applyFont="1" applyBorder="1" applyAlignment="1">
      <alignment horizontal="center" vertical="center" wrapText="1"/>
    </xf>
    <xf numFmtId="0" fontId="9" fillId="0" borderId="15" xfId="61" applyFont="1" applyBorder="1" applyAlignment="1">
      <alignment horizontal="center" vertical="center"/>
      <protection/>
    </xf>
    <xf numFmtId="0" fontId="9" fillId="0" borderId="13" xfId="61" applyFont="1" applyBorder="1" applyAlignment="1">
      <alignment horizontal="center" vertical="center"/>
      <protection/>
    </xf>
    <xf numFmtId="0" fontId="28" fillId="0" borderId="10" xfId="61" applyFont="1" applyBorder="1" applyAlignment="1">
      <alignment horizontal="center" textRotation="58"/>
      <protection/>
    </xf>
    <xf numFmtId="0" fontId="28" fillId="0" borderId="10" xfId="61" applyFont="1" applyBorder="1" applyAlignment="1">
      <alignment horizontal="center" textRotation="58" wrapText="1"/>
      <protection/>
    </xf>
    <xf numFmtId="0" fontId="9" fillId="0" borderId="10" xfId="61" applyFont="1" applyBorder="1" applyAlignment="1">
      <alignment horizontal="center" vertical="center"/>
      <protection/>
    </xf>
    <xf numFmtId="218" fontId="28" fillId="0" borderId="10" xfId="46" applyNumberFormat="1" applyFont="1" applyBorder="1" applyAlignment="1">
      <alignment horizontal="center" textRotation="58" wrapText="1"/>
    </xf>
    <xf numFmtId="218" fontId="28" fillId="0" borderId="10" xfId="46" applyNumberFormat="1" applyFont="1" applyBorder="1" applyAlignment="1">
      <alignment horizontal="center" textRotation="58"/>
    </xf>
    <xf numFmtId="218" fontId="28" fillId="0" borderId="18" xfId="45" applyNumberFormat="1" applyFont="1" applyBorder="1" applyAlignment="1">
      <alignment horizontal="center" textRotation="78" wrapText="1"/>
    </xf>
    <xf numFmtId="218" fontId="28" fillId="0" borderId="18" xfId="45" applyNumberFormat="1" applyFont="1" applyBorder="1" applyAlignment="1">
      <alignment horizontal="left" textRotation="78" wrapText="1"/>
    </xf>
    <xf numFmtId="218" fontId="9" fillId="0" borderId="18" xfId="45" applyNumberFormat="1" applyFont="1" applyBorder="1" applyAlignment="1">
      <alignment horizontal="center" vertical="center"/>
    </xf>
    <xf numFmtId="229" fontId="5" fillId="0" borderId="15" xfId="42" applyNumberFormat="1" applyFont="1" applyBorder="1" applyAlignment="1">
      <alignment vertical="center"/>
    </xf>
    <xf numFmtId="229" fontId="5" fillId="0" borderId="13" xfId="42" applyNumberFormat="1" applyFont="1" applyBorder="1" applyAlignment="1">
      <alignment vertical="center"/>
    </xf>
    <xf numFmtId="0" fontId="0" fillId="0" borderId="13" xfId="0" applyBorder="1" applyAlignment="1">
      <alignment/>
    </xf>
    <xf numFmtId="0" fontId="26" fillId="0" borderId="15" xfId="60" applyFont="1" applyBorder="1" applyAlignment="1">
      <alignment horizontal="left" vertical="top"/>
      <protection/>
    </xf>
    <xf numFmtId="0" fontId="0" fillId="0" borderId="13" xfId="0" applyBorder="1" applyAlignment="1">
      <alignment horizontal="left" vertical="top"/>
    </xf>
    <xf numFmtId="194" fontId="5" fillId="0" borderId="10" xfId="42" applyFont="1" applyBorder="1" applyAlignment="1">
      <alignment horizontal="center"/>
    </xf>
    <xf numFmtId="0" fontId="5" fillId="0" borderId="10" xfId="60" applyFont="1" applyBorder="1" applyAlignment="1">
      <alignment horizontal="center" vertical="center"/>
      <protection/>
    </xf>
    <xf numFmtId="229" fontId="5" fillId="0" borderId="15" xfId="42" applyNumberFormat="1" applyFont="1" applyBorder="1" applyAlignment="1">
      <alignment horizontal="right" vertical="center" textRotation="60"/>
    </xf>
    <xf numFmtId="229" fontId="5" fillId="0" borderId="13" xfId="42" applyNumberFormat="1" applyFont="1" applyBorder="1" applyAlignment="1">
      <alignment horizontal="right" vertical="center" textRotation="60"/>
    </xf>
    <xf numFmtId="229" fontId="5" fillId="0" borderId="15" xfId="42" applyNumberFormat="1" applyFont="1" applyBorder="1" applyAlignment="1">
      <alignment horizontal="right" vertical="center"/>
    </xf>
    <xf numFmtId="229" fontId="5" fillId="0" borderId="13" xfId="42" applyNumberFormat="1" applyFont="1" applyBorder="1" applyAlignment="1">
      <alignment horizontal="right" vertical="center"/>
    </xf>
    <xf numFmtId="0" fontId="5" fillId="0" borderId="13" xfId="60" applyFont="1" applyBorder="1" applyAlignment="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Ann Report 2005 June_30" xfId="44"/>
    <cellStyle name="Comma_Annual TICP Report 2005" xfId="45"/>
    <cellStyle name="Comma_Draft Ann Rep 2005 June_30"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_Annual Report 2001new" xfId="60"/>
    <cellStyle name="Normal_Publish Annual Report 2001new" xfId="61"/>
    <cellStyle name="Note" xfId="62"/>
    <cellStyle name="Output" xfId="63"/>
    <cellStyle name="Percent" xfId="64"/>
    <cellStyle name="Title" xfId="65"/>
    <cellStyle name="Total" xfId="66"/>
    <cellStyle name="Warning Text" xfId="67"/>
    <cellStyle name="ปกติ_Annual Report 2003 27Ju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U94"/>
  <sheetViews>
    <sheetView zoomScalePageLayoutView="0" workbookViewId="0" topLeftCell="A1">
      <selection activeCell="D5" sqref="D5"/>
    </sheetView>
  </sheetViews>
  <sheetFormatPr defaultColWidth="9.140625" defaultRowHeight="12.75"/>
  <cols>
    <col min="1" max="1" width="20.57421875" style="28" customWidth="1"/>
    <col min="2" max="2" width="6.7109375" style="27" customWidth="1"/>
    <col min="3" max="3" width="10.57421875" style="696" customWidth="1"/>
    <col min="4" max="4" width="5.28125" style="28" customWidth="1"/>
    <col min="5" max="5" width="9.28125" style="696" bestFit="1" customWidth="1"/>
    <col min="6" max="6" width="6.28125" style="33" customWidth="1"/>
    <col min="7" max="7" width="9.7109375" style="699" customWidth="1"/>
    <col min="8" max="8" width="5.421875" style="26" customWidth="1"/>
    <col min="9" max="9" width="8.7109375" style="696" customWidth="1"/>
    <col min="10" max="10" width="5.57421875" style="27" customWidth="1"/>
    <col min="11" max="11" width="9.7109375" style="696" customWidth="1"/>
    <col min="12" max="12" width="5.28125" style="26" customWidth="1"/>
    <col min="13" max="13" width="9.57421875" style="26" customWidth="1"/>
    <col min="14" max="14" width="7.00390625" style="27" customWidth="1"/>
    <col min="15" max="15" width="10.57421875" style="699" customWidth="1"/>
    <col min="16" max="16" width="7.140625" style="67" customWidth="1"/>
    <col min="17" max="17" width="10.7109375" style="67" customWidth="1"/>
    <col min="18" max="18" width="9.140625" style="67" customWidth="1"/>
    <col min="19" max="19" width="6.28125" style="67" customWidth="1"/>
    <col min="20" max="20" width="9.7109375" style="67" customWidth="1"/>
    <col min="21" max="21" width="9.140625" style="67" customWidth="1"/>
    <col min="22" max="16384" width="9.140625" style="159" customWidth="1"/>
  </cols>
  <sheetData>
    <row r="1" spans="1:15" ht="24" customHeight="1" thickBot="1">
      <c r="A1" s="1" t="s">
        <v>291</v>
      </c>
      <c r="B1" s="2"/>
      <c r="C1" s="690"/>
      <c r="D1" s="3"/>
      <c r="E1" s="690"/>
      <c r="F1" s="4"/>
      <c r="G1" s="698"/>
      <c r="H1" s="5"/>
      <c r="I1" s="690"/>
      <c r="J1" s="2"/>
      <c r="K1" s="690"/>
      <c r="L1" s="5"/>
      <c r="M1" s="814"/>
      <c r="O1" s="815" t="s">
        <v>102</v>
      </c>
    </row>
    <row r="2" spans="1:21" s="9" customFormat="1" ht="36" customHeight="1" thickBot="1">
      <c r="A2" s="1212" t="s">
        <v>1</v>
      </c>
      <c r="B2" s="1210" t="s">
        <v>2</v>
      </c>
      <c r="C2" s="1210"/>
      <c r="D2" s="1210" t="s">
        <v>3</v>
      </c>
      <c r="E2" s="1210"/>
      <c r="F2" s="1209" t="s">
        <v>4</v>
      </c>
      <c r="G2" s="1209"/>
      <c r="H2" s="1209" t="s">
        <v>5</v>
      </c>
      <c r="I2" s="1209"/>
      <c r="J2" s="1209" t="s">
        <v>6</v>
      </c>
      <c r="K2" s="1209"/>
      <c r="L2" s="1211" t="s">
        <v>153</v>
      </c>
      <c r="M2" s="1211"/>
      <c r="N2" s="1210" t="s">
        <v>7</v>
      </c>
      <c r="O2" s="1210"/>
      <c r="P2" s="67"/>
      <c r="Q2" s="67"/>
      <c r="R2" s="67"/>
      <c r="S2" s="67"/>
      <c r="T2" s="67"/>
      <c r="U2" s="67"/>
    </row>
    <row r="3" spans="1:21" s="9" customFormat="1" ht="21.75" customHeight="1" thickBot="1">
      <c r="A3" s="1213"/>
      <c r="B3" s="764" t="s">
        <v>8</v>
      </c>
      <c r="C3" s="765" t="s">
        <v>9</v>
      </c>
      <c r="D3" s="764" t="s">
        <v>10</v>
      </c>
      <c r="E3" s="765" t="s">
        <v>9</v>
      </c>
      <c r="F3" s="766" t="s">
        <v>10</v>
      </c>
      <c r="G3" s="765" t="s">
        <v>9</v>
      </c>
      <c r="H3" s="766" t="s">
        <v>10</v>
      </c>
      <c r="I3" s="765" t="s">
        <v>9</v>
      </c>
      <c r="J3" s="764" t="s">
        <v>10</v>
      </c>
      <c r="K3" s="765" t="s">
        <v>9</v>
      </c>
      <c r="L3" s="764" t="s">
        <v>10</v>
      </c>
      <c r="M3" s="766" t="s">
        <v>9</v>
      </c>
      <c r="N3" s="764" t="s">
        <v>509</v>
      </c>
      <c r="O3" s="765" t="s">
        <v>9</v>
      </c>
      <c r="P3" s="67"/>
      <c r="Q3" s="67"/>
      <c r="R3" s="67"/>
      <c r="S3" s="67"/>
      <c r="T3" s="67"/>
      <c r="U3" s="67"/>
    </row>
    <row r="4" spans="1:15" ht="21.75" customHeight="1">
      <c r="A4" s="735" t="s">
        <v>161</v>
      </c>
      <c r="B4" s="736"/>
      <c r="C4" s="737"/>
      <c r="D4" s="738"/>
      <c r="E4" s="737"/>
      <c r="F4" s="739"/>
      <c r="G4" s="740"/>
      <c r="H4" s="741"/>
      <c r="I4" s="737"/>
      <c r="J4" s="736"/>
      <c r="K4" s="737"/>
      <c r="L4" s="741"/>
      <c r="M4" s="741"/>
      <c r="N4" s="736"/>
      <c r="O4" s="740"/>
    </row>
    <row r="5" spans="1:15" ht="19.5" customHeight="1">
      <c r="A5" s="12" t="s">
        <v>11</v>
      </c>
      <c r="B5" s="13">
        <f>ApIII!R6</f>
        <v>1</v>
      </c>
      <c r="C5" s="692">
        <f>ApIII!S6</f>
        <v>2427.6</v>
      </c>
      <c r="D5" s="14">
        <f>ApVII!AB5</f>
        <v>1</v>
      </c>
      <c r="E5" s="697">
        <f>ApVII!AC5</f>
        <v>86.7</v>
      </c>
      <c r="F5" s="13">
        <f>ApX!T5</f>
        <v>5</v>
      </c>
      <c r="G5" s="692">
        <f>ApX!U5</f>
        <v>498</v>
      </c>
      <c r="H5" s="13" t="s">
        <v>12</v>
      </c>
      <c r="I5" s="692" t="s">
        <v>12</v>
      </c>
      <c r="J5" s="15">
        <f>ApXII!Z5</f>
        <v>71</v>
      </c>
      <c r="K5" s="1186">
        <f>ApXII!AA5</f>
        <v>1321.1000000000001</v>
      </c>
      <c r="L5" s="14">
        <v>15</v>
      </c>
      <c r="M5" s="664">
        <v>1485.4</v>
      </c>
      <c r="N5" s="216">
        <f aca="true" t="shared" si="0" ref="N5:O8">SUM(B5,D5,F5,H5,J5,L5)</f>
        <v>93</v>
      </c>
      <c r="O5" s="701">
        <f t="shared" si="0"/>
        <v>5818.799999999999</v>
      </c>
    </row>
    <row r="6" spans="1:15" ht="19.5" customHeight="1">
      <c r="A6" s="12" t="s">
        <v>13</v>
      </c>
      <c r="B6" s="13">
        <f>ApIII!R7</f>
        <v>499</v>
      </c>
      <c r="C6" s="692">
        <f>ApIII!S7</f>
        <v>63172.48</v>
      </c>
      <c r="D6" s="14">
        <f>ApVII!AB6</f>
        <v>3</v>
      </c>
      <c r="E6" s="697">
        <f>ApVII!AC6</f>
        <v>1342.4</v>
      </c>
      <c r="F6" s="13">
        <f>ApX!T6</f>
        <v>7</v>
      </c>
      <c r="G6" s="692">
        <f>ApX!U6</f>
        <v>559.2</v>
      </c>
      <c r="H6" s="13" t="s">
        <v>12</v>
      </c>
      <c r="I6" s="692" t="s">
        <v>12</v>
      </c>
      <c r="J6" s="15">
        <f>ApXII!Z6</f>
        <v>131</v>
      </c>
      <c r="K6" s="692">
        <f>ApXII!AA6</f>
        <v>3326.9</v>
      </c>
      <c r="L6" s="14">
        <f>69+2</f>
        <v>71</v>
      </c>
      <c r="M6" s="664">
        <f>7423.7+275.4</f>
        <v>7699.099999999999</v>
      </c>
      <c r="N6" s="216">
        <f t="shared" si="0"/>
        <v>711</v>
      </c>
      <c r="O6" s="701">
        <f t="shared" si="0"/>
        <v>76100.08</v>
      </c>
    </row>
    <row r="7" spans="1:15" ht="19.5" customHeight="1">
      <c r="A7" s="12" t="s">
        <v>14</v>
      </c>
      <c r="B7" s="13">
        <f>ApIII!R8</f>
        <v>250</v>
      </c>
      <c r="C7" s="692">
        <f>ApIII!S8</f>
        <v>33779.18</v>
      </c>
      <c r="D7" s="14">
        <f>ApVII!AB7</f>
        <v>7</v>
      </c>
      <c r="E7" s="697">
        <f>ApVII!AC7</f>
        <v>3107</v>
      </c>
      <c r="F7" s="13">
        <f>ApX!T7</f>
        <v>15</v>
      </c>
      <c r="G7" s="692">
        <f>ApX!U7</f>
        <v>1601.1000000000001</v>
      </c>
      <c r="H7" s="13" t="s">
        <v>12</v>
      </c>
      <c r="I7" s="692" t="s">
        <v>12</v>
      </c>
      <c r="J7" s="15">
        <f>ApXII!Z7</f>
        <v>69</v>
      </c>
      <c r="K7" s="692">
        <f>ApXII!AA7</f>
        <v>3287.9</v>
      </c>
      <c r="L7" s="14">
        <f>38+2</f>
        <v>40</v>
      </c>
      <c r="M7" s="664">
        <f>4745.8+275.4</f>
        <v>5021.2</v>
      </c>
      <c r="N7" s="216">
        <f t="shared" si="0"/>
        <v>381</v>
      </c>
      <c r="O7" s="701">
        <f t="shared" si="0"/>
        <v>46796.38</v>
      </c>
    </row>
    <row r="8" spans="1:15" ht="19.5" customHeight="1">
      <c r="A8" s="12" t="s">
        <v>15</v>
      </c>
      <c r="B8" s="13">
        <f>ApIII!R9</f>
        <v>86</v>
      </c>
      <c r="C8" s="692">
        <f>ApIII!S9</f>
        <v>5977.02</v>
      </c>
      <c r="D8" s="14">
        <f>ApVII!AB8</f>
        <v>1</v>
      </c>
      <c r="E8" s="697">
        <f>ApVII!AC8</f>
        <v>457.2</v>
      </c>
      <c r="F8" s="13">
        <f>ApX!T8</f>
        <v>3</v>
      </c>
      <c r="G8" s="692">
        <f>ApX!U8</f>
        <v>448</v>
      </c>
      <c r="H8" s="19" t="s">
        <v>12</v>
      </c>
      <c r="I8" s="693" t="s">
        <v>12</v>
      </c>
      <c r="J8" s="15">
        <f>ApXII!Z8</f>
        <v>120</v>
      </c>
      <c r="K8" s="692">
        <f>ApXII!AA8</f>
        <v>3239.6999999999994</v>
      </c>
      <c r="L8" s="14">
        <f>25+2</f>
        <v>27</v>
      </c>
      <c r="M8" s="664">
        <f>2348+275.4</f>
        <v>2623.4</v>
      </c>
      <c r="N8" s="216">
        <f t="shared" si="0"/>
        <v>237</v>
      </c>
      <c r="O8" s="701">
        <f t="shared" si="0"/>
        <v>12745.32</v>
      </c>
    </row>
    <row r="9" spans="1:15" ht="21.75" customHeight="1">
      <c r="A9" s="742" t="s">
        <v>16</v>
      </c>
      <c r="B9" s="743"/>
      <c r="C9" s="744"/>
      <c r="D9" s="745"/>
      <c r="E9" s="744"/>
      <c r="F9" s="743"/>
      <c r="G9" s="746"/>
      <c r="H9" s="745"/>
      <c r="I9" s="744"/>
      <c r="J9" s="747"/>
      <c r="K9" s="744"/>
      <c r="L9" s="745"/>
      <c r="M9" s="745"/>
      <c r="N9" s="748"/>
      <c r="O9" s="749"/>
    </row>
    <row r="10" spans="1:15" ht="19.5" customHeight="1">
      <c r="A10" s="12" t="s">
        <v>229</v>
      </c>
      <c r="B10" s="13" t="s">
        <v>12</v>
      </c>
      <c r="C10" s="13" t="s">
        <v>12</v>
      </c>
      <c r="D10" s="13" t="s">
        <v>12</v>
      </c>
      <c r="E10" s="692" t="s">
        <v>12</v>
      </c>
      <c r="F10" s="17"/>
      <c r="G10" s="692"/>
      <c r="H10" s="13" t="s">
        <v>12</v>
      </c>
      <c r="I10" s="13" t="s">
        <v>12</v>
      </c>
      <c r="J10" s="13" t="s">
        <v>12</v>
      </c>
      <c r="K10" s="13" t="s">
        <v>12</v>
      </c>
      <c r="L10" s="13">
        <v>2</v>
      </c>
      <c r="M10" s="606">
        <v>48.3</v>
      </c>
      <c r="N10" s="216">
        <f>SUM(B10,D10,F10,H10,J10,L10)</f>
        <v>2</v>
      </c>
      <c r="O10" s="701">
        <f>SUM(C10,E10,G10,I10,K10,M10)</f>
        <v>48.3</v>
      </c>
    </row>
    <row r="11" spans="1:15" ht="19.5" customHeight="1">
      <c r="A11" s="12" t="s">
        <v>17</v>
      </c>
      <c r="B11" s="13">
        <f>ApIII!R11</f>
        <v>0</v>
      </c>
      <c r="C11" s="692">
        <f>ApIII!S11</f>
        <v>2848.4</v>
      </c>
      <c r="D11" s="14">
        <f>ApVII!AB10</f>
        <v>0</v>
      </c>
      <c r="E11" s="697">
        <f>ApVII!AC10</f>
        <v>855.8</v>
      </c>
      <c r="F11" s="17">
        <f>ApX!T10</f>
        <v>5</v>
      </c>
      <c r="G11" s="692">
        <f>ApX!U10</f>
        <v>643.6</v>
      </c>
      <c r="H11" s="13" t="s">
        <v>12</v>
      </c>
      <c r="I11" s="692" t="s">
        <v>12</v>
      </c>
      <c r="J11" s="15">
        <f>ApXII!Z10</f>
        <v>20</v>
      </c>
      <c r="K11" s="692">
        <f>ApXII!AA10</f>
        <v>1017</v>
      </c>
      <c r="L11" s="13">
        <v>5</v>
      </c>
      <c r="M11" s="606">
        <v>75.9</v>
      </c>
      <c r="N11" s="216">
        <f aca="true" t="shared" si="1" ref="N11:O14">SUM(B11,D11,F11,H11,J11,L11)</f>
        <v>30</v>
      </c>
      <c r="O11" s="701">
        <f t="shared" si="1"/>
        <v>5440.7</v>
      </c>
    </row>
    <row r="12" spans="1:15" ht="19.5" customHeight="1">
      <c r="A12" s="12" t="s">
        <v>18</v>
      </c>
      <c r="B12" s="13" t="s">
        <v>12</v>
      </c>
      <c r="C12" s="13" t="s">
        <v>12</v>
      </c>
      <c r="D12" s="13" t="s">
        <v>12</v>
      </c>
      <c r="E12" s="692" t="s">
        <v>12</v>
      </c>
      <c r="F12" s="17">
        <f>ApX!T11</f>
        <v>1</v>
      </c>
      <c r="G12" s="692">
        <f>ApX!U11</f>
        <v>81.6</v>
      </c>
      <c r="H12" s="13" t="s">
        <v>12</v>
      </c>
      <c r="I12" s="692" t="s">
        <v>12</v>
      </c>
      <c r="J12" s="15">
        <f>ApXII!Z11</f>
        <v>7</v>
      </c>
      <c r="K12" s="692">
        <f>ApXII!AA11</f>
        <v>466.79999999999995</v>
      </c>
      <c r="L12" s="13">
        <v>2</v>
      </c>
      <c r="M12" s="606">
        <v>48.3</v>
      </c>
      <c r="N12" s="216">
        <f t="shared" si="1"/>
        <v>10</v>
      </c>
      <c r="O12" s="701">
        <f t="shared" si="1"/>
        <v>596.6999999999999</v>
      </c>
    </row>
    <row r="13" spans="1:15" ht="19.5" customHeight="1">
      <c r="A13" s="12" t="s">
        <v>19</v>
      </c>
      <c r="B13" s="13">
        <f>ApVII!Z11</f>
        <v>0</v>
      </c>
      <c r="C13" s="13">
        <f>ApVII!AA11</f>
        <v>0</v>
      </c>
      <c r="D13" s="13">
        <f>ApVII!AB11</f>
        <v>0</v>
      </c>
      <c r="E13" s="692">
        <f>ApVII!AC11</f>
        <v>128.7</v>
      </c>
      <c r="F13" s="17">
        <f>ApX!T12</f>
        <v>8</v>
      </c>
      <c r="G13" s="692">
        <f>ApX!U12</f>
        <v>673.9</v>
      </c>
      <c r="H13" s="13" t="s">
        <v>12</v>
      </c>
      <c r="I13" s="692" t="s">
        <v>12</v>
      </c>
      <c r="J13" s="15">
        <f>ApXII!Z12</f>
        <v>16</v>
      </c>
      <c r="K13" s="692">
        <f>ApXII!AA12</f>
        <v>529.5</v>
      </c>
      <c r="L13" s="13">
        <v>2</v>
      </c>
      <c r="M13" s="606">
        <v>48.3</v>
      </c>
      <c r="N13" s="216">
        <f t="shared" si="1"/>
        <v>26</v>
      </c>
      <c r="O13" s="701">
        <f t="shared" si="1"/>
        <v>1380.3999999999999</v>
      </c>
    </row>
    <row r="14" spans="1:21" s="354" customFormat="1" ht="19.5" customHeight="1">
      <c r="A14" s="12" t="s">
        <v>228</v>
      </c>
      <c r="B14" s="13"/>
      <c r="C14" s="692"/>
      <c r="D14" s="13" t="s">
        <v>12</v>
      </c>
      <c r="E14" s="692" t="s">
        <v>12</v>
      </c>
      <c r="F14" s="13" t="s">
        <v>12</v>
      </c>
      <c r="G14" s="692" t="s">
        <v>12</v>
      </c>
      <c r="H14" s="13" t="s">
        <v>12</v>
      </c>
      <c r="I14" s="692" t="s">
        <v>12</v>
      </c>
      <c r="J14" s="15">
        <f>ApXII!Z13</f>
        <v>2</v>
      </c>
      <c r="K14" s="692">
        <f>ApXII!AA13</f>
        <v>169.4</v>
      </c>
      <c r="L14" s="13">
        <v>2</v>
      </c>
      <c r="M14" s="606">
        <v>48.3</v>
      </c>
      <c r="N14" s="216">
        <f t="shared" si="1"/>
        <v>4</v>
      </c>
      <c r="O14" s="701">
        <f t="shared" si="1"/>
        <v>217.7</v>
      </c>
      <c r="P14" s="276"/>
      <c r="Q14" s="276"/>
      <c r="R14" s="276"/>
      <c r="S14" s="276"/>
      <c r="T14" s="276"/>
      <c r="U14" s="276"/>
    </row>
    <row r="15" spans="1:15" ht="19.5" customHeight="1">
      <c r="A15" s="18" t="s">
        <v>20</v>
      </c>
      <c r="B15" s="19">
        <f>ApIII!R12</f>
        <v>58</v>
      </c>
      <c r="C15" s="733">
        <f>ApIII!S12</f>
        <v>6581.099999999999</v>
      </c>
      <c r="D15" s="19">
        <f>ApVII!AB12</f>
        <v>1</v>
      </c>
      <c r="E15" s="693">
        <f>ApVII!AC12</f>
        <v>272.6</v>
      </c>
      <c r="F15" s="20">
        <f>ApX!T13</f>
        <v>4</v>
      </c>
      <c r="G15" s="693">
        <f>ApX!U13</f>
        <v>500</v>
      </c>
      <c r="H15" s="19" t="s">
        <v>12</v>
      </c>
      <c r="I15" s="693" t="s">
        <v>12</v>
      </c>
      <c r="J15" s="357">
        <f>ApXII!Z14</f>
        <v>6</v>
      </c>
      <c r="K15" s="693">
        <f>ApXII!AA14</f>
        <v>519.4</v>
      </c>
      <c r="L15" s="19">
        <v>1</v>
      </c>
      <c r="M15" s="733">
        <v>17.4</v>
      </c>
      <c r="N15" s="217">
        <f>SUM(B15,D15,F15,H15,J15,L15)</f>
        <v>70</v>
      </c>
      <c r="O15" s="702">
        <f>SUM(C15,E15,G15,I15,K15,M15)</f>
        <v>7890.499999999999</v>
      </c>
    </row>
    <row r="16" spans="1:15" ht="21.75" customHeight="1">
      <c r="A16" s="735" t="s">
        <v>21</v>
      </c>
      <c r="B16" s="739"/>
      <c r="C16" s="737"/>
      <c r="D16" s="750"/>
      <c r="E16" s="740"/>
      <c r="F16" s="739"/>
      <c r="G16" s="740"/>
      <c r="H16" s="741"/>
      <c r="I16" s="737"/>
      <c r="J16" s="736"/>
      <c r="K16" s="737"/>
      <c r="L16" s="741"/>
      <c r="M16" s="741"/>
      <c r="N16" s="751"/>
      <c r="O16" s="752"/>
    </row>
    <row r="17" spans="1:15" ht="19.5" customHeight="1">
      <c r="A17" s="12" t="s">
        <v>22</v>
      </c>
      <c r="B17" s="13" t="s">
        <v>12</v>
      </c>
      <c r="C17" s="692" t="s">
        <v>12</v>
      </c>
      <c r="D17" s="13" t="s">
        <v>12</v>
      </c>
      <c r="E17" s="692" t="s">
        <v>12</v>
      </c>
      <c r="F17" s="13">
        <f>ApX!T15</f>
        <v>3</v>
      </c>
      <c r="G17" s="692">
        <f>ApX!U15</f>
        <v>276.8</v>
      </c>
      <c r="H17" s="13">
        <f>ApIX!J20+ApVIII!R6</f>
        <v>65</v>
      </c>
      <c r="I17" s="692">
        <f>ApIX!K20+ApVIII!S6</f>
        <v>4725.27</v>
      </c>
      <c r="J17" s="15">
        <f>ApXII!Z16</f>
        <v>11</v>
      </c>
      <c r="K17" s="692">
        <f>ApXII!AA16</f>
        <v>640.1</v>
      </c>
      <c r="L17" s="13">
        <f>5+2</f>
        <v>7</v>
      </c>
      <c r="M17" s="606">
        <f>699.8+275.4</f>
        <v>975.1999999999999</v>
      </c>
      <c r="N17" s="216">
        <f>SUM(B17,D17,F17,H17,J17,L17)</f>
        <v>86</v>
      </c>
      <c r="O17" s="701">
        <f>SUM(C17,E17,G17,I17,K17,M17)</f>
        <v>6617.370000000001</v>
      </c>
    </row>
    <row r="18" spans="1:21" s="358" customFormat="1" ht="19.5" customHeight="1">
      <c r="A18" s="18" t="s">
        <v>23</v>
      </c>
      <c r="B18" s="19">
        <f>ApIII!R14</f>
        <v>0</v>
      </c>
      <c r="C18" s="693">
        <f>ApIII!S14</f>
        <v>1362.8</v>
      </c>
      <c r="D18" s="19">
        <f>ApVII!AB14</f>
        <v>0</v>
      </c>
      <c r="E18" s="693">
        <f>ApVII!AC14</f>
        <v>634.5999999999999</v>
      </c>
      <c r="F18" s="19">
        <f>ApX!T16</f>
        <v>4</v>
      </c>
      <c r="G18" s="693">
        <f>ApX!U16</f>
        <v>572.5</v>
      </c>
      <c r="H18" s="19" t="s">
        <v>12</v>
      </c>
      <c r="I18" s="693" t="s">
        <v>12</v>
      </c>
      <c r="J18" s="357">
        <f>ApXII!Z17</f>
        <v>7</v>
      </c>
      <c r="K18" s="693">
        <f>ApXII!AA17</f>
        <v>346.9</v>
      </c>
      <c r="L18" s="19" t="s">
        <v>12</v>
      </c>
      <c r="M18" s="19" t="s">
        <v>12</v>
      </c>
      <c r="N18" s="217">
        <f>SUM(B18,D18,F18,H18,J18,L18)</f>
        <v>11</v>
      </c>
      <c r="O18" s="702">
        <f>SUM(C18,E18,G18,I18,K18,M18)</f>
        <v>2916.7999999999997</v>
      </c>
      <c r="P18" s="350"/>
      <c r="Q18" s="350"/>
      <c r="R18" s="350"/>
      <c r="S18" s="350"/>
      <c r="T18" s="350"/>
      <c r="U18" s="350"/>
    </row>
    <row r="19" spans="1:15" ht="21.75" customHeight="1">
      <c r="A19" s="753" t="s">
        <v>24</v>
      </c>
      <c r="B19" s="739"/>
      <c r="C19" s="737"/>
      <c r="D19" s="741"/>
      <c r="E19" s="737"/>
      <c r="F19" s="739"/>
      <c r="G19" s="740"/>
      <c r="H19" s="741"/>
      <c r="I19" s="737"/>
      <c r="J19" s="754"/>
      <c r="K19" s="737"/>
      <c r="L19" s="741"/>
      <c r="M19" s="741"/>
      <c r="N19" s="751"/>
      <c r="O19" s="752"/>
    </row>
    <row r="20" spans="1:15" ht="19.5" customHeight="1">
      <c r="A20" s="12" t="s">
        <v>25</v>
      </c>
      <c r="B20" s="13" t="s">
        <v>12</v>
      </c>
      <c r="C20" s="692">
        <f>ApIII!S16</f>
        <v>3375.1</v>
      </c>
      <c r="D20" s="13" t="s">
        <v>12</v>
      </c>
      <c r="E20" s="692" t="s">
        <v>12</v>
      </c>
      <c r="F20" s="13">
        <f>ApX!T18</f>
        <v>1</v>
      </c>
      <c r="G20" s="692">
        <f>ApX!U18</f>
        <v>136.4</v>
      </c>
      <c r="H20" s="13" t="s">
        <v>12</v>
      </c>
      <c r="I20" s="692" t="s">
        <v>12</v>
      </c>
      <c r="J20" s="13">
        <f>ApXII!Z19</f>
        <v>3</v>
      </c>
      <c r="K20" s="606">
        <f>ApXII!AA19</f>
        <v>282.1</v>
      </c>
      <c r="L20" s="13" t="s">
        <v>12</v>
      </c>
      <c r="M20" s="13" t="s">
        <v>12</v>
      </c>
      <c r="N20" s="216">
        <f aca="true" t="shared" si="2" ref="N20:N30">SUM(B20,D20,F20,H20,J20,L20)</f>
        <v>4</v>
      </c>
      <c r="O20" s="701">
        <f aca="true" t="shared" si="3" ref="O20:O30">SUM(C20,E20,G20,I20,K20,M20)</f>
        <v>3793.6</v>
      </c>
    </row>
    <row r="21" spans="1:15" ht="19.5" customHeight="1">
      <c r="A21" s="12" t="s">
        <v>26</v>
      </c>
      <c r="B21" s="13">
        <f>ApIII!R17</f>
        <v>2</v>
      </c>
      <c r="C21" s="692">
        <f>ApIII!S17</f>
        <v>2595.9</v>
      </c>
      <c r="D21" s="13">
        <f>ApVII!AB16</f>
        <v>5</v>
      </c>
      <c r="E21" s="692">
        <f>ApVII!AC16</f>
        <v>2462.2</v>
      </c>
      <c r="F21" s="17">
        <f>ApX!T19</f>
        <v>5</v>
      </c>
      <c r="G21" s="692">
        <f>ApX!U19</f>
        <v>672.3</v>
      </c>
      <c r="H21" s="13" t="s">
        <v>12</v>
      </c>
      <c r="I21" s="692" t="s">
        <v>12</v>
      </c>
      <c r="J21" s="15">
        <f>ApXII!Z20</f>
        <v>15</v>
      </c>
      <c r="K21" s="692">
        <f>ApXII!AA20</f>
        <v>510.79999999999995</v>
      </c>
      <c r="L21" s="13">
        <v>2</v>
      </c>
      <c r="M21" s="606">
        <v>213.1</v>
      </c>
      <c r="N21" s="216">
        <f>SUM(B21,D21,F21,H21,J21,L21)</f>
        <v>29</v>
      </c>
      <c r="O21" s="701">
        <f t="shared" si="3"/>
        <v>6454.300000000001</v>
      </c>
    </row>
    <row r="22" spans="1:15" ht="19.5" customHeight="1">
      <c r="A22" s="12" t="s">
        <v>27</v>
      </c>
      <c r="B22" s="13">
        <f>ApIII!R18</f>
        <v>35</v>
      </c>
      <c r="C22" s="692">
        <f>ApIII!S18</f>
        <v>2838.1000000000004</v>
      </c>
      <c r="D22" s="13">
        <f>ApVII!AB17</f>
        <v>2</v>
      </c>
      <c r="E22" s="692">
        <f>ApVII!AC17</f>
        <v>1416.4</v>
      </c>
      <c r="F22" s="17">
        <f>ApX!T20</f>
        <v>2</v>
      </c>
      <c r="G22" s="692">
        <f>ApX!U20</f>
        <v>198.3</v>
      </c>
      <c r="H22" s="13" t="s">
        <v>12</v>
      </c>
      <c r="I22" s="692" t="s">
        <v>12</v>
      </c>
      <c r="J22" s="15">
        <f>ApXII!Z21</f>
        <v>16</v>
      </c>
      <c r="K22" s="692">
        <f>ApXII!AA21</f>
        <v>629</v>
      </c>
      <c r="L22" s="13">
        <f>11+12</f>
        <v>23</v>
      </c>
      <c r="M22" s="606">
        <f>2988.2+2827.1</f>
        <v>5815.299999999999</v>
      </c>
      <c r="N22" s="216">
        <f t="shared" si="2"/>
        <v>78</v>
      </c>
      <c r="O22" s="701">
        <f t="shared" si="3"/>
        <v>10897.099999999999</v>
      </c>
    </row>
    <row r="23" spans="1:15" ht="19.5" customHeight="1">
      <c r="A23" s="12" t="s">
        <v>28</v>
      </c>
      <c r="B23" s="13" t="s">
        <v>12</v>
      </c>
      <c r="C23" s="13" t="s">
        <v>12</v>
      </c>
      <c r="D23" s="13" t="s">
        <v>12</v>
      </c>
      <c r="E23" s="692" t="s">
        <v>12</v>
      </c>
      <c r="F23" s="13" t="s">
        <v>12</v>
      </c>
      <c r="G23" s="692" t="s">
        <v>12</v>
      </c>
      <c r="H23" s="13" t="s">
        <v>12</v>
      </c>
      <c r="I23" s="692" t="s">
        <v>12</v>
      </c>
      <c r="J23" s="13" t="s">
        <v>12</v>
      </c>
      <c r="K23" s="692" t="s">
        <v>12</v>
      </c>
      <c r="L23" s="13">
        <v>2</v>
      </c>
      <c r="M23" s="606">
        <v>217</v>
      </c>
      <c r="N23" s="216">
        <f t="shared" si="2"/>
        <v>2</v>
      </c>
      <c r="O23" s="701">
        <f t="shared" si="3"/>
        <v>217</v>
      </c>
    </row>
    <row r="24" spans="1:15" ht="19.5" customHeight="1">
      <c r="A24" s="12" t="s">
        <v>29</v>
      </c>
      <c r="B24" s="13" t="s">
        <v>12</v>
      </c>
      <c r="C24" s="13" t="s">
        <v>12</v>
      </c>
      <c r="D24" s="13" t="s">
        <v>12</v>
      </c>
      <c r="E24" s="692" t="s">
        <v>12</v>
      </c>
      <c r="F24" s="13" t="s">
        <v>12</v>
      </c>
      <c r="G24" s="692" t="s">
        <v>12</v>
      </c>
      <c r="H24" s="13" t="s">
        <v>12</v>
      </c>
      <c r="I24" s="692" t="s">
        <v>12</v>
      </c>
      <c r="J24" s="15">
        <f>ApXII!Z22</f>
        <v>3</v>
      </c>
      <c r="K24" s="692">
        <f>ApXII!AA22</f>
        <v>16.5</v>
      </c>
      <c r="L24" s="13"/>
      <c r="M24" s="13"/>
      <c r="N24" s="216">
        <f t="shared" si="2"/>
        <v>3</v>
      </c>
      <c r="O24" s="701">
        <f t="shared" si="3"/>
        <v>16.5</v>
      </c>
    </row>
    <row r="25" spans="1:15" ht="19.5" customHeight="1">
      <c r="A25" s="12" t="s">
        <v>498</v>
      </c>
      <c r="B25" s="13">
        <f>ApIII!R19</f>
        <v>1</v>
      </c>
      <c r="C25" s="606">
        <f>ApIII!S19</f>
        <v>132.1</v>
      </c>
      <c r="D25" s="13" t="s">
        <v>12</v>
      </c>
      <c r="E25" s="692" t="s">
        <v>12</v>
      </c>
      <c r="F25" s="13" t="s">
        <v>12</v>
      </c>
      <c r="G25" s="692" t="s">
        <v>12</v>
      </c>
      <c r="H25" s="13" t="s">
        <v>12</v>
      </c>
      <c r="I25" s="692" t="s">
        <v>12</v>
      </c>
      <c r="J25" s="15"/>
      <c r="K25" s="692"/>
      <c r="L25" s="13"/>
      <c r="M25" s="13"/>
      <c r="N25" s="216">
        <f>SUM(B25,D25,F25,H25,J25,L25)</f>
        <v>1</v>
      </c>
      <c r="O25" s="701">
        <f t="shared" si="3"/>
        <v>132.1</v>
      </c>
    </row>
    <row r="26" spans="1:15" ht="19.5" customHeight="1">
      <c r="A26" s="12" t="s">
        <v>30</v>
      </c>
      <c r="B26" s="13" t="s">
        <v>12</v>
      </c>
      <c r="C26" s="13" t="s">
        <v>12</v>
      </c>
      <c r="D26" s="13" t="s">
        <v>12</v>
      </c>
      <c r="E26" s="692" t="s">
        <v>12</v>
      </c>
      <c r="F26" s="17">
        <f>ApX!T21</f>
        <v>10</v>
      </c>
      <c r="G26" s="692">
        <f>ApX!U21</f>
        <v>1316.4</v>
      </c>
      <c r="H26" s="13" t="s">
        <v>12</v>
      </c>
      <c r="I26" s="692" t="s">
        <v>12</v>
      </c>
      <c r="J26" s="13">
        <f>ApXII!Z23</f>
        <v>4</v>
      </c>
      <c r="K26" s="606">
        <f>ApXII!AA23</f>
        <v>22</v>
      </c>
      <c r="L26" s="13" t="s">
        <v>12</v>
      </c>
      <c r="M26" s="13" t="s">
        <v>12</v>
      </c>
      <c r="N26" s="216">
        <f t="shared" si="2"/>
        <v>14</v>
      </c>
      <c r="O26" s="701">
        <f t="shared" si="3"/>
        <v>1338.4</v>
      </c>
    </row>
    <row r="27" spans="1:15" ht="19.5" customHeight="1">
      <c r="A27" s="12" t="s">
        <v>31</v>
      </c>
      <c r="B27" s="13">
        <f>ApIII!R20</f>
        <v>3</v>
      </c>
      <c r="C27" s="692">
        <f>ApIII!S20</f>
        <v>455.7</v>
      </c>
      <c r="D27" s="13">
        <f>ApVII!AB18</f>
        <v>3</v>
      </c>
      <c r="E27" s="692">
        <f>ApVII!AC18</f>
        <v>1947</v>
      </c>
      <c r="F27" s="17">
        <f>ApX!T22</f>
        <v>4</v>
      </c>
      <c r="G27" s="692">
        <f>ApX!U22</f>
        <v>467.6</v>
      </c>
      <c r="H27" s="13" t="s">
        <v>12</v>
      </c>
      <c r="I27" s="692" t="s">
        <v>12</v>
      </c>
      <c r="J27" s="13">
        <f>ApXII!Z24</f>
        <v>1</v>
      </c>
      <c r="K27" s="692">
        <f>ApXII!AA24</f>
        <v>87.8</v>
      </c>
      <c r="L27" s="13">
        <v>6</v>
      </c>
      <c r="M27" s="606">
        <v>873.1</v>
      </c>
      <c r="N27" s="216">
        <f t="shared" si="2"/>
        <v>17</v>
      </c>
      <c r="O27" s="701">
        <f t="shared" si="3"/>
        <v>3831.2</v>
      </c>
    </row>
    <row r="28" spans="1:15" ht="19.5" customHeight="1">
      <c r="A28" s="12" t="s">
        <v>32</v>
      </c>
      <c r="B28" s="13">
        <f>ApIII!R21</f>
        <v>2</v>
      </c>
      <c r="C28" s="692">
        <f>ApIII!S21</f>
        <v>642.4</v>
      </c>
      <c r="D28" s="13">
        <f>ApVII!AB19</f>
        <v>8</v>
      </c>
      <c r="E28" s="692">
        <f>ApVII!AC19</f>
        <v>3762.4999999999995</v>
      </c>
      <c r="F28" s="17">
        <f>ApX!T23</f>
        <v>18</v>
      </c>
      <c r="G28" s="692">
        <f>ApX!U23</f>
        <v>2039.5</v>
      </c>
      <c r="H28" s="13" t="s">
        <v>12</v>
      </c>
      <c r="I28" s="692" t="s">
        <v>12</v>
      </c>
      <c r="J28" s="15">
        <f>ApXII!Z25</f>
        <v>17</v>
      </c>
      <c r="K28" s="692">
        <f>ApXII!AA25</f>
        <v>575</v>
      </c>
      <c r="L28" s="13">
        <v>3</v>
      </c>
      <c r="M28" s="606">
        <v>329.9</v>
      </c>
      <c r="N28" s="216">
        <f t="shared" si="2"/>
        <v>48</v>
      </c>
      <c r="O28" s="701">
        <f t="shared" si="3"/>
        <v>7349.299999999999</v>
      </c>
    </row>
    <row r="29" spans="1:15" ht="19.5" customHeight="1">
      <c r="A29" s="12" t="s">
        <v>33</v>
      </c>
      <c r="B29" s="13"/>
      <c r="C29" s="692"/>
      <c r="D29" s="13">
        <f>ApVII!AB20</f>
        <v>2</v>
      </c>
      <c r="E29" s="692">
        <f>ApVII!AC20</f>
        <v>671.6</v>
      </c>
      <c r="F29" s="17">
        <f>ApX!T24</f>
        <v>10</v>
      </c>
      <c r="G29" s="692">
        <f>ApX!U24</f>
        <v>1044.1</v>
      </c>
      <c r="H29" s="13" t="s">
        <v>12</v>
      </c>
      <c r="I29" s="692" t="s">
        <v>12</v>
      </c>
      <c r="J29" s="13">
        <f>ApXII!Z26</f>
        <v>7</v>
      </c>
      <c r="K29" s="692">
        <f>ApXII!AA26</f>
        <v>661.4000000000001</v>
      </c>
      <c r="L29" s="13" t="s">
        <v>12</v>
      </c>
      <c r="M29" s="13" t="s">
        <v>12</v>
      </c>
      <c r="N29" s="833">
        <f>SUM(B29,D29,F29,H29,J29,L29)</f>
        <v>19</v>
      </c>
      <c r="O29" s="701">
        <f t="shared" si="3"/>
        <v>2377.1</v>
      </c>
    </row>
    <row r="30" spans="1:21" s="358" customFormat="1" ht="19.5" customHeight="1">
      <c r="A30" s="18" t="s">
        <v>34</v>
      </c>
      <c r="B30" s="19">
        <f>ApIII!R22</f>
        <v>2</v>
      </c>
      <c r="C30" s="693">
        <f>ApIII!S22</f>
        <v>251</v>
      </c>
      <c r="D30" s="1158">
        <f>ApVII!AB21</f>
        <v>3</v>
      </c>
      <c r="E30" s="1159">
        <f>ApVII!AC21</f>
        <v>1559.2</v>
      </c>
      <c r="F30" s="20">
        <f>ApX!T25</f>
        <v>17</v>
      </c>
      <c r="G30" s="693">
        <f>ApX!U25</f>
        <v>1634</v>
      </c>
      <c r="H30" s="19" t="s">
        <v>12</v>
      </c>
      <c r="I30" s="693" t="s">
        <v>12</v>
      </c>
      <c r="J30" s="357">
        <f>ApXII!Z27</f>
        <v>14</v>
      </c>
      <c r="K30" s="693">
        <f>ApXII!AA27</f>
        <v>811.7</v>
      </c>
      <c r="L30" s="19">
        <v>3</v>
      </c>
      <c r="M30" s="733">
        <v>299.1</v>
      </c>
      <c r="N30" s="217">
        <f t="shared" si="2"/>
        <v>39</v>
      </c>
      <c r="O30" s="702">
        <f t="shared" si="3"/>
        <v>4555</v>
      </c>
      <c r="P30" s="350"/>
      <c r="Q30" s="350"/>
      <c r="R30" s="350"/>
      <c r="S30" s="350"/>
      <c r="T30" s="350"/>
      <c r="U30" s="350"/>
    </row>
    <row r="31" spans="1:15" ht="21.75" customHeight="1">
      <c r="A31" s="735" t="s">
        <v>35</v>
      </c>
      <c r="B31" s="750"/>
      <c r="C31" s="737"/>
      <c r="D31" s="741"/>
      <c r="E31" s="737"/>
      <c r="F31" s="739"/>
      <c r="G31" s="740"/>
      <c r="H31" s="741"/>
      <c r="I31" s="737"/>
      <c r="J31" s="736"/>
      <c r="K31" s="737"/>
      <c r="L31" s="741"/>
      <c r="M31" s="741"/>
      <c r="N31" s="751"/>
      <c r="O31" s="752"/>
    </row>
    <row r="32" spans="1:15" ht="21.75" customHeight="1">
      <c r="A32" s="12" t="s">
        <v>348</v>
      </c>
      <c r="B32" s="13" t="s">
        <v>12</v>
      </c>
      <c r="C32" s="692" t="s">
        <v>12</v>
      </c>
      <c r="D32" s="13">
        <f>ApVII!AB22</f>
        <v>0</v>
      </c>
      <c r="E32" s="692">
        <f>ApVII!AC22</f>
        <v>0</v>
      </c>
      <c r="F32" s="13">
        <f>ApX!T27</f>
        <v>1</v>
      </c>
      <c r="G32" s="606">
        <f>ApX!U27</f>
        <v>156.4</v>
      </c>
      <c r="H32" s="13" t="s">
        <v>12</v>
      </c>
      <c r="I32" s="692" t="s">
        <v>12</v>
      </c>
      <c r="J32" s="13">
        <f>ApXII!Z28</f>
        <v>0</v>
      </c>
      <c r="K32" s="692">
        <f>ApXII!AA28</f>
        <v>0</v>
      </c>
      <c r="L32" s="13" t="s">
        <v>12</v>
      </c>
      <c r="M32" s="13" t="s">
        <v>12</v>
      </c>
      <c r="N32" s="216">
        <f>SUM(B32,D32,F32,H32,J32,L32)</f>
        <v>1</v>
      </c>
      <c r="O32" s="701">
        <f>SUM(C32,E32,G32,I32,K32,M32)</f>
        <v>156.4</v>
      </c>
    </row>
    <row r="33" spans="1:15" ht="19.5" customHeight="1">
      <c r="A33" s="12" t="s">
        <v>162</v>
      </c>
      <c r="B33" s="13" t="s">
        <v>12</v>
      </c>
      <c r="C33" s="692" t="s">
        <v>12</v>
      </c>
      <c r="D33" s="13">
        <f>ApVII!AB23</f>
        <v>2</v>
      </c>
      <c r="E33" s="692">
        <f>ApVII!AC23</f>
        <v>734.8</v>
      </c>
      <c r="F33" s="13">
        <f>ApX!T28</f>
        <v>3</v>
      </c>
      <c r="G33" s="692">
        <f>ApX!U28</f>
        <v>783.8</v>
      </c>
      <c r="H33" s="13" t="s">
        <v>12</v>
      </c>
      <c r="I33" s="692" t="s">
        <v>12</v>
      </c>
      <c r="J33" s="13">
        <f>ApXII!Z29</f>
        <v>2</v>
      </c>
      <c r="K33" s="692">
        <f>ApXII!AA29</f>
        <v>187.2</v>
      </c>
      <c r="L33" s="13" t="s">
        <v>12</v>
      </c>
      <c r="M33" s="13" t="s">
        <v>12</v>
      </c>
      <c r="N33" s="216">
        <f>SUM(B33,D33,F33,H33,J33,L33)</f>
        <v>7</v>
      </c>
      <c r="O33" s="701">
        <f aca="true" t="shared" si="4" ref="O33:O54">SUM(C33,E33,G33,I33,K33,M33)</f>
        <v>1705.8</v>
      </c>
    </row>
    <row r="34" spans="1:15" ht="19.5" customHeight="1">
      <c r="A34" s="12" t="s">
        <v>357</v>
      </c>
      <c r="B34" s="13" t="s">
        <v>12</v>
      </c>
      <c r="C34" s="692" t="s">
        <v>12</v>
      </c>
      <c r="D34" s="13" t="s">
        <v>12</v>
      </c>
      <c r="E34" s="692" t="s">
        <v>12</v>
      </c>
      <c r="F34" s="13">
        <f>ApX!T29</f>
        <v>1</v>
      </c>
      <c r="G34" s="606">
        <f>ApX!U29</f>
        <v>125.1</v>
      </c>
      <c r="H34" s="13" t="s">
        <v>12</v>
      </c>
      <c r="I34" s="692" t="s">
        <v>12</v>
      </c>
      <c r="J34" s="13" t="s">
        <v>12</v>
      </c>
      <c r="K34" s="692" t="s">
        <v>12</v>
      </c>
      <c r="L34" s="13" t="s">
        <v>12</v>
      </c>
      <c r="M34" s="13" t="s">
        <v>12</v>
      </c>
      <c r="N34" s="216">
        <f>SUM(B34,D34,F34,H34,J34,L34)</f>
        <v>1</v>
      </c>
      <c r="O34" s="701">
        <f>SUM(C34,E34,G34,I34,K34,M34)</f>
        <v>125.1</v>
      </c>
    </row>
    <row r="35" spans="1:15" ht="19.5" customHeight="1">
      <c r="A35" s="12" t="s">
        <v>194</v>
      </c>
      <c r="B35" s="13" t="s">
        <v>12</v>
      </c>
      <c r="C35" s="692" t="s">
        <v>12</v>
      </c>
      <c r="D35" s="13" t="s">
        <v>12</v>
      </c>
      <c r="E35" s="692" t="s">
        <v>12</v>
      </c>
      <c r="F35" s="13">
        <f>ApX!T30</f>
        <v>2</v>
      </c>
      <c r="G35" s="692">
        <f>ApX!U30</f>
        <v>241</v>
      </c>
      <c r="H35" s="13" t="s">
        <v>12</v>
      </c>
      <c r="I35" s="692" t="s">
        <v>12</v>
      </c>
      <c r="J35" s="13" t="s">
        <v>12</v>
      </c>
      <c r="K35" s="692" t="s">
        <v>12</v>
      </c>
      <c r="L35" s="13" t="s">
        <v>12</v>
      </c>
      <c r="M35" s="13" t="s">
        <v>12</v>
      </c>
      <c r="N35" s="216">
        <f>SUM(B35,D35,F35,H35,J35,L35)</f>
        <v>2</v>
      </c>
      <c r="O35" s="701">
        <f t="shared" si="4"/>
        <v>241</v>
      </c>
    </row>
    <row r="36" spans="1:15" ht="21.75" customHeight="1">
      <c r="A36" s="742" t="s">
        <v>70</v>
      </c>
      <c r="B36" s="755"/>
      <c r="C36" s="746"/>
      <c r="D36" s="755"/>
      <c r="E36" s="746"/>
      <c r="F36" s="743"/>
      <c r="G36" s="746"/>
      <c r="H36" s="745"/>
      <c r="I36" s="744"/>
      <c r="J36" s="756"/>
      <c r="K36" s="746"/>
      <c r="L36" s="755"/>
      <c r="M36" s="755"/>
      <c r="N36" s="748"/>
      <c r="O36" s="749"/>
    </row>
    <row r="37" spans="1:15" ht="19.5" customHeight="1">
      <c r="A37" s="12" t="s">
        <v>195</v>
      </c>
      <c r="B37" s="13">
        <f>ApIII!R24</f>
        <v>1</v>
      </c>
      <c r="C37" s="692">
        <f>ApIII!S24</f>
        <v>1052.4</v>
      </c>
      <c r="D37" s="13" t="s">
        <v>12</v>
      </c>
      <c r="E37" s="692" t="s">
        <v>12</v>
      </c>
      <c r="F37" s="13">
        <f>ApX!T32</f>
        <v>2</v>
      </c>
      <c r="G37" s="692">
        <f>ApX!U32</f>
        <v>339.2</v>
      </c>
      <c r="H37" s="13" t="s">
        <v>12</v>
      </c>
      <c r="I37" s="692" t="s">
        <v>12</v>
      </c>
      <c r="J37" s="13">
        <f>ApXII!Z31</f>
        <v>1</v>
      </c>
      <c r="K37" s="606">
        <f>ApXII!AA31</f>
        <v>5.5</v>
      </c>
      <c r="L37" s="13" t="s">
        <v>12</v>
      </c>
      <c r="M37" s="13" t="s">
        <v>12</v>
      </c>
      <c r="N37" s="216">
        <f aca="true" t="shared" si="5" ref="N37:N57">SUM(B37,D37,F37,H37,J37,L37)</f>
        <v>4</v>
      </c>
      <c r="O37" s="701">
        <f t="shared" si="4"/>
        <v>1397.1000000000001</v>
      </c>
    </row>
    <row r="38" spans="1:15" ht="19.5" customHeight="1">
      <c r="A38" s="12" t="s">
        <v>38</v>
      </c>
      <c r="B38" s="13"/>
      <c r="C38" s="692"/>
      <c r="D38" s="13" t="s">
        <v>12</v>
      </c>
      <c r="E38" s="692" t="s">
        <v>12</v>
      </c>
      <c r="F38" s="13">
        <f>ApX!T33</f>
        <v>1</v>
      </c>
      <c r="G38" s="692">
        <f>ApX!U33</f>
        <v>121.4</v>
      </c>
      <c r="H38" s="13" t="s">
        <v>12</v>
      </c>
      <c r="I38" s="692" t="s">
        <v>12</v>
      </c>
      <c r="J38" s="13">
        <f>ApXII!Z32</f>
        <v>3</v>
      </c>
      <c r="K38" s="606">
        <f>ApXII!AA32</f>
        <v>145.5</v>
      </c>
      <c r="L38" s="13" t="s">
        <v>12</v>
      </c>
      <c r="M38" s="13" t="s">
        <v>12</v>
      </c>
      <c r="N38" s="216">
        <f t="shared" si="5"/>
        <v>4</v>
      </c>
      <c r="O38" s="701">
        <f t="shared" si="4"/>
        <v>266.9</v>
      </c>
    </row>
    <row r="39" spans="1:15" ht="19.5" customHeight="1">
      <c r="A39" s="12" t="s">
        <v>39</v>
      </c>
      <c r="B39" s="13">
        <f>ApIII!R25</f>
        <v>2</v>
      </c>
      <c r="C39" s="692">
        <f>ApIII!S25</f>
        <v>3193.5</v>
      </c>
      <c r="D39" s="13" t="s">
        <v>12</v>
      </c>
      <c r="E39" s="692" t="s">
        <v>12</v>
      </c>
      <c r="F39" s="13" t="s">
        <v>12</v>
      </c>
      <c r="G39" s="692" t="s">
        <v>12</v>
      </c>
      <c r="H39" s="13" t="s">
        <v>12</v>
      </c>
      <c r="I39" s="692" t="s">
        <v>12</v>
      </c>
      <c r="J39" s="13" t="s">
        <v>12</v>
      </c>
      <c r="K39" s="692" t="s">
        <v>12</v>
      </c>
      <c r="L39" s="13" t="s">
        <v>12</v>
      </c>
      <c r="M39" s="13" t="s">
        <v>12</v>
      </c>
      <c r="N39" s="216">
        <f t="shared" si="5"/>
        <v>2</v>
      </c>
      <c r="O39" s="701">
        <f t="shared" si="4"/>
        <v>3193.5</v>
      </c>
    </row>
    <row r="40" spans="1:15" ht="19.5" customHeight="1">
      <c r="A40" s="12" t="s">
        <v>40</v>
      </c>
      <c r="B40" s="13" t="s">
        <v>12</v>
      </c>
      <c r="C40" s="692" t="s">
        <v>12</v>
      </c>
      <c r="D40" s="13" t="s">
        <v>12</v>
      </c>
      <c r="E40" s="692" t="s">
        <v>12</v>
      </c>
      <c r="F40" s="13">
        <f>ApX!T34</f>
        <v>3</v>
      </c>
      <c r="G40" s="692">
        <f>ApX!U34</f>
        <v>289.5</v>
      </c>
      <c r="H40" s="13" t="s">
        <v>12</v>
      </c>
      <c r="I40" s="692" t="s">
        <v>12</v>
      </c>
      <c r="J40" s="13" t="s">
        <v>12</v>
      </c>
      <c r="K40" s="692" t="s">
        <v>12</v>
      </c>
      <c r="L40" s="13" t="s">
        <v>12</v>
      </c>
      <c r="M40" s="13" t="s">
        <v>12</v>
      </c>
      <c r="N40" s="216">
        <f t="shared" si="5"/>
        <v>3</v>
      </c>
      <c r="O40" s="701">
        <f t="shared" si="4"/>
        <v>289.5</v>
      </c>
    </row>
    <row r="41" spans="1:15" ht="19.5" customHeight="1">
      <c r="A41" s="12" t="s">
        <v>353</v>
      </c>
      <c r="B41" s="13" t="s">
        <v>12</v>
      </c>
      <c r="C41" s="692" t="s">
        <v>12</v>
      </c>
      <c r="D41" s="13" t="s">
        <v>12</v>
      </c>
      <c r="E41" s="692" t="s">
        <v>12</v>
      </c>
      <c r="F41" s="13">
        <f>ApX!T35</f>
        <v>2</v>
      </c>
      <c r="G41" s="606">
        <f>ApX!U35</f>
        <v>189.4</v>
      </c>
      <c r="H41" s="13" t="s">
        <v>12</v>
      </c>
      <c r="I41" s="692" t="s">
        <v>12</v>
      </c>
      <c r="J41" s="13">
        <f>ApXII!Z33</f>
        <v>5</v>
      </c>
      <c r="K41" s="606">
        <f>ApXII!AA33</f>
        <v>27.5</v>
      </c>
      <c r="L41" s="13" t="s">
        <v>12</v>
      </c>
      <c r="M41" s="13" t="s">
        <v>12</v>
      </c>
      <c r="N41" s="216">
        <f>SUM(B41,D41,F41,H41,J41,L41)</f>
        <v>7</v>
      </c>
      <c r="O41" s="701">
        <f>SUM(C41,E41,G41,I41,K41,M41)</f>
        <v>216.9</v>
      </c>
    </row>
    <row r="42" spans="1:15" ht="19.5" customHeight="1">
      <c r="A42" s="12" t="s">
        <v>41</v>
      </c>
      <c r="B42" s="13">
        <f>ApIII!R26</f>
        <v>2</v>
      </c>
      <c r="C42" s="692">
        <f>ApIII!S26</f>
        <v>347.6</v>
      </c>
      <c r="D42" s="13">
        <f>ApVII!AB25</f>
        <v>2</v>
      </c>
      <c r="E42" s="606">
        <f>ApVII!AC25</f>
        <v>173.9</v>
      </c>
      <c r="F42" s="13">
        <f>ApX!T36</f>
        <v>1</v>
      </c>
      <c r="G42" s="692">
        <f>ApX!U36</f>
        <v>165.9</v>
      </c>
      <c r="H42" s="13" t="s">
        <v>12</v>
      </c>
      <c r="I42" s="692" t="s">
        <v>12</v>
      </c>
      <c r="J42" s="13">
        <f>ApXII!Z34</f>
        <v>2</v>
      </c>
      <c r="K42" s="606">
        <f>ApXII!AA34</f>
        <v>97</v>
      </c>
      <c r="L42" s="13" t="s">
        <v>12</v>
      </c>
      <c r="M42" s="13" t="s">
        <v>12</v>
      </c>
      <c r="N42" s="216">
        <f t="shared" si="5"/>
        <v>7</v>
      </c>
      <c r="O42" s="701">
        <f t="shared" si="4"/>
        <v>784.4</v>
      </c>
    </row>
    <row r="43" spans="1:15" ht="19.5" customHeight="1">
      <c r="A43" s="12" t="s">
        <v>235</v>
      </c>
      <c r="B43" s="13">
        <f>ApIII!R27</f>
        <v>2</v>
      </c>
      <c r="C43" s="692">
        <f>ApIII!S27</f>
        <v>297.4</v>
      </c>
      <c r="D43" s="13" t="s">
        <v>12</v>
      </c>
      <c r="E43" s="692" t="s">
        <v>12</v>
      </c>
      <c r="F43" s="13" t="s">
        <v>12</v>
      </c>
      <c r="G43" s="692" t="s">
        <v>12</v>
      </c>
      <c r="H43" s="13" t="s">
        <v>12</v>
      </c>
      <c r="I43" s="692" t="s">
        <v>12</v>
      </c>
      <c r="J43" s="13"/>
      <c r="K43" s="692"/>
      <c r="L43" s="13" t="s">
        <v>12</v>
      </c>
      <c r="M43" s="13" t="s">
        <v>12</v>
      </c>
      <c r="N43" s="216">
        <f t="shared" si="5"/>
        <v>2</v>
      </c>
      <c r="O43" s="701">
        <f>SUM(C43,E43,G43,I43,K43,M43)</f>
        <v>297.4</v>
      </c>
    </row>
    <row r="44" spans="1:15" ht="19.5" customHeight="1">
      <c r="A44" s="12" t="s">
        <v>42</v>
      </c>
      <c r="B44" s="13">
        <f>ApIII!R28</f>
        <v>2</v>
      </c>
      <c r="C44" s="692">
        <f>ApIII!S28</f>
        <v>324.4</v>
      </c>
      <c r="D44" s="13">
        <f>ApVII!AB26</f>
        <v>3</v>
      </c>
      <c r="E44" s="606">
        <f>ApVII!AC26</f>
        <v>513.3</v>
      </c>
      <c r="F44" s="13">
        <f>ApX!T37</f>
        <v>10</v>
      </c>
      <c r="G44" s="692">
        <f>ApX!U37</f>
        <v>1263.2</v>
      </c>
      <c r="H44" s="13" t="s">
        <v>12</v>
      </c>
      <c r="I44" s="692" t="s">
        <v>12</v>
      </c>
      <c r="J44" s="13">
        <f>ApXII!Z35</f>
        <v>10</v>
      </c>
      <c r="K44" s="692">
        <f>ApXII!AA35</f>
        <v>300</v>
      </c>
      <c r="L44" s="13" t="s">
        <v>12</v>
      </c>
      <c r="M44" s="13" t="s">
        <v>12</v>
      </c>
      <c r="N44" s="216">
        <f t="shared" si="5"/>
        <v>25</v>
      </c>
      <c r="O44" s="701">
        <f t="shared" si="4"/>
        <v>2400.9</v>
      </c>
    </row>
    <row r="45" spans="1:15" ht="19.5" customHeight="1">
      <c r="A45" s="12" t="s">
        <v>166</v>
      </c>
      <c r="B45" s="13">
        <f>ApIII!R29</f>
        <v>18</v>
      </c>
      <c r="C45" s="692">
        <f>ApIII!S29</f>
        <v>2371.66</v>
      </c>
      <c r="D45" s="13" t="s">
        <v>12</v>
      </c>
      <c r="E45" s="692" t="s">
        <v>12</v>
      </c>
      <c r="F45" s="13" t="s">
        <v>12</v>
      </c>
      <c r="G45" s="692" t="s">
        <v>12</v>
      </c>
      <c r="H45" s="13" t="s">
        <v>12</v>
      </c>
      <c r="I45" s="692" t="s">
        <v>12</v>
      </c>
      <c r="J45" s="13" t="s">
        <v>12</v>
      </c>
      <c r="K45" s="692" t="s">
        <v>12</v>
      </c>
      <c r="L45" s="13" t="s">
        <v>12</v>
      </c>
      <c r="M45" s="13" t="s">
        <v>12</v>
      </c>
      <c r="N45" s="216">
        <f t="shared" si="5"/>
        <v>18</v>
      </c>
      <c r="O45" s="701">
        <f>SUM(C45,E45,G45,I45,K45,M45)</f>
        <v>2371.66</v>
      </c>
    </row>
    <row r="46" spans="1:15" ht="19.5" customHeight="1">
      <c r="A46" s="12" t="s">
        <v>43</v>
      </c>
      <c r="B46" s="13">
        <f>ApIII!R30</f>
        <v>8</v>
      </c>
      <c r="C46" s="692">
        <f>ApIII!S30</f>
        <v>912.5</v>
      </c>
      <c r="D46" s="13" t="s">
        <v>12</v>
      </c>
      <c r="E46" s="692" t="s">
        <v>12</v>
      </c>
      <c r="F46" s="13">
        <f>ApX!T38</f>
        <v>9</v>
      </c>
      <c r="G46" s="692">
        <f>ApX!U38</f>
        <v>1326.4</v>
      </c>
      <c r="H46" s="13" t="s">
        <v>12</v>
      </c>
      <c r="I46" s="692" t="s">
        <v>12</v>
      </c>
      <c r="J46" s="13" t="s">
        <v>12</v>
      </c>
      <c r="K46" s="692" t="s">
        <v>12</v>
      </c>
      <c r="L46" s="13" t="s">
        <v>12</v>
      </c>
      <c r="M46" s="13" t="s">
        <v>12</v>
      </c>
      <c r="N46" s="216">
        <f t="shared" si="5"/>
        <v>17</v>
      </c>
      <c r="O46" s="701">
        <f>SUM(C46,E46,G46,I46,K46,M46)</f>
        <v>2238.9</v>
      </c>
    </row>
    <row r="47" spans="1:15" ht="19.5" customHeight="1">
      <c r="A47" s="12" t="s">
        <v>44</v>
      </c>
      <c r="B47" s="13" t="s">
        <v>12</v>
      </c>
      <c r="C47" s="692" t="s">
        <v>12</v>
      </c>
      <c r="D47" s="13" t="s">
        <v>12</v>
      </c>
      <c r="E47" s="692" t="s">
        <v>12</v>
      </c>
      <c r="F47" s="13">
        <f>ApX!T39</f>
        <v>4</v>
      </c>
      <c r="G47" s="692">
        <f>ApX!U39</f>
        <v>552.8</v>
      </c>
      <c r="H47" s="13" t="s">
        <v>12</v>
      </c>
      <c r="I47" s="692" t="s">
        <v>12</v>
      </c>
      <c r="J47" s="13" t="s">
        <v>12</v>
      </c>
      <c r="K47" s="692" t="s">
        <v>12</v>
      </c>
      <c r="L47" s="13" t="s">
        <v>12</v>
      </c>
      <c r="M47" s="13" t="s">
        <v>12</v>
      </c>
      <c r="N47" s="216">
        <f t="shared" si="5"/>
        <v>4</v>
      </c>
      <c r="O47" s="701">
        <f t="shared" si="4"/>
        <v>552.8</v>
      </c>
    </row>
    <row r="48" spans="1:21" s="1185" customFormat="1" ht="19.5" customHeight="1">
      <c r="A48" s="1178" t="s">
        <v>512</v>
      </c>
      <c r="B48" s="1179" t="s">
        <v>12</v>
      </c>
      <c r="C48" s="1180" t="s">
        <v>12</v>
      </c>
      <c r="D48" s="1179" t="s">
        <v>12</v>
      </c>
      <c r="E48" s="1180" t="s">
        <v>12</v>
      </c>
      <c r="F48" s="1181"/>
      <c r="G48" s="1180"/>
      <c r="H48" s="1179" t="s">
        <v>12</v>
      </c>
      <c r="I48" s="1180" t="s">
        <v>12</v>
      </c>
      <c r="J48" s="1179">
        <f>ApXII!Z36</f>
        <v>1</v>
      </c>
      <c r="K48" s="1180">
        <f>ApXII!AA36</f>
        <v>48.5</v>
      </c>
      <c r="L48" s="1179" t="s">
        <v>12</v>
      </c>
      <c r="M48" s="1179" t="s">
        <v>12</v>
      </c>
      <c r="N48" s="1182">
        <f t="shared" si="5"/>
        <v>1</v>
      </c>
      <c r="O48" s="1183">
        <f t="shared" si="4"/>
        <v>48.5</v>
      </c>
      <c r="P48" s="1184"/>
      <c r="Q48" s="1184"/>
      <c r="R48" s="1184"/>
      <c r="S48" s="1184"/>
      <c r="T48" s="1184"/>
      <c r="U48" s="1184"/>
    </row>
    <row r="49" spans="1:15" ht="19.5" customHeight="1">
      <c r="A49" s="12" t="s">
        <v>45</v>
      </c>
      <c r="B49" s="13" t="s">
        <v>12</v>
      </c>
      <c r="C49" s="692" t="s">
        <v>12</v>
      </c>
      <c r="D49" s="13" t="s">
        <v>12</v>
      </c>
      <c r="E49" s="692" t="s">
        <v>12</v>
      </c>
      <c r="F49" s="15"/>
      <c r="G49" s="692"/>
      <c r="H49" s="13" t="s">
        <v>12</v>
      </c>
      <c r="I49" s="692" t="s">
        <v>12</v>
      </c>
      <c r="J49" s="13">
        <f>ApXII!Z37</f>
        <v>1</v>
      </c>
      <c r="K49" s="692">
        <f>ApXII!AA37</f>
        <v>5.5</v>
      </c>
      <c r="L49" s="13" t="s">
        <v>12</v>
      </c>
      <c r="M49" s="13" t="s">
        <v>12</v>
      </c>
      <c r="N49" s="216">
        <f>SUM(B49,D49,F49,H49,J49,L49)</f>
        <v>1</v>
      </c>
      <c r="O49" s="701">
        <f>SUM(C49,E49,G49,I49,K49,M49)</f>
        <v>5.5</v>
      </c>
    </row>
    <row r="50" spans="1:15" ht="19.5" customHeight="1">
      <c r="A50" s="12" t="s">
        <v>46</v>
      </c>
      <c r="B50" s="13" t="s">
        <v>12</v>
      </c>
      <c r="C50" s="692" t="s">
        <v>12</v>
      </c>
      <c r="D50" s="13" t="s">
        <v>12</v>
      </c>
      <c r="E50" s="692" t="s">
        <v>12</v>
      </c>
      <c r="F50" s="13">
        <f>ApX!T40</f>
        <v>1</v>
      </c>
      <c r="G50" s="692">
        <f>ApX!U40</f>
        <v>219.1</v>
      </c>
      <c r="H50" s="13" t="s">
        <v>12</v>
      </c>
      <c r="I50" s="692" t="s">
        <v>12</v>
      </c>
      <c r="J50" s="13">
        <f>ApXII!Z38</f>
        <v>2</v>
      </c>
      <c r="K50" s="692">
        <f>ApXII!AA38</f>
        <v>11</v>
      </c>
      <c r="L50" s="13" t="s">
        <v>12</v>
      </c>
      <c r="M50" s="13" t="s">
        <v>12</v>
      </c>
      <c r="N50" s="216">
        <f t="shared" si="5"/>
        <v>3</v>
      </c>
      <c r="O50" s="701">
        <f t="shared" si="4"/>
        <v>230.1</v>
      </c>
    </row>
    <row r="51" spans="1:15" ht="19.5" customHeight="1">
      <c r="A51" s="12" t="s">
        <v>47</v>
      </c>
      <c r="B51" s="13">
        <f>ApIII!R31</f>
        <v>1</v>
      </c>
      <c r="C51" s="692">
        <f>ApIII!S31</f>
        <v>474.65000000000003</v>
      </c>
      <c r="D51" s="13" t="s">
        <v>12</v>
      </c>
      <c r="E51" s="692" t="s">
        <v>12</v>
      </c>
      <c r="F51" s="13" t="s">
        <v>12</v>
      </c>
      <c r="G51" s="692" t="s">
        <v>12</v>
      </c>
      <c r="H51" s="13" t="s">
        <v>12</v>
      </c>
      <c r="I51" s="692" t="s">
        <v>12</v>
      </c>
      <c r="J51" s="13">
        <f>ApXII!Z40</f>
        <v>3</v>
      </c>
      <c r="K51" s="692">
        <f>ApXII!AA40</f>
        <v>145.5</v>
      </c>
      <c r="L51" s="13" t="s">
        <v>12</v>
      </c>
      <c r="M51" s="13" t="s">
        <v>12</v>
      </c>
      <c r="N51" s="216">
        <f t="shared" si="5"/>
        <v>4</v>
      </c>
      <c r="O51" s="701">
        <f t="shared" si="4"/>
        <v>620.1500000000001</v>
      </c>
    </row>
    <row r="52" spans="1:15" ht="19.5" customHeight="1">
      <c r="A52" s="12" t="s">
        <v>48</v>
      </c>
      <c r="B52" s="13">
        <f>ApIII!R32</f>
        <v>1</v>
      </c>
      <c r="C52" s="692">
        <f>ApIII!S32</f>
        <v>436</v>
      </c>
      <c r="D52" s="13" t="s">
        <v>12</v>
      </c>
      <c r="E52" s="692" t="s">
        <v>12</v>
      </c>
      <c r="F52" s="13" t="s">
        <v>12</v>
      </c>
      <c r="G52" s="692" t="s">
        <v>12</v>
      </c>
      <c r="H52" s="13" t="s">
        <v>12</v>
      </c>
      <c r="I52" s="692" t="s">
        <v>12</v>
      </c>
      <c r="J52" s="13" t="s">
        <v>12</v>
      </c>
      <c r="K52" s="692" t="s">
        <v>12</v>
      </c>
      <c r="L52" s="13" t="s">
        <v>12</v>
      </c>
      <c r="M52" s="13" t="s">
        <v>12</v>
      </c>
      <c r="N52" s="216">
        <f t="shared" si="5"/>
        <v>1</v>
      </c>
      <c r="O52" s="701">
        <f t="shared" si="4"/>
        <v>436</v>
      </c>
    </row>
    <row r="53" spans="1:15" ht="19.5" customHeight="1">
      <c r="A53" s="12" t="s">
        <v>49</v>
      </c>
      <c r="B53" s="13"/>
      <c r="C53" s="692"/>
      <c r="D53" s="13" t="s">
        <v>12</v>
      </c>
      <c r="E53" s="692" t="s">
        <v>12</v>
      </c>
      <c r="F53" s="13" t="s">
        <v>12</v>
      </c>
      <c r="G53" s="692" t="s">
        <v>12</v>
      </c>
      <c r="H53" s="13" t="s">
        <v>12</v>
      </c>
      <c r="I53" s="692" t="s">
        <v>12</v>
      </c>
      <c r="J53" s="13">
        <v>9</v>
      </c>
      <c r="K53" s="692">
        <v>49.5</v>
      </c>
      <c r="L53" s="13" t="s">
        <v>12</v>
      </c>
      <c r="M53" s="13" t="s">
        <v>12</v>
      </c>
      <c r="N53" s="216">
        <f>SUM(B53,D53,F53,H53,J53,L53)</f>
        <v>9</v>
      </c>
      <c r="O53" s="701">
        <f>SUM(C53,E53,G53,I53,K53,M53)</f>
        <v>49.5</v>
      </c>
    </row>
    <row r="54" spans="1:15" ht="19.5" customHeight="1">
      <c r="A54" s="12" t="s">
        <v>196</v>
      </c>
      <c r="B54" s="13" t="s">
        <v>12</v>
      </c>
      <c r="C54" s="692" t="s">
        <v>12</v>
      </c>
      <c r="D54" s="13" t="s">
        <v>12</v>
      </c>
      <c r="E54" s="692" t="s">
        <v>12</v>
      </c>
      <c r="F54" s="13">
        <f>ApX!T41</f>
        <v>2</v>
      </c>
      <c r="G54" s="692">
        <f>ApX!U41</f>
        <v>250.7</v>
      </c>
      <c r="H54" s="13" t="s">
        <v>12</v>
      </c>
      <c r="I54" s="692" t="s">
        <v>12</v>
      </c>
      <c r="J54" s="13" t="s">
        <v>12</v>
      </c>
      <c r="K54" s="692" t="s">
        <v>12</v>
      </c>
      <c r="L54" s="13" t="s">
        <v>12</v>
      </c>
      <c r="M54" s="13" t="s">
        <v>12</v>
      </c>
      <c r="N54" s="216">
        <f t="shared" si="5"/>
        <v>2</v>
      </c>
      <c r="O54" s="701">
        <f t="shared" si="4"/>
        <v>250.7</v>
      </c>
    </row>
    <row r="55" spans="1:15" ht="19.5" customHeight="1">
      <c r="A55" s="12" t="s">
        <v>50</v>
      </c>
      <c r="B55" s="13">
        <f>ApIII!R33</f>
        <v>8</v>
      </c>
      <c r="C55" s="692">
        <f>ApIII!S33</f>
        <v>1796.9</v>
      </c>
      <c r="D55" s="13" t="s">
        <v>12</v>
      </c>
      <c r="E55" s="692" t="s">
        <v>12</v>
      </c>
      <c r="F55" s="13">
        <f>ApX!T42</f>
        <v>2</v>
      </c>
      <c r="G55" s="692">
        <f>ApX!U42</f>
        <v>284.8</v>
      </c>
      <c r="H55" s="13" t="s">
        <v>12</v>
      </c>
      <c r="I55" s="692" t="s">
        <v>12</v>
      </c>
      <c r="J55" s="13">
        <v>3</v>
      </c>
      <c r="K55" s="606">
        <v>145.5</v>
      </c>
      <c r="L55" s="13" t="s">
        <v>12</v>
      </c>
      <c r="M55" s="13" t="s">
        <v>12</v>
      </c>
      <c r="N55" s="216">
        <f>SUM(B55,D55,F55,H55,J55,L55)</f>
        <v>13</v>
      </c>
      <c r="O55" s="701">
        <f>SUM(C55,E55,G55,I55,K55,M55)</f>
        <v>2227.2000000000003</v>
      </c>
    </row>
    <row r="56" spans="1:15" ht="19.5" customHeight="1">
      <c r="A56" s="12" t="s">
        <v>513</v>
      </c>
      <c r="B56" s="13"/>
      <c r="C56" s="692"/>
      <c r="D56" s="13" t="s">
        <v>12</v>
      </c>
      <c r="E56" s="692" t="s">
        <v>12</v>
      </c>
      <c r="F56" s="13"/>
      <c r="G56" s="692"/>
      <c r="H56" s="13" t="s">
        <v>12</v>
      </c>
      <c r="I56" s="692" t="s">
        <v>12</v>
      </c>
      <c r="J56" s="13">
        <f>ApXII!Z42</f>
        <v>5</v>
      </c>
      <c r="K56" s="606">
        <f>ApXII!AA42</f>
        <v>27.5</v>
      </c>
      <c r="L56" s="13" t="s">
        <v>12</v>
      </c>
      <c r="M56" s="13" t="s">
        <v>12</v>
      </c>
      <c r="N56" s="216">
        <f>SUM(B56,D56,F56,H56,J56,L56)</f>
        <v>5</v>
      </c>
      <c r="O56" s="701">
        <f>SUM(C56,E56,G56,I56,K56,M56)</f>
        <v>27.5</v>
      </c>
    </row>
    <row r="57" spans="1:15" ht="19.5" customHeight="1">
      <c r="A57" s="12" t="s">
        <v>51</v>
      </c>
      <c r="B57" s="13">
        <f>ApIII!R34</f>
        <v>6</v>
      </c>
      <c r="C57" s="692">
        <f>ApIII!S34</f>
        <v>42.2</v>
      </c>
      <c r="D57" s="13" t="s">
        <v>12</v>
      </c>
      <c r="E57" s="692" t="s">
        <v>12</v>
      </c>
      <c r="F57" s="13">
        <f>ApX!T43</f>
        <v>4</v>
      </c>
      <c r="G57" s="692">
        <f>ApX!U43</f>
        <v>426.3</v>
      </c>
      <c r="H57" s="13" t="s">
        <v>12</v>
      </c>
      <c r="I57" s="692" t="s">
        <v>12</v>
      </c>
      <c r="J57" s="13" t="s">
        <v>12</v>
      </c>
      <c r="K57" s="692" t="s">
        <v>12</v>
      </c>
      <c r="L57" s="13" t="s">
        <v>12</v>
      </c>
      <c r="M57" s="13" t="s">
        <v>12</v>
      </c>
      <c r="N57" s="216">
        <f t="shared" si="5"/>
        <v>10</v>
      </c>
      <c r="O57" s="701">
        <f>SUM(C57,E57,G57,I57,K57,M57)</f>
        <v>468.5</v>
      </c>
    </row>
    <row r="58" spans="1:15" ht="19.5" customHeight="1">
      <c r="A58" s="12" t="s">
        <v>183</v>
      </c>
      <c r="B58" s="13">
        <f>ApIII!R35</f>
        <v>7</v>
      </c>
      <c r="C58" s="692">
        <f>ApIII!S35</f>
        <v>1676.5</v>
      </c>
      <c r="D58" s="13" t="s">
        <v>12</v>
      </c>
      <c r="E58" s="692" t="s">
        <v>12</v>
      </c>
      <c r="F58" s="13">
        <f>ApX!T44</f>
        <v>1</v>
      </c>
      <c r="G58" s="692">
        <f>ApX!U44</f>
        <v>263.4</v>
      </c>
      <c r="H58" s="13" t="s">
        <v>12</v>
      </c>
      <c r="I58" s="692" t="s">
        <v>12</v>
      </c>
      <c r="J58" s="13" t="s">
        <v>12</v>
      </c>
      <c r="K58" s="692" t="s">
        <v>12</v>
      </c>
      <c r="L58" s="13" t="s">
        <v>12</v>
      </c>
      <c r="M58" s="13" t="s">
        <v>12</v>
      </c>
      <c r="N58" s="216">
        <f aca="true" t="shared" si="6" ref="N58:O61">SUM(B58,D58,F58,H58,J58,L58)</f>
        <v>8</v>
      </c>
      <c r="O58" s="701">
        <f t="shared" si="6"/>
        <v>1939.9</v>
      </c>
    </row>
    <row r="59" spans="1:17" ht="19.5" customHeight="1">
      <c r="A59" s="12" t="s">
        <v>52</v>
      </c>
      <c r="B59" s="13">
        <f>ApIII!R36</f>
        <v>1</v>
      </c>
      <c r="C59" s="692">
        <f>ApIII!S36</f>
        <v>156.5</v>
      </c>
      <c r="D59" s="13" t="s">
        <v>12</v>
      </c>
      <c r="E59" s="692" t="s">
        <v>12</v>
      </c>
      <c r="F59" s="13" t="s">
        <v>12</v>
      </c>
      <c r="G59" s="692" t="s">
        <v>12</v>
      </c>
      <c r="H59" s="13" t="s">
        <v>12</v>
      </c>
      <c r="I59" s="692" t="s">
        <v>12</v>
      </c>
      <c r="J59" s="13">
        <f>ApXII!Z43</f>
        <v>4</v>
      </c>
      <c r="K59" s="692">
        <f>ApXII!AA43</f>
        <v>117.4</v>
      </c>
      <c r="L59" s="13" t="s">
        <v>12</v>
      </c>
      <c r="M59" s="13" t="s">
        <v>12</v>
      </c>
      <c r="N59" s="216">
        <f t="shared" si="6"/>
        <v>5</v>
      </c>
      <c r="O59" s="701">
        <f t="shared" si="6"/>
        <v>273.9</v>
      </c>
      <c r="Q59" s="247"/>
    </row>
    <row r="60" spans="1:17" ht="18" customHeight="1">
      <c r="A60" s="12" t="s">
        <v>53</v>
      </c>
      <c r="B60" s="13" t="s">
        <v>12</v>
      </c>
      <c r="C60" s="692" t="s">
        <v>12</v>
      </c>
      <c r="D60" s="13" t="s">
        <v>12</v>
      </c>
      <c r="E60" s="692" t="s">
        <v>12</v>
      </c>
      <c r="F60" s="13">
        <f>ApX!T45</f>
        <v>3</v>
      </c>
      <c r="G60" s="692">
        <f>ApX!U45</f>
        <v>401.5</v>
      </c>
      <c r="H60" s="13" t="s">
        <v>12</v>
      </c>
      <c r="I60" s="692" t="s">
        <v>12</v>
      </c>
      <c r="J60" s="13">
        <f>ApXII!Z44</f>
        <v>4</v>
      </c>
      <c r="K60" s="692">
        <f>ApXII!AA44</f>
        <v>117.4</v>
      </c>
      <c r="L60" s="13" t="s">
        <v>12</v>
      </c>
      <c r="M60" s="13" t="s">
        <v>12</v>
      </c>
      <c r="N60" s="216">
        <f t="shared" si="6"/>
        <v>7</v>
      </c>
      <c r="O60" s="701">
        <f t="shared" si="6"/>
        <v>518.9</v>
      </c>
      <c r="Q60" s="247"/>
    </row>
    <row r="61" spans="1:21" s="354" customFormat="1" ht="18" customHeight="1">
      <c r="A61" s="12" t="s">
        <v>54</v>
      </c>
      <c r="B61" s="13" t="s">
        <v>12</v>
      </c>
      <c r="C61" s="692" t="s">
        <v>12</v>
      </c>
      <c r="D61" s="13" t="s">
        <v>12</v>
      </c>
      <c r="E61" s="692" t="s">
        <v>12</v>
      </c>
      <c r="F61" s="13" t="s">
        <v>12</v>
      </c>
      <c r="G61" s="692" t="s">
        <v>12</v>
      </c>
      <c r="H61" s="13" t="s">
        <v>12</v>
      </c>
      <c r="I61" s="692" t="s">
        <v>12</v>
      </c>
      <c r="J61" s="13">
        <f>ApXII!Z45</f>
        <v>4</v>
      </c>
      <c r="K61" s="692">
        <f>ApXII!AA45</f>
        <v>149.2</v>
      </c>
      <c r="L61" s="13" t="s">
        <v>12</v>
      </c>
      <c r="M61" s="13" t="s">
        <v>12</v>
      </c>
      <c r="N61" s="216">
        <f t="shared" si="6"/>
        <v>4</v>
      </c>
      <c r="O61" s="701">
        <f t="shared" si="6"/>
        <v>149.2</v>
      </c>
      <c r="P61" s="276"/>
      <c r="Q61" s="607"/>
      <c r="R61" s="276"/>
      <c r="S61" s="276"/>
      <c r="T61" s="276"/>
      <c r="U61" s="276"/>
    </row>
    <row r="62" spans="1:17" ht="18" customHeight="1">
      <c r="A62" s="18" t="s">
        <v>282</v>
      </c>
      <c r="B62" s="19" t="s">
        <v>12</v>
      </c>
      <c r="C62" s="693" t="s">
        <v>12</v>
      </c>
      <c r="D62" s="19" t="s">
        <v>12</v>
      </c>
      <c r="E62" s="693" t="s">
        <v>12</v>
      </c>
      <c r="F62" s="19" t="s">
        <v>12</v>
      </c>
      <c r="G62" s="693" t="s">
        <v>12</v>
      </c>
      <c r="H62" s="19" t="s">
        <v>12</v>
      </c>
      <c r="I62" s="693" t="s">
        <v>12</v>
      </c>
      <c r="J62" s="13">
        <f>ApXII!Z46</f>
        <v>3</v>
      </c>
      <c r="K62" s="692">
        <f>ApXII!AA46</f>
        <v>145.5</v>
      </c>
      <c r="L62" s="19" t="s">
        <v>12</v>
      </c>
      <c r="M62" s="19" t="s">
        <v>12</v>
      </c>
      <c r="N62" s="217">
        <f>SUM(B62,D62,F62,H62,J62,L62)</f>
        <v>3</v>
      </c>
      <c r="O62" s="702">
        <f>SUM(C62,E62,G62,I62,K62,M62)</f>
        <v>145.5</v>
      </c>
      <c r="Q62" s="247"/>
    </row>
    <row r="63" spans="1:17" ht="21.75" customHeight="1">
      <c r="A63" s="742" t="s">
        <v>154</v>
      </c>
      <c r="B63" s="755"/>
      <c r="C63" s="746"/>
      <c r="D63" s="755"/>
      <c r="E63" s="746"/>
      <c r="F63" s="755"/>
      <c r="G63" s="746"/>
      <c r="H63" s="755"/>
      <c r="I63" s="746"/>
      <c r="J63" s="755"/>
      <c r="K63" s="746"/>
      <c r="L63" s="755"/>
      <c r="M63" s="755"/>
      <c r="N63" s="748"/>
      <c r="O63" s="749"/>
      <c r="Q63" s="247"/>
    </row>
    <row r="64" spans="1:17" ht="21" customHeight="1">
      <c r="A64" s="78" t="s">
        <v>280</v>
      </c>
      <c r="B64" s="13" t="s">
        <v>12</v>
      </c>
      <c r="C64" s="692" t="s">
        <v>12</v>
      </c>
      <c r="D64" s="13" t="s">
        <v>12</v>
      </c>
      <c r="E64" s="692" t="s">
        <v>12</v>
      </c>
      <c r="F64" s="13">
        <f>ApX!T47</f>
        <v>1</v>
      </c>
      <c r="G64" s="606">
        <f>ApX!U47</f>
        <v>173.8</v>
      </c>
      <c r="H64" s="13" t="s">
        <v>12</v>
      </c>
      <c r="I64" s="692" t="s">
        <v>12</v>
      </c>
      <c r="J64" s="13" t="s">
        <v>12</v>
      </c>
      <c r="K64" s="692" t="s">
        <v>12</v>
      </c>
      <c r="L64" s="13" t="s">
        <v>12</v>
      </c>
      <c r="M64" s="13" t="s">
        <v>12</v>
      </c>
      <c r="N64" s="216">
        <f aca="true" t="shared" si="7" ref="N64:O66">SUM(B64,D64,F64,H64,J64,L64)</f>
        <v>1</v>
      </c>
      <c r="O64" s="701">
        <f t="shared" si="7"/>
        <v>173.8</v>
      </c>
      <c r="Q64" s="247"/>
    </row>
    <row r="65" spans="1:17" ht="19.5" customHeight="1">
      <c r="A65" s="12" t="s">
        <v>36</v>
      </c>
      <c r="B65" s="13">
        <f>ApIII!R38</f>
        <v>15</v>
      </c>
      <c r="C65" s="606">
        <f>ApIII!S38</f>
        <v>679.7</v>
      </c>
      <c r="D65" s="13" t="s">
        <v>12</v>
      </c>
      <c r="E65" s="692" t="s">
        <v>12</v>
      </c>
      <c r="F65" s="13" t="s">
        <v>12</v>
      </c>
      <c r="G65" s="692" t="s">
        <v>12</v>
      </c>
      <c r="H65" s="13" t="s">
        <v>12</v>
      </c>
      <c r="I65" s="692" t="s">
        <v>12</v>
      </c>
      <c r="J65" s="13" t="s">
        <v>12</v>
      </c>
      <c r="K65" s="692" t="s">
        <v>12</v>
      </c>
      <c r="L65" s="13" t="s">
        <v>12</v>
      </c>
      <c r="M65" s="13" t="s">
        <v>12</v>
      </c>
      <c r="N65" s="216">
        <f t="shared" si="7"/>
        <v>15</v>
      </c>
      <c r="O65" s="701">
        <f t="shared" si="7"/>
        <v>679.7</v>
      </c>
      <c r="Q65" s="247"/>
    </row>
    <row r="66" spans="1:15" ht="19.5" customHeight="1">
      <c r="A66" s="18" t="s">
        <v>37</v>
      </c>
      <c r="B66" s="19" t="s">
        <v>12</v>
      </c>
      <c r="C66" s="693" t="s">
        <v>12</v>
      </c>
      <c r="D66" s="19" t="s">
        <v>12</v>
      </c>
      <c r="E66" s="693" t="s">
        <v>12</v>
      </c>
      <c r="F66" s="19">
        <f>ApX!T48</f>
        <v>6</v>
      </c>
      <c r="G66" s="693">
        <f>ApX!U48</f>
        <v>695.7</v>
      </c>
      <c r="H66" s="19" t="s">
        <v>12</v>
      </c>
      <c r="I66" s="693" t="s">
        <v>12</v>
      </c>
      <c r="J66" s="19" t="s">
        <v>12</v>
      </c>
      <c r="K66" s="693" t="s">
        <v>12</v>
      </c>
      <c r="L66" s="19" t="s">
        <v>12</v>
      </c>
      <c r="M66" s="19" t="s">
        <v>12</v>
      </c>
      <c r="N66" s="217">
        <f t="shared" si="7"/>
        <v>6</v>
      </c>
      <c r="O66" s="702">
        <f t="shared" si="7"/>
        <v>695.7</v>
      </c>
    </row>
    <row r="67" spans="1:15" ht="21.75" customHeight="1">
      <c r="A67" s="742" t="s">
        <v>155</v>
      </c>
      <c r="B67" s="755"/>
      <c r="C67" s="746"/>
      <c r="D67" s="755"/>
      <c r="E67" s="746"/>
      <c r="F67" s="755"/>
      <c r="G67" s="746"/>
      <c r="H67" s="755"/>
      <c r="I67" s="746"/>
      <c r="J67" s="756"/>
      <c r="K67" s="746"/>
      <c r="L67" s="755"/>
      <c r="M67" s="755"/>
      <c r="N67" s="748"/>
      <c r="O67" s="749"/>
    </row>
    <row r="68" spans="1:15" ht="21.75" customHeight="1">
      <c r="A68" s="12" t="s">
        <v>204</v>
      </c>
      <c r="B68" s="13">
        <f>ApIII!R40</f>
        <v>2</v>
      </c>
      <c r="C68" s="692">
        <f>ApIII!S40</f>
        <v>280.2</v>
      </c>
      <c r="D68" s="13" t="s">
        <v>12</v>
      </c>
      <c r="E68" s="692" t="s">
        <v>12</v>
      </c>
      <c r="F68" s="13">
        <f>ApX!T50</f>
        <v>1</v>
      </c>
      <c r="G68" s="606">
        <f>ApX!U50</f>
        <v>227.7</v>
      </c>
      <c r="H68" s="13" t="s">
        <v>12</v>
      </c>
      <c r="I68" s="692" t="s">
        <v>12</v>
      </c>
      <c r="J68" s="13" t="s">
        <v>12</v>
      </c>
      <c r="K68" s="692" t="s">
        <v>12</v>
      </c>
      <c r="L68" s="13" t="s">
        <v>12</v>
      </c>
      <c r="M68" s="13" t="s">
        <v>12</v>
      </c>
      <c r="N68" s="216">
        <f aca="true" t="shared" si="8" ref="N68:N75">SUM(B68,D68,F68,H68,J68,L68)</f>
        <v>3</v>
      </c>
      <c r="O68" s="701">
        <f aca="true" t="shared" si="9" ref="O68:O75">SUM(C68,E68,G68,I68,K68,M68)</f>
        <v>507.9</v>
      </c>
    </row>
    <row r="69" spans="1:15" ht="20.25" customHeight="1">
      <c r="A69" s="12" t="s">
        <v>496</v>
      </c>
      <c r="B69" s="13">
        <f>ApIII!R41</f>
        <v>1</v>
      </c>
      <c r="C69" s="606">
        <f>ApIII!S41</f>
        <v>109.3</v>
      </c>
      <c r="D69" s="13" t="s">
        <v>12</v>
      </c>
      <c r="E69" s="692" t="s">
        <v>12</v>
      </c>
      <c r="F69" s="13" t="s">
        <v>12</v>
      </c>
      <c r="G69" s="692" t="s">
        <v>12</v>
      </c>
      <c r="H69" s="13" t="s">
        <v>12</v>
      </c>
      <c r="I69" s="692" t="s">
        <v>12</v>
      </c>
      <c r="J69" s="13" t="s">
        <v>12</v>
      </c>
      <c r="K69" s="692" t="s">
        <v>12</v>
      </c>
      <c r="L69" s="13" t="s">
        <v>12</v>
      </c>
      <c r="M69" s="13" t="s">
        <v>12</v>
      </c>
      <c r="N69" s="216">
        <f>SUM(B69,D69,F69,H69,J69,L69)</f>
        <v>1</v>
      </c>
      <c r="O69" s="701">
        <f>SUM(C69,E69,G69,I69,K69,M69)</f>
        <v>109.3</v>
      </c>
    </row>
    <row r="70" spans="1:15" ht="20.25" customHeight="1">
      <c r="A70" s="12" t="s">
        <v>278</v>
      </c>
      <c r="B70" s="13">
        <f>ApIII!R42</f>
        <v>2</v>
      </c>
      <c r="C70" s="692">
        <f>ApIII!S42</f>
        <v>288.6</v>
      </c>
      <c r="D70" s="13" t="s">
        <v>12</v>
      </c>
      <c r="E70" s="692" t="s">
        <v>12</v>
      </c>
      <c r="F70" s="13" t="s">
        <v>12</v>
      </c>
      <c r="G70" s="692" t="s">
        <v>12</v>
      </c>
      <c r="H70" s="13" t="s">
        <v>12</v>
      </c>
      <c r="I70" s="692" t="s">
        <v>12</v>
      </c>
      <c r="J70" s="13">
        <f>ApXII!Z48</f>
        <v>1</v>
      </c>
      <c r="K70" s="606">
        <f>ApXII!AA48</f>
        <v>5.5</v>
      </c>
      <c r="L70" s="13" t="s">
        <v>12</v>
      </c>
      <c r="M70" s="13" t="s">
        <v>12</v>
      </c>
      <c r="N70" s="216">
        <f t="shared" si="8"/>
        <v>3</v>
      </c>
      <c r="O70" s="701">
        <f t="shared" si="9"/>
        <v>294.1</v>
      </c>
    </row>
    <row r="71" spans="1:15" ht="20.25" customHeight="1">
      <c r="A71" s="12" t="s">
        <v>55</v>
      </c>
      <c r="B71" s="13">
        <f>ApIII!R43</f>
        <v>2</v>
      </c>
      <c r="C71" s="692">
        <f>ApIII!S43</f>
        <v>308</v>
      </c>
      <c r="D71" s="13" t="s">
        <v>12</v>
      </c>
      <c r="E71" s="692" t="s">
        <v>12</v>
      </c>
      <c r="F71" s="13">
        <f>ApX!T51</f>
        <v>2</v>
      </c>
      <c r="G71" s="692">
        <f>ApX!U51</f>
        <v>560.8</v>
      </c>
      <c r="H71" s="13" t="s">
        <v>12</v>
      </c>
      <c r="I71" s="692" t="s">
        <v>12</v>
      </c>
      <c r="J71" s="13" t="s">
        <v>12</v>
      </c>
      <c r="K71" s="692" t="s">
        <v>12</v>
      </c>
      <c r="L71" s="13" t="s">
        <v>12</v>
      </c>
      <c r="M71" s="13" t="s">
        <v>12</v>
      </c>
      <c r="N71" s="216">
        <f t="shared" si="8"/>
        <v>4</v>
      </c>
      <c r="O71" s="701">
        <f t="shared" si="9"/>
        <v>868.8</v>
      </c>
    </row>
    <row r="72" spans="1:15" ht="20.25" customHeight="1">
      <c r="A72" s="12" t="s">
        <v>56</v>
      </c>
      <c r="B72" s="13" t="s">
        <v>12</v>
      </c>
      <c r="C72" s="692" t="s">
        <v>12</v>
      </c>
      <c r="D72" s="13" t="s">
        <v>12</v>
      </c>
      <c r="E72" s="692" t="s">
        <v>12</v>
      </c>
      <c r="F72" s="13">
        <f>ApX!T52</f>
        <v>1</v>
      </c>
      <c r="G72" s="692">
        <f>ApX!U52</f>
        <v>285.7</v>
      </c>
      <c r="H72" s="13" t="s">
        <v>12</v>
      </c>
      <c r="I72" s="692" t="s">
        <v>12</v>
      </c>
      <c r="J72" s="13" t="s">
        <v>12</v>
      </c>
      <c r="K72" s="692" t="s">
        <v>12</v>
      </c>
      <c r="L72" s="13" t="s">
        <v>12</v>
      </c>
      <c r="M72" s="13" t="s">
        <v>12</v>
      </c>
      <c r="N72" s="216">
        <f t="shared" si="8"/>
        <v>1</v>
      </c>
      <c r="O72" s="701">
        <f t="shared" si="9"/>
        <v>285.7</v>
      </c>
    </row>
    <row r="73" spans="1:15" ht="20.25" customHeight="1">
      <c r="A73" s="12" t="s">
        <v>236</v>
      </c>
      <c r="B73" s="13" t="s">
        <v>12</v>
      </c>
      <c r="C73" s="692" t="s">
        <v>12</v>
      </c>
      <c r="D73" s="13" t="s">
        <v>12</v>
      </c>
      <c r="E73" s="692" t="s">
        <v>12</v>
      </c>
      <c r="F73" s="13">
        <f>ApX!T53</f>
        <v>4</v>
      </c>
      <c r="G73" s="692">
        <f>ApX!U53</f>
        <v>1009.4</v>
      </c>
      <c r="H73" s="13" t="s">
        <v>12</v>
      </c>
      <c r="I73" s="692" t="s">
        <v>12</v>
      </c>
      <c r="J73" s="13" t="s">
        <v>12</v>
      </c>
      <c r="K73" s="692" t="s">
        <v>12</v>
      </c>
      <c r="L73" s="13" t="s">
        <v>12</v>
      </c>
      <c r="M73" s="13" t="s">
        <v>12</v>
      </c>
      <c r="N73" s="216">
        <f>SUM(B73,D73,F73,H73,J73,L73)</f>
        <v>4</v>
      </c>
      <c r="O73" s="701">
        <f>SUM(C73,E73,G73,I73,K73,M73)</f>
        <v>1009.4</v>
      </c>
    </row>
    <row r="74" spans="1:15" ht="20.25" customHeight="1">
      <c r="A74" s="12" t="s">
        <v>57</v>
      </c>
      <c r="B74" s="13" t="s">
        <v>12</v>
      </c>
      <c r="C74" s="692" t="s">
        <v>12</v>
      </c>
      <c r="D74" s="13" t="s">
        <v>12</v>
      </c>
      <c r="E74" s="692" t="s">
        <v>12</v>
      </c>
      <c r="F74" s="13">
        <f>ApX!T54</f>
        <v>1</v>
      </c>
      <c r="G74" s="606">
        <f>ApX!U54</f>
        <v>184.2</v>
      </c>
      <c r="H74" s="13" t="s">
        <v>12</v>
      </c>
      <c r="I74" s="692" t="s">
        <v>12</v>
      </c>
      <c r="J74" s="13" t="s">
        <v>12</v>
      </c>
      <c r="K74" s="692" t="s">
        <v>12</v>
      </c>
      <c r="L74" s="13" t="s">
        <v>12</v>
      </c>
      <c r="M74" s="13" t="s">
        <v>12</v>
      </c>
      <c r="N74" s="216">
        <f t="shared" si="8"/>
        <v>1</v>
      </c>
      <c r="O74" s="701">
        <f t="shared" si="9"/>
        <v>184.2</v>
      </c>
    </row>
    <row r="75" spans="1:15" ht="20.25" customHeight="1">
      <c r="A75" s="12" t="s">
        <v>279</v>
      </c>
      <c r="B75" s="13">
        <f>ApIII!R44</f>
        <v>2</v>
      </c>
      <c r="C75" s="692">
        <f>ApIII!S44</f>
        <v>316.2</v>
      </c>
      <c r="D75" s="13" t="s">
        <v>12</v>
      </c>
      <c r="E75" s="692" t="s">
        <v>12</v>
      </c>
      <c r="F75" s="13">
        <f>ApX!T55</f>
        <v>4</v>
      </c>
      <c r="G75" s="606">
        <f>ApX!U55</f>
        <v>1009.5</v>
      </c>
      <c r="H75" s="13" t="s">
        <v>12</v>
      </c>
      <c r="I75" s="692" t="s">
        <v>12</v>
      </c>
      <c r="J75" s="13" t="s">
        <v>12</v>
      </c>
      <c r="K75" s="692" t="s">
        <v>12</v>
      </c>
      <c r="L75" s="13" t="s">
        <v>12</v>
      </c>
      <c r="M75" s="13" t="s">
        <v>12</v>
      </c>
      <c r="N75" s="216">
        <f t="shared" si="8"/>
        <v>6</v>
      </c>
      <c r="O75" s="701">
        <f t="shared" si="9"/>
        <v>1325.7</v>
      </c>
    </row>
    <row r="76" spans="1:15" ht="20.25" customHeight="1">
      <c r="A76" s="12" t="s">
        <v>514</v>
      </c>
      <c r="B76" s="13"/>
      <c r="C76" s="692"/>
      <c r="D76" s="13" t="s">
        <v>12</v>
      </c>
      <c r="E76" s="692" t="s">
        <v>12</v>
      </c>
      <c r="F76" s="13"/>
      <c r="G76" s="606"/>
      <c r="H76" s="13" t="s">
        <v>12</v>
      </c>
      <c r="I76" s="692" t="s">
        <v>12</v>
      </c>
      <c r="J76" s="13">
        <f>ApXII!Z49</f>
        <v>1</v>
      </c>
      <c r="K76" s="606">
        <f>ApXII!AA49</f>
        <v>5.5</v>
      </c>
      <c r="L76" s="13" t="s">
        <v>12</v>
      </c>
      <c r="M76" s="13" t="s">
        <v>12</v>
      </c>
      <c r="N76" s="216">
        <f>SUM(B76,D76,F76,H76,J76,L76)</f>
        <v>1</v>
      </c>
      <c r="O76" s="701">
        <f>SUM(C76,E76,G76,I76,K76,M76)</f>
        <v>5.5</v>
      </c>
    </row>
    <row r="77" spans="1:15" ht="20.25" customHeight="1">
      <c r="A77" s="12" t="s">
        <v>497</v>
      </c>
      <c r="B77" s="13">
        <f>ApIII!R45</f>
        <v>1</v>
      </c>
      <c r="C77" s="692">
        <f>ApIII!S45</f>
        <v>109.3</v>
      </c>
      <c r="D77" s="13" t="s">
        <v>12</v>
      </c>
      <c r="E77" s="692" t="s">
        <v>12</v>
      </c>
      <c r="F77" s="13" t="s">
        <v>12</v>
      </c>
      <c r="G77" s="692" t="s">
        <v>12</v>
      </c>
      <c r="H77" s="13" t="s">
        <v>12</v>
      </c>
      <c r="I77" s="692" t="s">
        <v>12</v>
      </c>
      <c r="J77" s="13" t="s">
        <v>12</v>
      </c>
      <c r="K77" s="692" t="s">
        <v>12</v>
      </c>
      <c r="L77" s="13" t="s">
        <v>12</v>
      </c>
      <c r="M77" s="692" t="s">
        <v>12</v>
      </c>
      <c r="N77" s="833">
        <f aca="true" t="shared" si="10" ref="N77:O82">SUM(B77,D77,F77,H77,J77,L77)</f>
        <v>1</v>
      </c>
      <c r="O77" s="701">
        <f t="shared" si="10"/>
        <v>109.3</v>
      </c>
    </row>
    <row r="78" spans="1:15" ht="20.25" customHeight="1">
      <c r="A78" s="12" t="s">
        <v>58</v>
      </c>
      <c r="B78" s="13">
        <f>ApIII!R46</f>
        <v>1</v>
      </c>
      <c r="C78" s="692">
        <f>ApIII!S46</f>
        <v>108.9</v>
      </c>
      <c r="D78" s="13" t="s">
        <v>12</v>
      </c>
      <c r="E78" s="692" t="s">
        <v>12</v>
      </c>
      <c r="F78" s="13">
        <f>ApX!T56</f>
        <v>1</v>
      </c>
      <c r="G78" s="606">
        <f>ApX!U56</f>
        <v>298.8</v>
      </c>
      <c r="H78" s="13" t="s">
        <v>12</v>
      </c>
      <c r="I78" s="692" t="s">
        <v>12</v>
      </c>
      <c r="J78" s="13" t="s">
        <v>12</v>
      </c>
      <c r="K78" s="692" t="s">
        <v>12</v>
      </c>
      <c r="L78" s="13" t="s">
        <v>12</v>
      </c>
      <c r="M78" s="13" t="s">
        <v>12</v>
      </c>
      <c r="N78" s="216">
        <f t="shared" si="10"/>
        <v>2</v>
      </c>
      <c r="O78" s="701">
        <f t="shared" si="10"/>
        <v>407.70000000000005</v>
      </c>
    </row>
    <row r="79" spans="1:15" ht="20.25" customHeight="1">
      <c r="A79" s="12" t="s">
        <v>237</v>
      </c>
      <c r="B79" s="13">
        <f>ApIII!R47</f>
        <v>2</v>
      </c>
      <c r="C79" s="692">
        <f>ApIII!S47</f>
        <v>316.2</v>
      </c>
      <c r="D79" s="13" t="s">
        <v>12</v>
      </c>
      <c r="E79" s="692" t="s">
        <v>12</v>
      </c>
      <c r="F79" s="13">
        <f>ApX!T57</f>
        <v>1</v>
      </c>
      <c r="G79" s="606">
        <f>ApX!U57</f>
        <v>254.6</v>
      </c>
      <c r="H79" s="13" t="s">
        <v>12</v>
      </c>
      <c r="I79" s="692" t="s">
        <v>12</v>
      </c>
      <c r="J79" s="13" t="s">
        <v>12</v>
      </c>
      <c r="K79" s="692" t="s">
        <v>12</v>
      </c>
      <c r="L79" s="13" t="s">
        <v>12</v>
      </c>
      <c r="M79" s="13" t="s">
        <v>12</v>
      </c>
      <c r="N79" s="216">
        <f t="shared" si="10"/>
        <v>3</v>
      </c>
      <c r="O79" s="701">
        <f t="shared" si="10"/>
        <v>570.8</v>
      </c>
    </row>
    <row r="80" spans="1:15" ht="20.25" customHeight="1">
      <c r="A80" s="12" t="s">
        <v>281</v>
      </c>
      <c r="B80" s="13">
        <f>ApIII!R48</f>
        <v>2</v>
      </c>
      <c r="C80" s="692">
        <f>ApIII!S48</f>
        <v>291.2</v>
      </c>
      <c r="D80" s="13" t="s">
        <v>12</v>
      </c>
      <c r="E80" s="692" t="s">
        <v>12</v>
      </c>
      <c r="F80" s="13">
        <f>ApX!T58</f>
        <v>2</v>
      </c>
      <c r="G80" s="606">
        <f>ApX!U58</f>
        <v>489.5</v>
      </c>
      <c r="H80" s="13" t="s">
        <v>12</v>
      </c>
      <c r="I80" s="692" t="s">
        <v>12</v>
      </c>
      <c r="J80" s="13" t="s">
        <v>12</v>
      </c>
      <c r="K80" s="692" t="s">
        <v>12</v>
      </c>
      <c r="L80" s="13" t="s">
        <v>12</v>
      </c>
      <c r="M80" s="13" t="s">
        <v>12</v>
      </c>
      <c r="N80" s="216">
        <f t="shared" si="10"/>
        <v>4</v>
      </c>
      <c r="O80" s="701">
        <f t="shared" si="10"/>
        <v>780.7</v>
      </c>
    </row>
    <row r="81" spans="1:15" ht="20.25" customHeight="1">
      <c r="A81" s="12" t="s">
        <v>59</v>
      </c>
      <c r="B81" s="13">
        <f>ApIII!R49</f>
        <v>5</v>
      </c>
      <c r="C81" s="692">
        <f>ApIII!S49</f>
        <v>838.5</v>
      </c>
      <c r="D81" s="13" t="s">
        <v>12</v>
      </c>
      <c r="E81" s="692" t="s">
        <v>12</v>
      </c>
      <c r="F81" s="13">
        <f>ApX!T59</f>
        <v>1</v>
      </c>
      <c r="G81" s="606">
        <f>ApX!U59</f>
        <v>383.4</v>
      </c>
      <c r="H81" s="13" t="s">
        <v>12</v>
      </c>
      <c r="I81" s="692" t="s">
        <v>12</v>
      </c>
      <c r="J81" s="13" t="s">
        <v>12</v>
      </c>
      <c r="K81" s="692" t="s">
        <v>12</v>
      </c>
      <c r="L81" s="13" t="s">
        <v>12</v>
      </c>
      <c r="M81" s="13" t="s">
        <v>12</v>
      </c>
      <c r="N81" s="216">
        <f>SUM(B81,D81,F81,H81,J81,L81)</f>
        <v>6</v>
      </c>
      <c r="O81" s="701">
        <f>SUM(C81,E81,G81,I81,K81,M81)</f>
        <v>1221.9</v>
      </c>
    </row>
    <row r="82" spans="1:15" ht="20.25" customHeight="1">
      <c r="A82" s="12" t="s">
        <v>60</v>
      </c>
      <c r="B82" s="13">
        <f>ApIII!R50</f>
        <v>2</v>
      </c>
      <c r="C82" s="692">
        <f>ApIII!S50</f>
        <v>359</v>
      </c>
      <c r="D82" s="13" t="s">
        <v>12</v>
      </c>
      <c r="E82" s="692" t="s">
        <v>12</v>
      </c>
      <c r="F82" s="13" t="s">
        <v>12</v>
      </c>
      <c r="G82" s="692" t="s">
        <v>12</v>
      </c>
      <c r="H82" s="13" t="s">
        <v>12</v>
      </c>
      <c r="I82" s="692" t="s">
        <v>12</v>
      </c>
      <c r="J82" s="13" t="s">
        <v>12</v>
      </c>
      <c r="K82" s="692" t="s">
        <v>12</v>
      </c>
      <c r="L82" s="13" t="s">
        <v>12</v>
      </c>
      <c r="M82" s="13" t="s">
        <v>12</v>
      </c>
      <c r="N82" s="216">
        <f t="shared" si="10"/>
        <v>2</v>
      </c>
      <c r="O82" s="701">
        <f t="shared" si="10"/>
        <v>359</v>
      </c>
    </row>
    <row r="83" spans="1:15" ht="20.25" customHeight="1">
      <c r="A83" s="12" t="s">
        <v>170</v>
      </c>
      <c r="B83" s="13">
        <f>ApIII!R51</f>
        <v>1</v>
      </c>
      <c r="C83" s="692">
        <f>ApIII!S51</f>
        <v>140.1</v>
      </c>
      <c r="D83" s="13" t="s">
        <v>12</v>
      </c>
      <c r="E83" s="13" t="s">
        <v>12</v>
      </c>
      <c r="F83" s="13" t="s">
        <v>12</v>
      </c>
      <c r="G83" s="13" t="s">
        <v>12</v>
      </c>
      <c r="H83" s="13" t="s">
        <v>12</v>
      </c>
      <c r="I83" s="692" t="s">
        <v>12</v>
      </c>
      <c r="J83" s="13" t="s">
        <v>12</v>
      </c>
      <c r="K83" s="692" t="s">
        <v>12</v>
      </c>
      <c r="L83" s="13" t="s">
        <v>12</v>
      </c>
      <c r="M83" s="13" t="s">
        <v>12</v>
      </c>
      <c r="N83" s="216">
        <f aca="true" t="shared" si="11" ref="N83:O85">SUM(B83,D83,F83,H83,J83,L83)</f>
        <v>1</v>
      </c>
      <c r="O83" s="701">
        <f t="shared" si="11"/>
        <v>140.1</v>
      </c>
    </row>
    <row r="84" spans="1:15" ht="20.25" customHeight="1">
      <c r="A84" s="18" t="s">
        <v>203</v>
      </c>
      <c r="B84" s="19">
        <f>ApIII!R52</f>
        <v>2</v>
      </c>
      <c r="C84" s="693">
        <f>ApIII!S52</f>
        <v>362.9</v>
      </c>
      <c r="D84" s="19" t="s">
        <v>12</v>
      </c>
      <c r="E84" s="693" t="s">
        <v>12</v>
      </c>
      <c r="F84" s="19" t="s">
        <v>12</v>
      </c>
      <c r="G84" s="693" t="s">
        <v>12</v>
      </c>
      <c r="H84" s="19" t="s">
        <v>12</v>
      </c>
      <c r="I84" s="693" t="s">
        <v>12</v>
      </c>
      <c r="J84" s="19" t="s">
        <v>12</v>
      </c>
      <c r="K84" s="693" t="s">
        <v>12</v>
      </c>
      <c r="L84" s="19" t="s">
        <v>12</v>
      </c>
      <c r="M84" s="19" t="s">
        <v>12</v>
      </c>
      <c r="N84" s="217">
        <f t="shared" si="11"/>
        <v>2</v>
      </c>
      <c r="O84" s="702">
        <f t="shared" si="11"/>
        <v>362.9</v>
      </c>
    </row>
    <row r="85" spans="1:15" ht="22.5" customHeight="1" thickBot="1">
      <c r="A85" s="735" t="s">
        <v>515</v>
      </c>
      <c r="B85" s="757">
        <f>ApIII!R53</f>
        <v>0</v>
      </c>
      <c r="C85" s="758">
        <f>ApIII!S53</f>
        <v>23608.100000000002</v>
      </c>
      <c r="D85" s="757" t="s">
        <v>12</v>
      </c>
      <c r="E85" s="758" t="s">
        <v>12</v>
      </c>
      <c r="F85" s="757">
        <f>ApX!T60</f>
        <v>25</v>
      </c>
      <c r="G85" s="758">
        <f>ApX!U60</f>
        <v>1802.3000000000002</v>
      </c>
      <c r="H85" s="757">
        <f>ApVIII!R8</f>
        <v>0</v>
      </c>
      <c r="I85" s="758">
        <f>ApVIII!S8</f>
        <v>1582.6000000000001</v>
      </c>
      <c r="J85" s="757">
        <f>ApXII!Z50</f>
        <v>59</v>
      </c>
      <c r="K85" s="758">
        <f>ApXII!AA50</f>
        <v>1875</v>
      </c>
      <c r="L85" s="757">
        <v>49</v>
      </c>
      <c r="M85" s="759">
        <v>2863.9</v>
      </c>
      <c r="N85" s="751">
        <f t="shared" si="11"/>
        <v>133</v>
      </c>
      <c r="O85" s="752">
        <f t="shared" si="11"/>
        <v>31731.9</v>
      </c>
    </row>
    <row r="86" spans="1:15" ht="22.5" thickBot="1">
      <c r="A86" s="760" t="s">
        <v>61</v>
      </c>
      <c r="B86" s="767">
        <f>SUM(B5:B85)</f>
        <v>1038</v>
      </c>
      <c r="C86" s="768">
        <f>SUM(C5:C85)</f>
        <v>167637.29000000007</v>
      </c>
      <c r="D86" s="767">
        <f>SUM(D5:D85)</f>
        <v>43</v>
      </c>
      <c r="E86" s="768">
        <f aca="true" t="shared" si="12" ref="E86:M86">SUM(E5:E85)</f>
        <v>20125.899999999998</v>
      </c>
      <c r="F86" s="767">
        <f>SUM(F5:F85)</f>
        <v>224</v>
      </c>
      <c r="G86" s="768">
        <f>SUM(G5:G85)</f>
        <v>28138.600000000002</v>
      </c>
      <c r="H86" s="767">
        <f t="shared" si="12"/>
        <v>65</v>
      </c>
      <c r="I86" s="769">
        <f t="shared" si="12"/>
        <v>6307.870000000001</v>
      </c>
      <c r="J86" s="770">
        <f>SUM(J5:J85)</f>
        <v>663</v>
      </c>
      <c r="K86" s="768">
        <f t="shared" si="12"/>
        <v>22072.200000000004</v>
      </c>
      <c r="L86" s="771">
        <f>SUM(L5:L85)</f>
        <v>262</v>
      </c>
      <c r="M86" s="772">
        <f t="shared" si="12"/>
        <v>28702.2</v>
      </c>
      <c r="N86" s="771">
        <f>SUM(N5:N85)</f>
        <v>2295</v>
      </c>
      <c r="O86" s="769">
        <f>SUM(O5:O85)</f>
        <v>272984.06</v>
      </c>
    </row>
    <row r="87" spans="1:15" ht="20.25" customHeight="1">
      <c r="A87" s="10" t="s">
        <v>158</v>
      </c>
      <c r="B87" s="22"/>
      <c r="C87" s="694"/>
      <c r="D87" s="23"/>
      <c r="E87" s="694"/>
      <c r="F87" s="24"/>
      <c r="G87" s="563"/>
      <c r="H87" s="25"/>
      <c r="I87" s="694"/>
      <c r="J87" s="22"/>
      <c r="K87" s="694"/>
      <c r="L87" s="25"/>
      <c r="M87" s="25"/>
      <c r="N87" s="22"/>
      <c r="O87" s="563"/>
    </row>
    <row r="88" spans="1:12" ht="20.25" customHeight="1">
      <c r="A88" s="29" t="s">
        <v>210</v>
      </c>
      <c r="B88" s="22"/>
      <c r="C88" s="694"/>
      <c r="D88" s="23"/>
      <c r="E88" s="694"/>
      <c r="F88" s="24"/>
      <c r="J88" s="22"/>
      <c r="K88" s="694"/>
      <c r="L88" s="25"/>
    </row>
    <row r="89" spans="1:21" s="31" customFormat="1" ht="20.25" customHeight="1">
      <c r="A89" s="36" t="s">
        <v>160</v>
      </c>
      <c r="B89" s="30"/>
      <c r="C89" s="695"/>
      <c r="E89" s="695"/>
      <c r="F89" s="30"/>
      <c r="G89" s="700"/>
      <c r="I89" s="695"/>
      <c r="J89" s="30"/>
      <c r="K89" s="694"/>
      <c r="L89" s="32"/>
      <c r="M89" s="29"/>
      <c r="N89" s="30"/>
      <c r="O89" s="563"/>
      <c r="P89" s="67"/>
      <c r="Q89" s="67"/>
      <c r="R89" s="67"/>
      <c r="S89" s="67"/>
      <c r="T89" s="67"/>
      <c r="U89" s="67"/>
    </row>
    <row r="90" spans="1:15" ht="20.25" customHeight="1">
      <c r="A90" s="10" t="s">
        <v>159</v>
      </c>
      <c r="N90" s="34"/>
      <c r="O90" s="563"/>
    </row>
    <row r="91" spans="1:2" ht="21.75">
      <c r="A91" s="159"/>
      <c r="B91" s="35"/>
    </row>
    <row r="92" spans="1:5" ht="21.75">
      <c r="A92" s="159"/>
      <c r="C92" s="694"/>
      <c r="D92" s="32"/>
      <c r="E92" s="694"/>
    </row>
    <row r="93" spans="1:3" ht="21.75">
      <c r="A93" s="159"/>
      <c r="C93" s="691"/>
    </row>
    <row r="94" spans="1:10" ht="21.75">
      <c r="A94" s="159"/>
      <c r="J94" s="27" t="s">
        <v>118</v>
      </c>
    </row>
  </sheetData>
  <sheetProtection/>
  <mergeCells count="8">
    <mergeCell ref="J2:K2"/>
    <mergeCell ref="N2:O2"/>
    <mergeCell ref="L2:M2"/>
    <mergeCell ref="H2:I2"/>
    <mergeCell ref="A2:A3"/>
    <mergeCell ref="B2:C2"/>
    <mergeCell ref="F2:G2"/>
    <mergeCell ref="D2:E2"/>
  </mergeCells>
  <printOptions horizontalCentered="1"/>
  <pageMargins left="0.43" right="0.407480315" top="0.21" bottom="0.47" header="0.45" footer="0.28"/>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sheetPr>
  <dimension ref="A1:CA141"/>
  <sheetViews>
    <sheetView zoomScalePageLayoutView="0" workbookViewId="0" topLeftCell="A1">
      <pane xSplit="1" ySplit="4" topLeftCell="D7" activePane="bottomRight" state="frozen"/>
      <selection pane="topLeft" activeCell="A1" sqref="A1"/>
      <selection pane="topRight" activeCell="B1" sqref="B1"/>
      <selection pane="bottomLeft" activeCell="A5" sqref="A5"/>
      <selection pane="bottomRight" activeCell="A1" sqref="A1:IV16384"/>
    </sheetView>
  </sheetViews>
  <sheetFormatPr defaultColWidth="9.140625" defaultRowHeight="12.75"/>
  <cols>
    <col min="1" max="1" width="26.28125" style="130" customWidth="1"/>
    <col min="2" max="2" width="4.8515625" style="130" customWidth="1"/>
    <col min="3" max="3" width="8.28125" style="376" customWidth="1"/>
    <col min="4" max="4" width="5.00390625" style="130" bestFit="1" customWidth="1"/>
    <col min="5" max="5" width="6.7109375" style="376" customWidth="1"/>
    <col min="6" max="6" width="5.00390625" style="130" bestFit="1" customWidth="1"/>
    <col min="7" max="7" width="6.57421875" style="376" customWidth="1"/>
    <col min="8" max="8" width="4.00390625" style="130" customWidth="1"/>
    <col min="9" max="9" width="8.28125" style="376" bestFit="1" customWidth="1"/>
    <col min="10" max="10" width="5.140625" style="130" bestFit="1" customWidth="1"/>
    <col min="11" max="11" width="8.28125" style="376" bestFit="1" customWidth="1"/>
    <col min="12" max="12" width="4.00390625" style="130" customWidth="1"/>
    <col min="13" max="13" width="8.28125" style="376" bestFit="1" customWidth="1"/>
    <col min="14" max="14" width="4.28125" style="130" customWidth="1"/>
    <col min="15" max="15" width="8.28125" style="376" bestFit="1" customWidth="1"/>
    <col min="16" max="16" width="5.00390625" style="130" customWidth="1"/>
    <col min="17" max="17" width="8.28125" style="376" bestFit="1" customWidth="1"/>
    <col min="18" max="18" width="5.00390625" style="130" bestFit="1" customWidth="1"/>
    <col min="19" max="19" width="6.7109375" style="130" bestFit="1" customWidth="1"/>
    <col min="20" max="20" width="6.28125" style="130" customWidth="1"/>
    <col min="21" max="21" width="9.8515625" style="130" customWidth="1"/>
    <col min="22" max="22" width="9.140625" style="130" customWidth="1"/>
    <col min="24" max="24" width="8.7109375" style="0" customWidth="1"/>
    <col min="25" max="25" width="10.8515625" style="229" customWidth="1"/>
    <col min="26" max="26" width="10.8515625" style="230" customWidth="1"/>
    <col min="27" max="34" width="10.8515625" style="229" customWidth="1"/>
    <col min="35" max="48" width="11.421875" style="59" customWidth="1"/>
    <col min="49" max="49" width="17.421875" style="0" customWidth="1"/>
    <col min="50" max="50" width="5.00390625" style="0" customWidth="1"/>
    <col min="52" max="52" width="4.7109375" style="0" customWidth="1"/>
    <col min="53" max="53" width="7.7109375" style="0" customWidth="1"/>
    <col min="54" max="54" width="4.7109375" style="0" customWidth="1"/>
    <col min="55" max="55" width="8.140625" style="0" customWidth="1"/>
    <col min="56" max="56" width="4.7109375" style="0" customWidth="1"/>
    <col min="57" max="57" width="8.140625" style="0" customWidth="1"/>
    <col min="58" max="58" width="4.7109375" style="0" customWidth="1"/>
    <col min="59" max="59" width="7.7109375" style="0" customWidth="1"/>
    <col min="60" max="60" width="4.00390625" style="0" customWidth="1"/>
    <col min="61" max="61" width="7.28125" style="0" customWidth="1"/>
    <col min="62" max="62" width="4.7109375" style="0" customWidth="1"/>
    <col min="63" max="63" width="8.28125" style="0" customWidth="1"/>
    <col min="64" max="64" width="4.7109375" style="0" customWidth="1"/>
    <col min="65" max="65" width="8.7109375" style="0" customWidth="1"/>
    <col min="66" max="66" width="4.7109375" style="0" customWidth="1"/>
    <col min="67" max="67" width="8.28125" style="0" customWidth="1"/>
    <col min="68" max="68" width="4.7109375" style="0" customWidth="1"/>
    <col min="70" max="70" width="4.7109375" style="0" customWidth="1"/>
    <col min="80" max="16384" width="9.140625" style="130" customWidth="1"/>
  </cols>
  <sheetData>
    <row r="1" spans="1:79" s="61" customFormat="1" ht="25.5" customHeight="1" thickBot="1">
      <c r="A1" s="219" t="s">
        <v>506</v>
      </c>
      <c r="B1" s="126"/>
      <c r="C1" s="369"/>
      <c r="D1" s="126"/>
      <c r="E1" s="369"/>
      <c r="F1" s="126"/>
      <c r="G1" s="369"/>
      <c r="H1" s="126"/>
      <c r="I1" s="369"/>
      <c r="J1" s="126"/>
      <c r="K1" s="369"/>
      <c r="L1" s="126"/>
      <c r="M1" s="369"/>
      <c r="N1" s="126"/>
      <c r="O1" s="369"/>
      <c r="P1" s="126"/>
      <c r="Q1" s="369"/>
      <c r="R1" s="76"/>
      <c r="S1" s="76"/>
      <c r="T1" s="76"/>
      <c r="U1" s="41" t="s">
        <v>123</v>
      </c>
      <c r="W1"/>
      <c r="X1"/>
      <c r="Y1" s="229"/>
      <c r="Z1" s="230"/>
      <c r="AA1" s="229"/>
      <c r="AB1" s="229"/>
      <c r="AC1" s="229"/>
      <c r="AD1" s="229"/>
      <c r="AE1" s="229"/>
      <c r="AF1" s="229"/>
      <c r="AG1" s="229"/>
      <c r="AH1" s="229"/>
      <c r="AI1" s="59"/>
      <c r="AJ1" s="59"/>
      <c r="AK1" s="59"/>
      <c r="AL1" s="59"/>
      <c r="AM1" s="59"/>
      <c r="AN1" s="59"/>
      <c r="AO1" s="59"/>
      <c r="AP1" s="59"/>
      <c r="AQ1" s="59"/>
      <c r="AR1" s="59"/>
      <c r="AS1" s="59"/>
      <c r="AT1" s="59"/>
      <c r="AU1" s="59"/>
      <c r="AV1" s="59"/>
      <c r="AW1"/>
      <c r="AX1"/>
      <c r="AY1"/>
      <c r="AZ1"/>
      <c r="BA1"/>
      <c r="BB1"/>
      <c r="BC1"/>
      <c r="BD1"/>
      <c r="BE1"/>
      <c r="BF1"/>
      <c r="BG1"/>
      <c r="BH1"/>
      <c r="BI1"/>
      <c r="BJ1"/>
      <c r="BK1"/>
      <c r="BL1"/>
      <c r="BM1"/>
      <c r="BN1"/>
      <c r="BO1"/>
      <c r="BP1"/>
      <c r="BQ1"/>
      <c r="BR1"/>
      <c r="BS1"/>
      <c r="BT1"/>
      <c r="BU1"/>
      <c r="BV1"/>
      <c r="BW1"/>
      <c r="BX1"/>
      <c r="BY1"/>
      <c r="BZ1"/>
      <c r="CA1"/>
    </row>
    <row r="2" spans="1:79" s="61" customFormat="1" ht="82.5" customHeight="1" thickBot="1">
      <c r="A2" s="1285" t="s">
        <v>1</v>
      </c>
      <c r="B2" s="1287" t="s">
        <v>71</v>
      </c>
      <c r="C2" s="1287"/>
      <c r="D2" s="1287" t="s">
        <v>84</v>
      </c>
      <c r="E2" s="1287"/>
      <c r="F2" s="1287" t="s">
        <v>73</v>
      </c>
      <c r="G2" s="1287"/>
      <c r="H2" s="1287" t="s">
        <v>77</v>
      </c>
      <c r="I2" s="1287"/>
      <c r="J2" s="1287" t="s">
        <v>78</v>
      </c>
      <c r="K2" s="1287"/>
      <c r="L2" s="1287" t="s">
        <v>79</v>
      </c>
      <c r="M2" s="1287"/>
      <c r="N2" s="1287" t="s">
        <v>212</v>
      </c>
      <c r="O2" s="1287"/>
      <c r="P2" s="1287" t="s">
        <v>81</v>
      </c>
      <c r="Q2" s="1287"/>
      <c r="R2" s="1287" t="s">
        <v>93</v>
      </c>
      <c r="S2" s="1287"/>
      <c r="T2" s="1288" t="s">
        <v>66</v>
      </c>
      <c r="U2" s="1288"/>
      <c r="W2"/>
      <c r="X2"/>
      <c r="Y2" s="229"/>
      <c r="Z2" s="230"/>
      <c r="AA2" s="229"/>
      <c r="AB2" s="229"/>
      <c r="AC2" s="229"/>
      <c r="AD2" s="229"/>
      <c r="AE2" s="229"/>
      <c r="AF2" s="229"/>
      <c r="AG2" s="229"/>
      <c r="AH2" s="229"/>
      <c r="AI2" s="59"/>
      <c r="AJ2" s="59"/>
      <c r="AK2" s="59"/>
      <c r="AL2" s="59"/>
      <c r="AM2" s="59"/>
      <c r="AN2" s="59"/>
      <c r="AO2" s="59"/>
      <c r="AP2" s="59"/>
      <c r="AQ2" s="59"/>
      <c r="AR2" s="59"/>
      <c r="AS2" s="59"/>
      <c r="AT2" s="59"/>
      <c r="AU2" s="59"/>
      <c r="AV2" s="59"/>
      <c r="AW2"/>
      <c r="AX2"/>
      <c r="AY2"/>
      <c r="AZ2"/>
      <c r="BA2"/>
      <c r="BB2"/>
      <c r="BC2"/>
      <c r="BD2"/>
      <c r="BE2"/>
      <c r="BF2"/>
      <c r="BG2"/>
      <c r="BH2"/>
      <c r="BI2"/>
      <c r="BJ2"/>
      <c r="BK2"/>
      <c r="BL2"/>
      <c r="BM2"/>
      <c r="BN2"/>
      <c r="BO2"/>
      <c r="BP2"/>
      <c r="BQ2"/>
      <c r="BR2"/>
      <c r="BS2"/>
      <c r="BT2"/>
      <c r="BU2"/>
      <c r="BV2"/>
      <c r="BW2"/>
      <c r="BX2"/>
      <c r="BY2"/>
      <c r="BZ2"/>
      <c r="CA2"/>
    </row>
    <row r="3" spans="1:79" s="195" customFormat="1" ht="20.25" customHeight="1" thickBot="1">
      <c r="A3" s="1286"/>
      <c r="B3" s="155" t="s">
        <v>10</v>
      </c>
      <c r="C3" s="370" t="s">
        <v>9</v>
      </c>
      <c r="D3" s="155" t="s">
        <v>10</v>
      </c>
      <c r="E3" s="370" t="s">
        <v>9</v>
      </c>
      <c r="F3" s="155" t="s">
        <v>10</v>
      </c>
      <c r="G3" s="370" t="s">
        <v>9</v>
      </c>
      <c r="H3" s="155" t="s">
        <v>10</v>
      </c>
      <c r="I3" s="370" t="s">
        <v>9</v>
      </c>
      <c r="J3" s="155" t="s">
        <v>10</v>
      </c>
      <c r="K3" s="370" t="s">
        <v>9</v>
      </c>
      <c r="L3" s="155" t="s">
        <v>10</v>
      </c>
      <c r="M3" s="370" t="s">
        <v>9</v>
      </c>
      <c r="N3" s="155" t="s">
        <v>10</v>
      </c>
      <c r="O3" s="370" t="s">
        <v>9</v>
      </c>
      <c r="P3" s="155" t="s">
        <v>10</v>
      </c>
      <c r="Q3" s="370" t="s">
        <v>9</v>
      </c>
      <c r="R3" s="155" t="s">
        <v>10</v>
      </c>
      <c r="S3" s="155" t="s">
        <v>9</v>
      </c>
      <c r="T3" s="155" t="s">
        <v>10</v>
      </c>
      <c r="U3" s="155" t="s">
        <v>9</v>
      </c>
      <c r="W3" s="44"/>
      <c r="X3" s="44"/>
      <c r="Y3" s="229"/>
      <c r="Z3" s="230"/>
      <c r="AA3" s="229"/>
      <c r="AB3" s="229"/>
      <c r="AC3" s="229"/>
      <c r="AD3" s="229"/>
      <c r="AE3" s="229"/>
      <c r="AF3" s="229"/>
      <c r="AG3" s="229"/>
      <c r="AH3" s="229"/>
      <c r="AI3" s="59"/>
      <c r="AJ3" s="59"/>
      <c r="AK3" s="59"/>
      <c r="AL3" s="59"/>
      <c r="AM3" s="59"/>
      <c r="AN3" s="59"/>
      <c r="AO3" s="59"/>
      <c r="AP3" s="59"/>
      <c r="AQ3" s="59"/>
      <c r="AR3" s="59"/>
      <c r="AS3" s="59"/>
      <c r="AT3" s="59"/>
      <c r="AU3" s="59"/>
      <c r="AV3" s="59"/>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row>
    <row r="4" spans="1:79" s="61" customFormat="1" ht="22.5" customHeight="1">
      <c r="A4" s="77" t="s">
        <v>69</v>
      </c>
      <c r="B4" s="127"/>
      <c r="C4" s="371"/>
      <c r="D4" s="127"/>
      <c r="E4" s="371"/>
      <c r="F4" s="127"/>
      <c r="G4" s="371"/>
      <c r="H4" s="127"/>
      <c r="I4" s="371"/>
      <c r="J4" s="127"/>
      <c r="K4" s="371"/>
      <c r="L4" s="127"/>
      <c r="M4" s="371"/>
      <c r="N4" s="127"/>
      <c r="O4" s="371"/>
      <c r="P4" s="127"/>
      <c r="Q4" s="371"/>
      <c r="R4" s="127"/>
      <c r="S4" s="127"/>
      <c r="T4" s="127"/>
      <c r="U4" s="127"/>
      <c r="W4"/>
      <c r="X4"/>
      <c r="Y4" s="229"/>
      <c r="Z4" s="230"/>
      <c r="AA4" s="229"/>
      <c r="AB4" s="229"/>
      <c r="AC4" s="229"/>
      <c r="AD4" s="229"/>
      <c r="AE4" s="229"/>
      <c r="AF4" s="229"/>
      <c r="AG4" s="229"/>
      <c r="AH4" s="229"/>
      <c r="AI4" s="59"/>
      <c r="AJ4" s="59"/>
      <c r="AK4" s="59"/>
      <c r="AL4" s="59"/>
      <c r="AM4" s="59"/>
      <c r="AN4" s="59"/>
      <c r="AO4" s="59"/>
      <c r="AP4" s="59"/>
      <c r="AQ4" s="59"/>
      <c r="AR4" s="59"/>
      <c r="AS4" s="59"/>
      <c r="AT4" s="59"/>
      <c r="AU4" s="59"/>
      <c r="AV4" s="59"/>
      <c r="AW4"/>
      <c r="AX4"/>
      <c r="AY4"/>
      <c r="AZ4"/>
      <c r="BA4"/>
      <c r="BB4"/>
      <c r="BC4"/>
      <c r="BD4"/>
      <c r="BE4"/>
      <c r="BF4"/>
      <c r="BG4"/>
      <c r="BH4"/>
      <c r="BI4"/>
      <c r="BJ4"/>
      <c r="BK4"/>
      <c r="BL4"/>
      <c r="BM4"/>
      <c r="BN4"/>
      <c r="BO4"/>
      <c r="BP4"/>
      <c r="BQ4"/>
      <c r="BR4"/>
      <c r="BS4"/>
      <c r="BT4"/>
      <c r="BU4"/>
      <c r="BV4"/>
      <c r="BW4"/>
      <c r="BX4"/>
      <c r="BY4"/>
      <c r="BZ4"/>
      <c r="CA4"/>
    </row>
    <row r="5" spans="1:79" s="74" customFormat="1" ht="21.75" customHeight="1">
      <c r="A5" s="108" t="s">
        <v>87</v>
      </c>
      <c r="B5" s="987">
        <v>1</v>
      </c>
      <c r="C5" s="988">
        <v>122.5</v>
      </c>
      <c r="D5" s="989"/>
      <c r="E5" s="988"/>
      <c r="F5" s="987"/>
      <c r="G5" s="988"/>
      <c r="H5" s="990">
        <v>1</v>
      </c>
      <c r="I5" s="991">
        <v>75.8</v>
      </c>
      <c r="J5" s="990"/>
      <c r="K5" s="991"/>
      <c r="L5" s="987">
        <v>3</v>
      </c>
      <c r="M5" s="988">
        <v>299.7</v>
      </c>
      <c r="N5" s="987"/>
      <c r="O5" s="988"/>
      <c r="P5" s="987"/>
      <c r="Q5" s="988"/>
      <c r="R5" s="989"/>
      <c r="S5" s="989"/>
      <c r="T5" s="225">
        <f aca="true" t="shared" si="0" ref="T5:U8">SUM(B5,D5,F5,H5,J5,N5,P5,L5,R5)</f>
        <v>5</v>
      </c>
      <c r="U5" s="377">
        <f t="shared" si="0"/>
        <v>498</v>
      </c>
      <c r="W5" s="87"/>
      <c r="X5"/>
      <c r="Y5" s="229"/>
      <c r="Z5" s="230"/>
      <c r="AA5" s="229"/>
      <c r="AB5" s="229"/>
      <c r="AC5" s="229"/>
      <c r="AD5" s="229"/>
      <c r="AE5" s="229"/>
      <c r="AF5" s="229"/>
      <c r="AG5" s="229"/>
      <c r="AH5" s="229"/>
      <c r="AI5" s="59"/>
      <c r="AJ5" s="59"/>
      <c r="AK5" s="59"/>
      <c r="AL5" s="59"/>
      <c r="AM5" s="59"/>
      <c r="AN5" s="59"/>
      <c r="AO5" s="59"/>
      <c r="AP5" s="59"/>
      <c r="AQ5" s="59"/>
      <c r="AR5" s="59"/>
      <c r="AS5" s="59"/>
      <c r="AT5" s="59"/>
      <c r="AU5" s="59"/>
      <c r="AV5" s="59"/>
      <c r="AW5"/>
      <c r="AX5"/>
      <c r="AY5"/>
      <c r="AZ5"/>
      <c r="BA5"/>
      <c r="BB5"/>
      <c r="BC5"/>
      <c r="BD5"/>
      <c r="BE5"/>
      <c r="BF5"/>
      <c r="BG5"/>
      <c r="BH5"/>
      <c r="BI5"/>
      <c r="BJ5"/>
      <c r="BK5"/>
      <c r="BL5"/>
      <c r="BM5"/>
      <c r="BN5"/>
      <c r="BO5"/>
      <c r="BP5"/>
      <c r="BQ5"/>
      <c r="BR5"/>
      <c r="BS5"/>
      <c r="BT5"/>
      <c r="BU5"/>
      <c r="BV5"/>
      <c r="BW5"/>
      <c r="BX5"/>
      <c r="BY5"/>
      <c r="BZ5"/>
      <c r="CA5"/>
    </row>
    <row r="6" spans="1:79" s="74" customFormat="1" ht="21.75" customHeight="1">
      <c r="A6" s="108" t="s">
        <v>88</v>
      </c>
      <c r="B6" s="987">
        <v>1</v>
      </c>
      <c r="C6" s="988">
        <v>120.2</v>
      </c>
      <c r="D6" s="989"/>
      <c r="E6" s="988"/>
      <c r="F6" s="987"/>
      <c r="G6" s="988"/>
      <c r="H6" s="990">
        <v>2</v>
      </c>
      <c r="I6" s="991">
        <v>136.4</v>
      </c>
      <c r="J6" s="990"/>
      <c r="K6" s="991"/>
      <c r="L6" s="987">
        <v>4</v>
      </c>
      <c r="M6" s="988">
        <v>302.6</v>
      </c>
      <c r="N6" s="987"/>
      <c r="O6" s="988"/>
      <c r="P6" s="987"/>
      <c r="Q6" s="988"/>
      <c r="R6" s="989"/>
      <c r="S6" s="989"/>
      <c r="T6" s="225">
        <f t="shared" si="0"/>
        <v>7</v>
      </c>
      <c r="U6" s="377">
        <f t="shared" si="0"/>
        <v>559.2</v>
      </c>
      <c r="W6" s="87"/>
      <c r="X6"/>
      <c r="Y6" s="229"/>
      <c r="Z6" s="230"/>
      <c r="AA6" s="229"/>
      <c r="AB6" s="229"/>
      <c r="AC6" s="229"/>
      <c r="AD6" s="229"/>
      <c r="AE6" s="229"/>
      <c r="AF6" s="229"/>
      <c r="AG6" s="229"/>
      <c r="AH6" s="229"/>
      <c r="AI6" s="59"/>
      <c r="AJ6" s="59"/>
      <c r="AK6" s="59"/>
      <c r="AL6" s="59"/>
      <c r="AM6" s="59"/>
      <c r="AN6" s="59"/>
      <c r="AO6" s="59"/>
      <c r="AP6" s="59"/>
      <c r="AQ6" s="59"/>
      <c r="AR6" s="59"/>
      <c r="AS6" s="59"/>
      <c r="AT6" s="59"/>
      <c r="AU6" s="59"/>
      <c r="AV6" s="59"/>
      <c r="AW6"/>
      <c r="AX6"/>
      <c r="AY6"/>
      <c r="AZ6"/>
      <c r="BA6"/>
      <c r="BB6"/>
      <c r="BC6"/>
      <c r="BD6"/>
      <c r="BE6"/>
      <c r="BF6"/>
      <c r="BG6"/>
      <c r="BH6"/>
      <c r="BI6"/>
      <c r="BJ6"/>
      <c r="BK6"/>
      <c r="BL6"/>
      <c r="BM6"/>
      <c r="BN6"/>
      <c r="BO6"/>
      <c r="BP6"/>
      <c r="BQ6"/>
      <c r="BR6"/>
      <c r="BS6"/>
      <c r="BT6"/>
      <c r="BU6"/>
      <c r="BV6"/>
      <c r="BW6"/>
      <c r="BX6"/>
      <c r="BY6"/>
      <c r="BZ6"/>
      <c r="CA6"/>
    </row>
    <row r="7" spans="1:79" s="74" customFormat="1" ht="21.75" customHeight="1">
      <c r="A7" s="108" t="s">
        <v>89</v>
      </c>
      <c r="B7" s="987">
        <v>2</v>
      </c>
      <c r="C7" s="988">
        <v>235</v>
      </c>
      <c r="D7" s="989"/>
      <c r="E7" s="988"/>
      <c r="F7" s="987"/>
      <c r="G7" s="988"/>
      <c r="H7" s="990">
        <v>1</v>
      </c>
      <c r="I7" s="991">
        <v>49.4</v>
      </c>
      <c r="J7" s="990"/>
      <c r="K7" s="991"/>
      <c r="L7" s="987">
        <v>1</v>
      </c>
      <c r="M7" s="988">
        <v>70.5</v>
      </c>
      <c r="N7" s="987">
        <v>10</v>
      </c>
      <c r="O7" s="988">
        <v>1073</v>
      </c>
      <c r="P7" s="987">
        <v>1</v>
      </c>
      <c r="Q7" s="988">
        <v>173.2</v>
      </c>
      <c r="R7" s="989"/>
      <c r="S7" s="989"/>
      <c r="T7" s="225">
        <f t="shared" si="0"/>
        <v>15</v>
      </c>
      <c r="U7" s="377">
        <f t="shared" si="0"/>
        <v>1601.1000000000001</v>
      </c>
      <c r="W7" s="87"/>
      <c r="X7"/>
      <c r="Y7" s="229"/>
      <c r="Z7" s="230"/>
      <c r="AA7" s="229"/>
      <c r="AB7" s="229"/>
      <c r="AC7" s="229"/>
      <c r="AD7" s="229"/>
      <c r="AE7" s="229"/>
      <c r="AF7" s="229"/>
      <c r="AG7" s="229"/>
      <c r="AH7" s="229"/>
      <c r="AI7" s="59"/>
      <c r="AJ7" s="59"/>
      <c r="AK7" s="59"/>
      <c r="AL7" s="59"/>
      <c r="AM7" s="59"/>
      <c r="AN7" s="59"/>
      <c r="AO7" s="59"/>
      <c r="AP7" s="59"/>
      <c r="AQ7" s="59"/>
      <c r="AR7" s="59"/>
      <c r="AS7" s="59"/>
      <c r="AT7" s="59"/>
      <c r="AU7" s="59"/>
      <c r="AV7" s="59"/>
      <c r="AW7"/>
      <c r="AX7"/>
      <c r="AY7"/>
      <c r="AZ7"/>
      <c r="BA7"/>
      <c r="BB7"/>
      <c r="BC7"/>
      <c r="BD7"/>
      <c r="BE7"/>
      <c r="BF7"/>
      <c r="BG7"/>
      <c r="BH7"/>
      <c r="BI7"/>
      <c r="BJ7"/>
      <c r="BK7"/>
      <c r="BL7"/>
      <c r="BM7"/>
      <c r="BN7"/>
      <c r="BO7"/>
      <c r="BP7"/>
      <c r="BQ7"/>
      <c r="BR7"/>
      <c r="BS7"/>
      <c r="BT7"/>
      <c r="BU7"/>
      <c r="BV7"/>
      <c r="BW7"/>
      <c r="BX7"/>
      <c r="BY7"/>
      <c r="BZ7"/>
      <c r="CA7"/>
    </row>
    <row r="8" spans="1:79" s="74" customFormat="1" ht="21.75" customHeight="1">
      <c r="A8" s="108" t="s">
        <v>90</v>
      </c>
      <c r="B8" s="987">
        <v>1</v>
      </c>
      <c r="C8" s="988">
        <v>122.9</v>
      </c>
      <c r="D8" s="989"/>
      <c r="E8" s="988"/>
      <c r="F8" s="987"/>
      <c r="G8" s="988"/>
      <c r="H8" s="990">
        <v>1</v>
      </c>
      <c r="I8" s="991">
        <v>83.3</v>
      </c>
      <c r="J8" s="990">
        <v>1</v>
      </c>
      <c r="K8" s="991">
        <v>241.8</v>
      </c>
      <c r="L8" s="987"/>
      <c r="M8" s="988"/>
      <c r="N8" s="987"/>
      <c r="O8" s="988"/>
      <c r="P8" s="987"/>
      <c r="Q8" s="988"/>
      <c r="R8" s="989"/>
      <c r="S8" s="989"/>
      <c r="T8" s="225">
        <f t="shared" si="0"/>
        <v>3</v>
      </c>
      <c r="U8" s="377">
        <f t="shared" si="0"/>
        <v>448</v>
      </c>
      <c r="W8" s="87"/>
      <c r="X8"/>
      <c r="Y8" s="229"/>
      <c r="Z8" s="230"/>
      <c r="AA8" s="229"/>
      <c r="AB8" s="229"/>
      <c r="AC8" s="229"/>
      <c r="AD8" s="229"/>
      <c r="AE8" s="229"/>
      <c r="AF8" s="229"/>
      <c r="AG8" s="229"/>
      <c r="AH8" s="229"/>
      <c r="AI8" s="59"/>
      <c r="AJ8" s="59"/>
      <c r="AK8" s="59"/>
      <c r="AL8" s="59"/>
      <c r="AM8" s="59"/>
      <c r="AN8" s="59"/>
      <c r="AO8" s="59"/>
      <c r="AP8" s="59"/>
      <c r="AQ8" s="59"/>
      <c r="AR8" s="59"/>
      <c r="AS8" s="59"/>
      <c r="AT8" s="59"/>
      <c r="AU8" s="59"/>
      <c r="AV8" s="59"/>
      <c r="AW8"/>
      <c r="AX8"/>
      <c r="AY8"/>
      <c r="AZ8"/>
      <c r="BA8"/>
      <c r="BB8"/>
      <c r="BC8"/>
      <c r="BD8"/>
      <c r="BE8"/>
      <c r="BF8"/>
      <c r="BG8"/>
      <c r="BH8"/>
      <c r="BI8"/>
      <c r="BJ8"/>
      <c r="BK8"/>
      <c r="BL8"/>
      <c r="BM8"/>
      <c r="BN8"/>
      <c r="BO8"/>
      <c r="BP8"/>
      <c r="BQ8"/>
      <c r="BR8"/>
      <c r="BS8"/>
      <c r="BT8"/>
      <c r="BU8"/>
      <c r="BV8"/>
      <c r="BW8"/>
      <c r="BX8"/>
      <c r="BY8"/>
      <c r="BZ8"/>
      <c r="CA8"/>
    </row>
    <row r="9" spans="1:79" s="74" customFormat="1" ht="23.25" customHeight="1">
      <c r="A9" s="84" t="s">
        <v>16</v>
      </c>
      <c r="B9" s="992"/>
      <c r="C9" s="993"/>
      <c r="D9" s="994"/>
      <c r="E9" s="993"/>
      <c r="F9" s="994"/>
      <c r="G9" s="993"/>
      <c r="H9" s="992"/>
      <c r="I9" s="995"/>
      <c r="J9" s="992"/>
      <c r="K9" s="995"/>
      <c r="L9" s="992"/>
      <c r="M9" s="995"/>
      <c r="N9" s="992"/>
      <c r="O9" s="995"/>
      <c r="P9" s="992"/>
      <c r="Q9" s="995"/>
      <c r="R9" s="992"/>
      <c r="S9" s="992"/>
      <c r="T9" s="277"/>
      <c r="U9" s="378"/>
      <c r="W9" s="87"/>
      <c r="X9"/>
      <c r="Y9" s="229"/>
      <c r="Z9" s="230"/>
      <c r="AA9" s="229"/>
      <c r="AB9" s="229"/>
      <c r="AC9" s="229"/>
      <c r="AD9" s="229"/>
      <c r="AE9" s="229"/>
      <c r="AF9" s="229"/>
      <c r="AG9" s="229"/>
      <c r="AH9" s="229"/>
      <c r="AI9" s="59"/>
      <c r="AJ9" s="59"/>
      <c r="AK9" s="59"/>
      <c r="AL9" s="59"/>
      <c r="AM9" s="59"/>
      <c r="AN9" s="59"/>
      <c r="AO9" s="59"/>
      <c r="AP9" s="59"/>
      <c r="AQ9" s="59"/>
      <c r="AR9" s="59"/>
      <c r="AS9" s="59"/>
      <c r="AT9" s="59"/>
      <c r="AU9" s="59"/>
      <c r="AV9" s="59"/>
      <c r="AW9"/>
      <c r="AX9"/>
      <c r="AY9"/>
      <c r="AZ9"/>
      <c r="BA9"/>
      <c r="BB9"/>
      <c r="BC9"/>
      <c r="BD9"/>
      <c r="BE9"/>
      <c r="BF9"/>
      <c r="BG9"/>
      <c r="BH9"/>
      <c r="BI9"/>
      <c r="BJ9"/>
      <c r="BK9"/>
      <c r="BL9"/>
      <c r="BM9"/>
      <c r="BN9"/>
      <c r="BO9"/>
      <c r="BP9"/>
      <c r="BQ9"/>
      <c r="BR9"/>
      <c r="BS9"/>
      <c r="BT9"/>
      <c r="BU9"/>
      <c r="BV9"/>
      <c r="BW9"/>
      <c r="BX9"/>
      <c r="BY9"/>
      <c r="BZ9"/>
      <c r="CA9"/>
    </row>
    <row r="10" spans="1:79" s="74" customFormat="1" ht="21.75" customHeight="1">
      <c r="A10" s="108" t="s">
        <v>96</v>
      </c>
      <c r="B10" s="996">
        <v>2</v>
      </c>
      <c r="C10" s="997">
        <v>272.2</v>
      </c>
      <c r="D10" s="998"/>
      <c r="E10" s="997"/>
      <c r="F10" s="998"/>
      <c r="G10" s="997"/>
      <c r="H10" s="996">
        <v>1</v>
      </c>
      <c r="I10" s="999">
        <v>91.9</v>
      </c>
      <c r="J10" s="996"/>
      <c r="K10" s="999"/>
      <c r="L10" s="996">
        <v>1</v>
      </c>
      <c r="M10" s="999">
        <v>88.1</v>
      </c>
      <c r="N10" s="996"/>
      <c r="O10" s="999"/>
      <c r="P10" s="996">
        <v>1</v>
      </c>
      <c r="Q10" s="999">
        <v>191.4</v>
      </c>
      <c r="R10" s="996"/>
      <c r="S10" s="996"/>
      <c r="T10" s="225">
        <f aca="true" t="shared" si="1" ref="T10:U13">SUM(B10,D10,F10,H10,J10,N10,P10,L10,R10)</f>
        <v>5</v>
      </c>
      <c r="U10" s="377">
        <f t="shared" si="1"/>
        <v>643.6</v>
      </c>
      <c r="W10" s="87"/>
      <c r="X10"/>
      <c r="Y10" s="229"/>
      <c r="Z10" s="230"/>
      <c r="AA10" s="229"/>
      <c r="AB10" s="229"/>
      <c r="AC10" s="229"/>
      <c r="AD10" s="229"/>
      <c r="AE10" s="229"/>
      <c r="AF10" s="229"/>
      <c r="AG10" s="229"/>
      <c r="AH10" s="229"/>
      <c r="AI10" s="59"/>
      <c r="AJ10" s="59"/>
      <c r="AK10" s="59"/>
      <c r="AL10" s="59"/>
      <c r="AM10" s="59"/>
      <c r="AN10" s="59"/>
      <c r="AO10" s="59"/>
      <c r="AP10" s="59"/>
      <c r="AQ10" s="59"/>
      <c r="AR10" s="59"/>
      <c r="AS10" s="59"/>
      <c r="AT10" s="59"/>
      <c r="AU10" s="59"/>
      <c r="AV10" s="59"/>
      <c r="AW10"/>
      <c r="AX10"/>
      <c r="AY10"/>
      <c r="AZ10"/>
      <c r="BA10"/>
      <c r="BB10"/>
      <c r="BC10"/>
      <c r="BD10"/>
      <c r="BE10"/>
      <c r="BF10"/>
      <c r="BG10"/>
      <c r="BH10"/>
      <c r="BI10"/>
      <c r="BJ10"/>
      <c r="BK10"/>
      <c r="BL10"/>
      <c r="BM10"/>
      <c r="BN10"/>
      <c r="BO10"/>
      <c r="BP10"/>
      <c r="BQ10"/>
      <c r="BR10"/>
      <c r="BS10"/>
      <c r="BT10"/>
      <c r="BU10"/>
      <c r="BV10"/>
      <c r="BW10"/>
      <c r="BX10"/>
      <c r="BY10"/>
      <c r="BZ10"/>
      <c r="CA10"/>
    </row>
    <row r="11" spans="1:79" s="74" customFormat="1" ht="21.75" customHeight="1">
      <c r="A11" s="108" t="s">
        <v>124</v>
      </c>
      <c r="B11" s="996"/>
      <c r="C11" s="997"/>
      <c r="D11" s="998"/>
      <c r="E11" s="997"/>
      <c r="F11" s="998"/>
      <c r="G11" s="997"/>
      <c r="H11" s="996">
        <v>1</v>
      </c>
      <c r="I11" s="999">
        <v>81.6</v>
      </c>
      <c r="J11" s="996"/>
      <c r="K11" s="999"/>
      <c r="L11" s="996"/>
      <c r="M11" s="999"/>
      <c r="N11" s="996"/>
      <c r="O11" s="999"/>
      <c r="P11" s="996"/>
      <c r="Q11" s="999"/>
      <c r="R11" s="996"/>
      <c r="S11" s="996"/>
      <c r="T11" s="225">
        <f t="shared" si="1"/>
        <v>1</v>
      </c>
      <c r="U11" s="377">
        <f t="shared" si="1"/>
        <v>81.6</v>
      </c>
      <c r="W11" s="87"/>
      <c r="X11"/>
      <c r="Y11" s="229"/>
      <c r="Z11" s="230"/>
      <c r="AA11" s="229"/>
      <c r="AB11" s="229"/>
      <c r="AC11" s="229"/>
      <c r="AD11" s="229"/>
      <c r="AE11" s="229"/>
      <c r="AF11" s="229"/>
      <c r="AG11" s="229"/>
      <c r="AH11" s="229"/>
      <c r="AI11" s="59"/>
      <c r="AJ11" s="59"/>
      <c r="AK11" s="59"/>
      <c r="AL11" s="59"/>
      <c r="AM11" s="59"/>
      <c r="AN11" s="59"/>
      <c r="AO11" s="59"/>
      <c r="AP11" s="59"/>
      <c r="AQ11" s="59"/>
      <c r="AR11" s="59"/>
      <c r="AS11" s="59"/>
      <c r="AT11" s="59"/>
      <c r="AU11" s="59"/>
      <c r="AV11" s="59"/>
      <c r="AW11"/>
      <c r="AX11"/>
      <c r="AY11"/>
      <c r="AZ11"/>
      <c r="BA11"/>
      <c r="BB11"/>
      <c r="BC11"/>
      <c r="BD11"/>
      <c r="BE11"/>
      <c r="BF11"/>
      <c r="BG11"/>
      <c r="BH11"/>
      <c r="BI11"/>
      <c r="BJ11"/>
      <c r="BK11"/>
      <c r="BL11"/>
      <c r="BM11"/>
      <c r="BN11"/>
      <c r="BO11"/>
      <c r="BP11"/>
      <c r="BQ11"/>
      <c r="BR11"/>
      <c r="BS11"/>
      <c r="BT11"/>
      <c r="BU11"/>
      <c r="BV11"/>
      <c r="BW11"/>
      <c r="BX11"/>
      <c r="BY11"/>
      <c r="BZ11"/>
      <c r="CA11"/>
    </row>
    <row r="12" spans="1:79" s="74" customFormat="1" ht="21.75" customHeight="1">
      <c r="A12" s="108" t="s">
        <v>97</v>
      </c>
      <c r="B12" s="996"/>
      <c r="C12" s="997"/>
      <c r="D12" s="998"/>
      <c r="E12" s="997"/>
      <c r="F12" s="998"/>
      <c r="G12" s="997"/>
      <c r="H12" s="996">
        <v>4</v>
      </c>
      <c r="I12" s="999">
        <v>313.3</v>
      </c>
      <c r="J12" s="996">
        <v>1</v>
      </c>
      <c r="K12" s="999">
        <v>95.2</v>
      </c>
      <c r="L12" s="996">
        <v>3</v>
      </c>
      <c r="M12" s="999">
        <v>265.4</v>
      </c>
      <c r="N12" s="996"/>
      <c r="O12" s="999"/>
      <c r="P12" s="996"/>
      <c r="Q12" s="999"/>
      <c r="R12" s="996"/>
      <c r="S12" s="996"/>
      <c r="T12" s="225">
        <f t="shared" si="1"/>
        <v>8</v>
      </c>
      <c r="U12" s="377">
        <f t="shared" si="1"/>
        <v>673.9</v>
      </c>
      <c r="W12" s="87"/>
      <c r="X12"/>
      <c r="Y12" s="229"/>
      <c r="Z12" s="230"/>
      <c r="AA12" s="229"/>
      <c r="AB12" s="229"/>
      <c r="AC12" s="229"/>
      <c r="AD12" s="229"/>
      <c r="AE12" s="229"/>
      <c r="AF12" s="229"/>
      <c r="AG12" s="229"/>
      <c r="AH12" s="229"/>
      <c r="AI12" s="59"/>
      <c r="AJ12" s="59"/>
      <c r="AK12" s="59"/>
      <c r="AL12" s="59"/>
      <c r="AM12" s="59"/>
      <c r="AN12" s="59"/>
      <c r="AO12" s="59"/>
      <c r="AP12" s="59"/>
      <c r="AQ12" s="59"/>
      <c r="AR12" s="59"/>
      <c r="AS12" s="59"/>
      <c r="AT12" s="59"/>
      <c r="AU12" s="59"/>
      <c r="AV12" s="59"/>
      <c r="AW12"/>
      <c r="AX12"/>
      <c r="AY12"/>
      <c r="AZ12"/>
      <c r="BA12"/>
      <c r="BB12"/>
      <c r="BC12"/>
      <c r="BD12"/>
      <c r="BE12"/>
      <c r="BF12"/>
      <c r="BG12"/>
      <c r="BH12"/>
      <c r="BI12"/>
      <c r="BJ12"/>
      <c r="BK12"/>
      <c r="BL12"/>
      <c r="BM12"/>
      <c r="BN12"/>
      <c r="BO12"/>
      <c r="BP12"/>
      <c r="BQ12"/>
      <c r="BR12"/>
      <c r="BS12"/>
      <c r="BT12"/>
      <c r="BU12"/>
      <c r="BV12"/>
      <c r="BW12"/>
      <c r="BX12"/>
      <c r="BY12"/>
      <c r="BZ12"/>
      <c r="CA12"/>
    </row>
    <row r="13" spans="1:79" s="74" customFormat="1" ht="21.75" customHeight="1">
      <c r="A13" s="105" t="s">
        <v>92</v>
      </c>
      <c r="B13" s="996"/>
      <c r="C13" s="997"/>
      <c r="D13" s="998"/>
      <c r="E13" s="997"/>
      <c r="F13" s="998"/>
      <c r="G13" s="997"/>
      <c r="H13" s="996">
        <v>2</v>
      </c>
      <c r="I13" s="999">
        <v>231</v>
      </c>
      <c r="J13" s="996">
        <v>1</v>
      </c>
      <c r="K13" s="999">
        <v>152.8</v>
      </c>
      <c r="L13" s="996">
        <v>1</v>
      </c>
      <c r="M13" s="999">
        <v>116.2</v>
      </c>
      <c r="N13" s="996"/>
      <c r="O13" s="999"/>
      <c r="P13" s="996"/>
      <c r="Q13" s="999"/>
      <c r="R13" s="996"/>
      <c r="S13" s="996"/>
      <c r="T13" s="234">
        <f t="shared" si="1"/>
        <v>4</v>
      </c>
      <c r="U13" s="379">
        <f t="shared" si="1"/>
        <v>500</v>
      </c>
      <c r="W13"/>
      <c r="X13"/>
      <c r="Y13" s="229"/>
      <c r="Z13" s="230"/>
      <c r="AA13" s="229"/>
      <c r="AB13" s="229"/>
      <c r="AC13" s="229"/>
      <c r="AD13" s="229"/>
      <c r="AE13" s="229"/>
      <c r="AF13" s="229"/>
      <c r="AG13" s="229"/>
      <c r="AH13" s="229"/>
      <c r="AI13" s="59"/>
      <c r="AJ13" s="59"/>
      <c r="AK13" s="59"/>
      <c r="AL13" s="59"/>
      <c r="AM13" s="59"/>
      <c r="AN13" s="59"/>
      <c r="AO13" s="59"/>
      <c r="AP13" s="59"/>
      <c r="AQ13" s="59"/>
      <c r="AR13" s="59"/>
      <c r="AS13" s="59"/>
      <c r="AT13" s="59"/>
      <c r="AU13" s="59"/>
      <c r="AV13" s="59"/>
      <c r="AW13"/>
      <c r="AX13"/>
      <c r="AY13"/>
      <c r="AZ13"/>
      <c r="BA13"/>
      <c r="BB13"/>
      <c r="BC13"/>
      <c r="BD13"/>
      <c r="BE13"/>
      <c r="BF13"/>
      <c r="BG13"/>
      <c r="BH13"/>
      <c r="BI13"/>
      <c r="BJ13"/>
      <c r="BK13"/>
      <c r="BL13"/>
      <c r="BM13"/>
      <c r="BN13"/>
      <c r="BO13"/>
      <c r="BP13"/>
      <c r="BQ13"/>
      <c r="BR13"/>
      <c r="BS13"/>
      <c r="BT13"/>
      <c r="BU13"/>
      <c r="BV13"/>
      <c r="BW13"/>
      <c r="BX13"/>
      <c r="BY13"/>
      <c r="BZ13"/>
      <c r="CA13"/>
    </row>
    <row r="14" spans="1:79" s="74" customFormat="1" ht="24" customHeight="1">
      <c r="A14" s="77" t="s">
        <v>21</v>
      </c>
      <c r="B14" s="992"/>
      <c r="C14" s="995"/>
      <c r="D14" s="992"/>
      <c r="E14" s="995"/>
      <c r="F14" s="992"/>
      <c r="G14" s="995"/>
      <c r="H14" s="992"/>
      <c r="I14" s="995"/>
      <c r="J14" s="992"/>
      <c r="K14" s="995"/>
      <c r="L14" s="992"/>
      <c r="M14" s="995"/>
      <c r="N14" s="992"/>
      <c r="O14" s="995"/>
      <c r="P14" s="992"/>
      <c r="Q14" s="995"/>
      <c r="R14" s="992"/>
      <c r="S14" s="992"/>
      <c r="T14" s="225"/>
      <c r="U14" s="377"/>
      <c r="W14"/>
      <c r="X14"/>
      <c r="Y14" s="229"/>
      <c r="Z14" s="230"/>
      <c r="AA14" s="229"/>
      <c r="AB14" s="229"/>
      <c r="AC14" s="229"/>
      <c r="AD14" s="229"/>
      <c r="AE14" s="229"/>
      <c r="AF14" s="229"/>
      <c r="AG14" s="229"/>
      <c r="AH14" s="229"/>
      <c r="AI14" s="59"/>
      <c r="AJ14" s="59"/>
      <c r="AK14" s="59"/>
      <c r="AL14" s="59"/>
      <c r="AM14" s="59"/>
      <c r="AN14" s="59"/>
      <c r="AO14" s="59"/>
      <c r="AP14" s="59"/>
      <c r="AQ14" s="59"/>
      <c r="AR14" s="59"/>
      <c r="AS14" s="59"/>
      <c r="AT14" s="59"/>
      <c r="AU14" s="59"/>
      <c r="AV14" s="59"/>
      <c r="AW14"/>
      <c r="AX14"/>
      <c r="AY14"/>
      <c r="AZ14"/>
      <c r="BA14"/>
      <c r="BB14"/>
      <c r="BC14"/>
      <c r="BD14"/>
      <c r="BE14"/>
      <c r="BF14"/>
      <c r="BG14"/>
      <c r="BH14"/>
      <c r="BI14"/>
      <c r="BJ14"/>
      <c r="BK14"/>
      <c r="BL14"/>
      <c r="BM14"/>
      <c r="BN14"/>
      <c r="BO14"/>
      <c r="BP14"/>
      <c r="BQ14"/>
      <c r="BR14"/>
      <c r="BS14"/>
      <c r="BT14"/>
      <c r="BU14"/>
      <c r="BV14"/>
      <c r="BW14"/>
      <c r="BX14"/>
      <c r="BY14"/>
      <c r="BZ14"/>
      <c r="CA14"/>
    </row>
    <row r="15" spans="1:79" s="106" customFormat="1" ht="21.75" customHeight="1">
      <c r="A15" s="108" t="s">
        <v>95</v>
      </c>
      <c r="B15" s="989"/>
      <c r="C15" s="1000"/>
      <c r="D15" s="1001"/>
      <c r="E15" s="1002"/>
      <c r="F15" s="1001"/>
      <c r="G15" s="1002"/>
      <c r="H15" s="1001">
        <v>2</v>
      </c>
      <c r="I15" s="1002">
        <v>177.6</v>
      </c>
      <c r="J15" s="989"/>
      <c r="K15" s="1000"/>
      <c r="L15" s="1001">
        <v>1</v>
      </c>
      <c r="M15" s="1002">
        <v>99.2</v>
      </c>
      <c r="N15" s="1001"/>
      <c r="O15" s="1002"/>
      <c r="P15" s="1001"/>
      <c r="Q15" s="1002"/>
      <c r="R15" s="989"/>
      <c r="S15" s="989"/>
      <c r="T15" s="225">
        <f>SUM(B15,D15,F15,H15,J15,N15,P15,L15,R15)</f>
        <v>3</v>
      </c>
      <c r="U15" s="377">
        <f>SUM(C15,E15,G15,I15,K15,O15,Q15,M15,S15)</f>
        <v>276.8</v>
      </c>
      <c r="W15"/>
      <c r="X15"/>
      <c r="Y15" s="229"/>
      <c r="Z15" s="230"/>
      <c r="AA15" s="229"/>
      <c r="AB15" s="229"/>
      <c r="AC15" s="229"/>
      <c r="AD15" s="229"/>
      <c r="AE15" s="229"/>
      <c r="AF15" s="229"/>
      <c r="AG15" s="229"/>
      <c r="AH15" s="229"/>
      <c r="AI15" s="59"/>
      <c r="AJ15" s="59"/>
      <c r="AK15" s="59"/>
      <c r="AL15" s="59"/>
      <c r="AM15" s="59"/>
      <c r="AN15" s="59"/>
      <c r="AO15" s="59"/>
      <c r="AP15" s="59"/>
      <c r="AQ15" s="59"/>
      <c r="AR15" s="59"/>
      <c r="AS15" s="59"/>
      <c r="AT15" s="59"/>
      <c r="AU15" s="59"/>
      <c r="AV15" s="59"/>
      <c r="AW15"/>
      <c r="AX15"/>
      <c r="AY15"/>
      <c r="AZ15"/>
      <c r="BA15"/>
      <c r="BB15"/>
      <c r="BC15"/>
      <c r="BD15"/>
      <c r="BE15"/>
      <c r="BF15"/>
      <c r="BG15"/>
      <c r="BH15"/>
      <c r="BI15"/>
      <c r="BJ15"/>
      <c r="BK15"/>
      <c r="BL15"/>
      <c r="BM15"/>
      <c r="BN15"/>
      <c r="BO15"/>
      <c r="BP15"/>
      <c r="BQ15"/>
      <c r="BR15"/>
      <c r="BS15"/>
      <c r="BT15"/>
      <c r="BU15"/>
      <c r="BV15"/>
      <c r="BW15"/>
      <c r="BX15"/>
      <c r="BY15"/>
      <c r="BZ15"/>
      <c r="CA15"/>
    </row>
    <row r="16" spans="1:79" s="106" customFormat="1" ht="21.75" customHeight="1">
      <c r="A16" s="108" t="s">
        <v>91</v>
      </c>
      <c r="B16" s="989">
        <v>1</v>
      </c>
      <c r="C16" s="1000">
        <v>174</v>
      </c>
      <c r="D16" s="1001"/>
      <c r="E16" s="1002"/>
      <c r="F16" s="1001"/>
      <c r="G16" s="1002"/>
      <c r="H16" s="1001">
        <v>2</v>
      </c>
      <c r="I16" s="1002">
        <v>274.7</v>
      </c>
      <c r="J16" s="989"/>
      <c r="K16" s="1000"/>
      <c r="L16" s="1001">
        <v>1</v>
      </c>
      <c r="M16" s="1002">
        <v>123.8</v>
      </c>
      <c r="N16" s="1001"/>
      <c r="O16" s="1002"/>
      <c r="P16" s="1001"/>
      <c r="Q16" s="1002"/>
      <c r="R16" s="989"/>
      <c r="S16" s="1000"/>
      <c r="T16" s="225">
        <f>SUM(B16,D16,F16,H16,J16,N16,P16,L16,R16)</f>
        <v>4</v>
      </c>
      <c r="U16" s="377">
        <f>SUM(C16,E16,G16,I16,K16,O16,Q16,M16,S16)</f>
        <v>572.5</v>
      </c>
      <c r="V16" s="228"/>
      <c r="W16" s="128"/>
      <c r="X16" s="128"/>
      <c r="Y16" s="225"/>
      <c r="Z16" s="225"/>
      <c r="AA16" s="229"/>
      <c r="AB16" s="229"/>
      <c r="AC16" s="229"/>
      <c r="AD16" s="229"/>
      <c r="AE16" s="229"/>
      <c r="AF16" s="229"/>
      <c r="AG16" s="229"/>
      <c r="AH16" s="229"/>
      <c r="AI16" s="59"/>
      <c r="AJ16" s="59"/>
      <c r="AK16" s="59"/>
      <c r="AL16" s="59"/>
      <c r="AM16" s="59"/>
      <c r="AN16" s="59"/>
      <c r="AO16" s="59"/>
      <c r="AP16" s="59"/>
      <c r="AQ16" s="59"/>
      <c r="AR16" s="59"/>
      <c r="AS16" s="59"/>
      <c r="AT16" s="59"/>
      <c r="AU16" s="59"/>
      <c r="AV16" s="59"/>
      <c r="AW16"/>
      <c r="AX16"/>
      <c r="AY16"/>
      <c r="AZ16"/>
      <c r="BA16"/>
      <c r="BB16"/>
      <c r="BC16"/>
      <c r="BD16"/>
      <c r="BE16"/>
      <c r="BF16"/>
      <c r="BG16"/>
      <c r="BH16"/>
      <c r="BI16"/>
      <c r="BJ16"/>
      <c r="BK16"/>
      <c r="BL16"/>
      <c r="BM16"/>
      <c r="BN16"/>
      <c r="BO16"/>
      <c r="BP16"/>
      <c r="BQ16"/>
      <c r="BR16"/>
      <c r="BS16"/>
      <c r="BT16"/>
      <c r="BU16"/>
      <c r="BV16"/>
      <c r="BW16"/>
      <c r="BX16"/>
      <c r="BY16"/>
      <c r="BZ16"/>
      <c r="CA16"/>
    </row>
    <row r="17" spans="1:79" s="74" customFormat="1" ht="24" customHeight="1">
      <c r="A17" s="84" t="s">
        <v>24</v>
      </c>
      <c r="B17" s="992"/>
      <c r="C17" s="995"/>
      <c r="D17" s="992"/>
      <c r="E17" s="995"/>
      <c r="F17" s="992"/>
      <c r="G17" s="995"/>
      <c r="H17" s="992"/>
      <c r="I17" s="995"/>
      <c r="J17" s="992"/>
      <c r="K17" s="995"/>
      <c r="L17" s="992"/>
      <c r="M17" s="995"/>
      <c r="N17" s="992"/>
      <c r="O17" s="995"/>
      <c r="P17" s="992"/>
      <c r="Q17" s="995"/>
      <c r="R17" s="1003"/>
      <c r="S17" s="1004"/>
      <c r="T17" s="277"/>
      <c r="U17" s="378"/>
      <c r="X17"/>
      <c r="Y17" s="229"/>
      <c r="Z17" s="230"/>
      <c r="AA17" s="229"/>
      <c r="AB17" s="229"/>
      <c r="AC17" s="229"/>
      <c r="AD17" s="229"/>
      <c r="AE17" s="229"/>
      <c r="AF17" s="229"/>
      <c r="AG17" s="229"/>
      <c r="AH17" s="229"/>
      <c r="AI17" s="59"/>
      <c r="AJ17" s="59"/>
      <c r="AK17" s="59"/>
      <c r="AL17" s="59"/>
      <c r="AM17" s="59"/>
      <c r="AN17" s="59"/>
      <c r="AO17" s="59"/>
      <c r="AP17" s="59"/>
      <c r="AQ17" s="59"/>
      <c r="AR17" s="59"/>
      <c r="AS17" s="59"/>
      <c r="AT17" s="59"/>
      <c r="AU17" s="59"/>
      <c r="AV17" s="59"/>
      <c r="AW17"/>
      <c r="AX17"/>
      <c r="AY17"/>
      <c r="AZ17"/>
      <c r="BA17"/>
      <c r="BB17"/>
      <c r="BC17"/>
      <c r="BD17"/>
      <c r="BE17"/>
      <c r="BF17"/>
      <c r="BG17"/>
      <c r="BH17"/>
      <c r="BI17"/>
      <c r="BJ17"/>
      <c r="BK17"/>
      <c r="BL17"/>
      <c r="BM17"/>
      <c r="BN17"/>
      <c r="BO17"/>
      <c r="BP17"/>
      <c r="BQ17"/>
      <c r="BR17"/>
      <c r="BS17"/>
      <c r="BT17"/>
      <c r="BU17"/>
      <c r="BV17"/>
      <c r="BW17"/>
      <c r="BX17"/>
      <c r="BY17"/>
      <c r="BZ17"/>
      <c r="CA17"/>
    </row>
    <row r="18" spans="1:79" s="106" customFormat="1" ht="21" customHeight="1">
      <c r="A18" s="108" t="s">
        <v>98</v>
      </c>
      <c r="B18" s="989"/>
      <c r="C18" s="1000"/>
      <c r="D18" s="1001"/>
      <c r="E18" s="1002"/>
      <c r="F18" s="1001"/>
      <c r="G18" s="1002"/>
      <c r="H18" s="1001"/>
      <c r="I18" s="1002"/>
      <c r="J18" s="989"/>
      <c r="K18" s="1000"/>
      <c r="L18" s="1001">
        <v>1</v>
      </c>
      <c r="M18" s="1002">
        <v>136.4</v>
      </c>
      <c r="N18" s="1001"/>
      <c r="O18" s="1002"/>
      <c r="P18" s="1001"/>
      <c r="Q18" s="1002"/>
      <c r="R18" s="989"/>
      <c r="S18" s="1000"/>
      <c r="T18" s="225">
        <f>SUM(B18,D18,F18,H18,J18,N18,P18,L18,R18)</f>
        <v>1</v>
      </c>
      <c r="U18" s="377">
        <f>SUM(C18,E18,G18,I18,K18,O18,Q18,M18,S18)</f>
        <v>136.4</v>
      </c>
      <c r="X18"/>
      <c r="Y18" s="229"/>
      <c r="Z18" s="230"/>
      <c r="AA18" s="229"/>
      <c r="AB18" s="229"/>
      <c r="AC18" s="229"/>
      <c r="AD18" s="229"/>
      <c r="AE18" s="229"/>
      <c r="AF18" s="229"/>
      <c r="AG18" s="229"/>
      <c r="AH18" s="229"/>
      <c r="AI18" s="59"/>
      <c r="AJ18" s="59"/>
      <c r="AK18" s="59"/>
      <c r="AL18" s="59"/>
      <c r="AM18" s="59"/>
      <c r="AN18" s="59"/>
      <c r="AO18" s="59"/>
      <c r="AP18" s="59"/>
      <c r="AQ18" s="59"/>
      <c r="AR18" s="59"/>
      <c r="AS18" s="59"/>
      <c r="AT18" s="59"/>
      <c r="AU18" s="59"/>
      <c r="AV18" s="59"/>
      <c r="AW18"/>
      <c r="AX18"/>
      <c r="AY18"/>
      <c r="AZ18"/>
      <c r="BA18"/>
      <c r="BB18"/>
      <c r="BC18"/>
      <c r="BD18"/>
      <c r="BE18"/>
      <c r="BF18"/>
      <c r="BG18"/>
      <c r="BH18"/>
      <c r="BI18"/>
      <c r="BJ18"/>
      <c r="BK18"/>
      <c r="BL18"/>
      <c r="BM18"/>
      <c r="BN18"/>
      <c r="BO18"/>
      <c r="BP18"/>
      <c r="BQ18"/>
      <c r="BR18"/>
      <c r="BS18"/>
      <c r="BT18"/>
      <c r="BU18"/>
      <c r="BV18"/>
      <c r="BW18"/>
      <c r="BX18"/>
      <c r="BY18"/>
      <c r="BZ18"/>
      <c r="CA18"/>
    </row>
    <row r="19" spans="1:79" s="106" customFormat="1" ht="21" customHeight="1">
      <c r="A19" s="108" t="s">
        <v>99</v>
      </c>
      <c r="B19" s="989">
        <v>3</v>
      </c>
      <c r="C19" s="1000">
        <v>386.7</v>
      </c>
      <c r="D19" s="1001"/>
      <c r="E19" s="1002"/>
      <c r="F19" s="1001"/>
      <c r="G19" s="1002"/>
      <c r="H19" s="1001"/>
      <c r="I19" s="1002"/>
      <c r="J19" s="989">
        <v>1</v>
      </c>
      <c r="K19" s="1000">
        <v>96.5</v>
      </c>
      <c r="L19" s="1001"/>
      <c r="M19" s="1002"/>
      <c r="N19" s="1001"/>
      <c r="O19" s="1002"/>
      <c r="P19" s="1001">
        <v>1</v>
      </c>
      <c r="Q19" s="1002">
        <v>189.1</v>
      </c>
      <c r="R19" s="989"/>
      <c r="S19" s="1000"/>
      <c r="T19" s="225">
        <f aca="true" t="shared" si="2" ref="T19:T24">SUM(B19,D19,F19,H19,J19,N19,P19,L19,R19)</f>
        <v>5</v>
      </c>
      <c r="U19" s="377">
        <f aca="true" t="shared" si="3" ref="U19:U24">SUM(C19,E19,G19,I19,K19,O19,Q19,M19,S19)</f>
        <v>672.3</v>
      </c>
      <c r="X19"/>
      <c r="Y19" s="229"/>
      <c r="Z19" s="230"/>
      <c r="AA19" s="229"/>
      <c r="AB19" s="229"/>
      <c r="AC19" s="229"/>
      <c r="AD19" s="229"/>
      <c r="AE19" s="229"/>
      <c r="AF19" s="229"/>
      <c r="AG19" s="229"/>
      <c r="AH19" s="229"/>
      <c r="AI19" s="59"/>
      <c r="AJ19" s="59"/>
      <c r="AK19" s="59"/>
      <c r="AL19" s="59"/>
      <c r="AM19" s="59"/>
      <c r="AN19" s="59"/>
      <c r="AO19" s="59"/>
      <c r="AP19" s="59"/>
      <c r="AQ19" s="59"/>
      <c r="AR19" s="59"/>
      <c r="AS19" s="59"/>
      <c r="AT19" s="59"/>
      <c r="AU19" s="59"/>
      <c r="AV19" s="59"/>
      <c r="AW19"/>
      <c r="AX19"/>
      <c r="AY19"/>
      <c r="AZ19"/>
      <c r="BA19"/>
      <c r="BB19"/>
      <c r="BC19"/>
      <c r="BD19"/>
      <c r="BE19"/>
      <c r="BF19"/>
      <c r="BG19"/>
      <c r="BH19"/>
      <c r="BI19"/>
      <c r="BJ19"/>
      <c r="BK19"/>
      <c r="BL19"/>
      <c r="BM19"/>
      <c r="BN19"/>
      <c r="BO19"/>
      <c r="BP19"/>
      <c r="BQ19"/>
      <c r="BR19"/>
      <c r="BS19"/>
      <c r="BT19"/>
      <c r="BU19"/>
      <c r="BV19"/>
      <c r="BW19"/>
      <c r="BX19"/>
      <c r="BY19"/>
      <c r="BZ19"/>
      <c r="CA19"/>
    </row>
    <row r="20" spans="1:79" s="106" customFormat="1" ht="21" customHeight="1">
      <c r="A20" s="108" t="s">
        <v>94</v>
      </c>
      <c r="B20" s="989">
        <v>1</v>
      </c>
      <c r="C20" s="1000">
        <v>123.1</v>
      </c>
      <c r="D20" s="1001"/>
      <c r="E20" s="1002"/>
      <c r="F20" s="1001"/>
      <c r="G20" s="1002"/>
      <c r="H20" s="1001"/>
      <c r="I20" s="1002"/>
      <c r="J20" s="989"/>
      <c r="K20" s="1000"/>
      <c r="L20" s="1001">
        <v>1</v>
      </c>
      <c r="M20" s="1002">
        <v>75.2</v>
      </c>
      <c r="N20" s="1001"/>
      <c r="O20" s="1002"/>
      <c r="P20" s="1001"/>
      <c r="Q20" s="1002"/>
      <c r="R20" s="989"/>
      <c r="S20" s="1000"/>
      <c r="T20" s="225">
        <f t="shared" si="2"/>
        <v>2</v>
      </c>
      <c r="U20" s="377">
        <f t="shared" si="3"/>
        <v>198.3</v>
      </c>
      <c r="X20"/>
      <c r="Y20" s="229"/>
      <c r="Z20" s="230"/>
      <c r="AA20" s="229"/>
      <c r="AB20" s="229"/>
      <c r="AC20" s="229"/>
      <c r="AD20" s="229"/>
      <c r="AE20" s="229"/>
      <c r="AF20" s="229"/>
      <c r="AG20" s="229"/>
      <c r="AH20" s="229"/>
      <c r="AI20" s="59"/>
      <c r="AJ20" s="59"/>
      <c r="AK20" s="59"/>
      <c r="AL20" s="59"/>
      <c r="AM20" s="59"/>
      <c r="AN20" s="59"/>
      <c r="AO20" s="59"/>
      <c r="AP20" s="59"/>
      <c r="AQ20" s="59"/>
      <c r="AR20" s="59"/>
      <c r="AS20" s="59"/>
      <c r="AT20" s="59"/>
      <c r="AU20" s="59"/>
      <c r="AV20" s="59"/>
      <c r="AW20"/>
      <c r="AX20"/>
      <c r="AY20"/>
      <c r="AZ20"/>
      <c r="BA20"/>
      <c r="BB20"/>
      <c r="BC20"/>
      <c r="BD20"/>
      <c r="BE20"/>
      <c r="BF20"/>
      <c r="BG20"/>
      <c r="BH20"/>
      <c r="BI20"/>
      <c r="BJ20"/>
      <c r="BK20"/>
      <c r="BL20"/>
      <c r="BM20"/>
      <c r="BN20"/>
      <c r="BO20"/>
      <c r="BP20"/>
      <c r="BQ20"/>
      <c r="BR20"/>
      <c r="BS20"/>
      <c r="BT20"/>
      <c r="BU20"/>
      <c r="BV20"/>
      <c r="BW20"/>
      <c r="BX20"/>
      <c r="BY20"/>
      <c r="BZ20"/>
      <c r="CA20"/>
    </row>
    <row r="21" spans="1:79" s="106" customFormat="1" ht="21" customHeight="1">
      <c r="A21" s="108" t="s">
        <v>127</v>
      </c>
      <c r="B21" s="989">
        <v>3</v>
      </c>
      <c r="C21" s="1000">
        <v>416.7</v>
      </c>
      <c r="D21" s="1001"/>
      <c r="E21" s="1002"/>
      <c r="F21" s="1001"/>
      <c r="G21" s="1002"/>
      <c r="H21" s="1001">
        <v>1</v>
      </c>
      <c r="I21" s="1002">
        <v>123.7</v>
      </c>
      <c r="J21" s="989"/>
      <c r="K21" s="1000"/>
      <c r="L21" s="1001">
        <v>5</v>
      </c>
      <c r="M21" s="1002">
        <v>551</v>
      </c>
      <c r="N21" s="1001"/>
      <c r="O21" s="1002"/>
      <c r="P21" s="1001">
        <v>1</v>
      </c>
      <c r="Q21" s="1002">
        <v>225</v>
      </c>
      <c r="R21" s="989"/>
      <c r="S21" s="1000"/>
      <c r="T21" s="225">
        <f t="shared" si="2"/>
        <v>10</v>
      </c>
      <c r="U21" s="377">
        <f t="shared" si="3"/>
        <v>1316.4</v>
      </c>
      <c r="X21"/>
      <c r="Y21" s="229"/>
      <c r="Z21" s="230"/>
      <c r="AA21" s="229"/>
      <c r="AB21" s="229"/>
      <c r="AC21" s="229"/>
      <c r="AD21" s="229"/>
      <c r="AE21" s="229"/>
      <c r="AF21" s="229"/>
      <c r="AG21" s="229"/>
      <c r="AH21" s="229"/>
      <c r="AI21" s="59"/>
      <c r="AJ21" s="59"/>
      <c r="AK21" s="59"/>
      <c r="AL21" s="59"/>
      <c r="AM21" s="59"/>
      <c r="AN21" s="59"/>
      <c r="AO21" s="59"/>
      <c r="AP21" s="59"/>
      <c r="AQ21" s="59"/>
      <c r="AR21" s="59"/>
      <c r="AS21" s="59"/>
      <c r="AT21" s="59"/>
      <c r="AU21" s="59"/>
      <c r="AV21" s="59"/>
      <c r="AW21"/>
      <c r="AX21"/>
      <c r="AY21"/>
      <c r="AZ21"/>
      <c r="BA21"/>
      <c r="BB21"/>
      <c r="BC21"/>
      <c r="BD21"/>
      <c r="BE21"/>
      <c r="BF21"/>
      <c r="BG21"/>
      <c r="BH21"/>
      <c r="BI21"/>
      <c r="BJ21"/>
      <c r="BK21"/>
      <c r="BL21"/>
      <c r="BM21"/>
      <c r="BN21"/>
      <c r="BO21"/>
      <c r="BP21"/>
      <c r="BQ21"/>
      <c r="BR21"/>
      <c r="BS21"/>
      <c r="BT21"/>
      <c r="BU21"/>
      <c r="BV21"/>
      <c r="BW21"/>
      <c r="BX21"/>
      <c r="BY21"/>
      <c r="BZ21"/>
      <c r="CA21"/>
    </row>
    <row r="22" spans="1:79" s="106" customFormat="1" ht="21" customHeight="1">
      <c r="A22" s="108" t="s">
        <v>128</v>
      </c>
      <c r="B22" s="989"/>
      <c r="C22" s="1000"/>
      <c r="D22" s="1001"/>
      <c r="E22" s="1002"/>
      <c r="F22" s="1001"/>
      <c r="G22" s="1002"/>
      <c r="H22" s="1001"/>
      <c r="I22" s="1002"/>
      <c r="J22" s="989">
        <v>1</v>
      </c>
      <c r="K22" s="1000">
        <v>113.4</v>
      </c>
      <c r="L22" s="1001">
        <v>3</v>
      </c>
      <c r="M22" s="1002">
        <v>354.2</v>
      </c>
      <c r="N22" s="1001"/>
      <c r="O22" s="1002"/>
      <c r="P22" s="1001"/>
      <c r="Q22" s="1002"/>
      <c r="R22" s="989"/>
      <c r="S22" s="1000"/>
      <c r="T22" s="225">
        <f t="shared" si="2"/>
        <v>4</v>
      </c>
      <c r="U22" s="377">
        <f t="shared" si="3"/>
        <v>467.6</v>
      </c>
      <c r="X22"/>
      <c r="Y22" s="229"/>
      <c r="Z22" s="230"/>
      <c r="AA22" s="229"/>
      <c r="AB22" s="229"/>
      <c r="AC22" s="229"/>
      <c r="AD22" s="229"/>
      <c r="AE22" s="229"/>
      <c r="AF22" s="229"/>
      <c r="AG22" s="229"/>
      <c r="AH22" s="229"/>
      <c r="AI22" s="59"/>
      <c r="AJ22" s="59"/>
      <c r="AK22" s="59"/>
      <c r="AL22" s="59"/>
      <c r="AM22" s="59"/>
      <c r="AN22" s="59"/>
      <c r="AO22" s="59"/>
      <c r="AP22" s="59"/>
      <c r="AQ22" s="59"/>
      <c r="AR22" s="59"/>
      <c r="AS22" s="59"/>
      <c r="AT22" s="59"/>
      <c r="AU22" s="59"/>
      <c r="AV22" s="59"/>
      <c r="AW22"/>
      <c r="AX22"/>
      <c r="AY22"/>
      <c r="AZ22"/>
      <c r="BA22"/>
      <c r="BB22"/>
      <c r="BC22"/>
      <c r="BD22"/>
      <c r="BE22"/>
      <c r="BF22"/>
      <c r="BG22"/>
      <c r="BH22"/>
      <c r="BI22"/>
      <c r="BJ22"/>
      <c r="BK22"/>
      <c r="BL22"/>
      <c r="BM22"/>
      <c r="BN22"/>
      <c r="BO22"/>
      <c r="BP22"/>
      <c r="BQ22"/>
      <c r="BR22"/>
      <c r="BS22"/>
      <c r="BT22"/>
      <c r="BU22"/>
      <c r="BV22"/>
      <c r="BW22"/>
      <c r="BX22"/>
      <c r="BY22"/>
      <c r="BZ22"/>
      <c r="CA22"/>
    </row>
    <row r="23" spans="1:79" s="106" customFormat="1" ht="21" customHeight="1">
      <c r="A23" s="108" t="s">
        <v>100</v>
      </c>
      <c r="B23" s="989">
        <v>4</v>
      </c>
      <c r="C23" s="1000">
        <v>559.2</v>
      </c>
      <c r="D23" s="1001"/>
      <c r="E23" s="1002"/>
      <c r="F23" s="1001"/>
      <c r="G23" s="1002"/>
      <c r="H23" s="1001">
        <v>8</v>
      </c>
      <c r="I23" s="1002">
        <v>763.8</v>
      </c>
      <c r="J23" s="989">
        <v>1</v>
      </c>
      <c r="K23" s="1000">
        <v>104</v>
      </c>
      <c r="L23" s="1001">
        <v>4</v>
      </c>
      <c r="M23" s="1002">
        <v>417.7</v>
      </c>
      <c r="N23" s="1001"/>
      <c r="O23" s="1002"/>
      <c r="P23" s="1001">
        <v>1</v>
      </c>
      <c r="Q23" s="1002">
        <v>194.8</v>
      </c>
      <c r="R23" s="989"/>
      <c r="S23" s="1000"/>
      <c r="T23" s="225">
        <f t="shared" si="2"/>
        <v>18</v>
      </c>
      <c r="U23" s="377">
        <f t="shared" si="3"/>
        <v>2039.5</v>
      </c>
      <c r="X23"/>
      <c r="Y23" s="229"/>
      <c r="Z23" s="230"/>
      <c r="AA23" s="229"/>
      <c r="AB23" s="229"/>
      <c r="AC23" s="229"/>
      <c r="AD23" s="229"/>
      <c r="AE23" s="229"/>
      <c r="AF23" s="229"/>
      <c r="AG23" s="229"/>
      <c r="AH23" s="229"/>
      <c r="AI23" s="59"/>
      <c r="AJ23" s="59"/>
      <c r="AK23" s="59"/>
      <c r="AL23" s="59"/>
      <c r="AM23" s="59"/>
      <c r="AN23" s="59"/>
      <c r="AO23" s="59"/>
      <c r="AP23" s="59"/>
      <c r="AQ23" s="59"/>
      <c r="AR23" s="59"/>
      <c r="AS23" s="59"/>
      <c r="AT23" s="59"/>
      <c r="AU23" s="59"/>
      <c r="AV23" s="59"/>
      <c r="AW23"/>
      <c r="AX23"/>
      <c r="AY23"/>
      <c r="AZ23"/>
      <c r="BA23"/>
      <c r="BB23"/>
      <c r="BC23"/>
      <c r="BD23"/>
      <c r="BE23"/>
      <c r="BF23"/>
      <c r="BG23"/>
      <c r="BH23"/>
      <c r="BI23"/>
      <c r="BJ23"/>
      <c r="BK23"/>
      <c r="BL23"/>
      <c r="BM23"/>
      <c r="BN23"/>
      <c r="BO23"/>
      <c r="BP23"/>
      <c r="BQ23"/>
      <c r="BR23"/>
      <c r="BS23"/>
      <c r="BT23"/>
      <c r="BU23"/>
      <c r="BV23"/>
      <c r="BW23"/>
      <c r="BX23"/>
      <c r="BY23"/>
      <c r="BZ23"/>
      <c r="CA23"/>
    </row>
    <row r="24" spans="1:79" s="106" customFormat="1" ht="21" customHeight="1">
      <c r="A24" s="108" t="s">
        <v>129</v>
      </c>
      <c r="B24" s="989"/>
      <c r="C24" s="1000"/>
      <c r="D24" s="1001"/>
      <c r="E24" s="1002"/>
      <c r="F24" s="1001"/>
      <c r="G24" s="1002"/>
      <c r="H24" s="1001">
        <v>4</v>
      </c>
      <c r="I24" s="1002">
        <v>401.9</v>
      </c>
      <c r="J24" s="989">
        <v>1</v>
      </c>
      <c r="K24" s="1000">
        <v>92.8</v>
      </c>
      <c r="L24" s="1001">
        <v>4</v>
      </c>
      <c r="M24" s="1002">
        <v>359.5</v>
      </c>
      <c r="N24" s="1001"/>
      <c r="O24" s="1002"/>
      <c r="P24" s="1001">
        <v>1</v>
      </c>
      <c r="Q24" s="1002">
        <v>189.9</v>
      </c>
      <c r="R24" s="989"/>
      <c r="S24" s="1000"/>
      <c r="T24" s="225">
        <f t="shared" si="2"/>
        <v>10</v>
      </c>
      <c r="U24" s="377">
        <f t="shared" si="3"/>
        <v>1044.1</v>
      </c>
      <c r="X24"/>
      <c r="Y24" s="229"/>
      <c r="Z24" s="230"/>
      <c r="AA24" s="229"/>
      <c r="AB24" s="229"/>
      <c r="AC24" s="229"/>
      <c r="AD24" s="229"/>
      <c r="AE24" s="229"/>
      <c r="AF24" s="229"/>
      <c r="AG24" s="229"/>
      <c r="AH24" s="229"/>
      <c r="AI24" s="59"/>
      <c r="AJ24" s="59"/>
      <c r="AK24" s="59"/>
      <c r="AL24" s="59"/>
      <c r="AM24" s="59"/>
      <c r="AN24" s="59"/>
      <c r="AO24" s="59"/>
      <c r="AP24" s="59"/>
      <c r="AQ24" s="59"/>
      <c r="AR24" s="59"/>
      <c r="AS24" s="59"/>
      <c r="AT24" s="59"/>
      <c r="AU24" s="59"/>
      <c r="AV24" s="59"/>
      <c r="AW24"/>
      <c r="AX24"/>
      <c r="AY24"/>
      <c r="AZ24"/>
      <c r="BA24"/>
      <c r="BB24"/>
      <c r="BC24"/>
      <c r="BD24"/>
      <c r="BE24"/>
      <c r="BF24"/>
      <c r="BG24"/>
      <c r="BH24"/>
      <c r="BI24"/>
      <c r="BJ24"/>
      <c r="BK24"/>
      <c r="BL24"/>
      <c r="BM24"/>
      <c r="BN24"/>
      <c r="BO24"/>
      <c r="BP24"/>
      <c r="BQ24"/>
      <c r="BR24"/>
      <c r="BS24"/>
      <c r="BT24"/>
      <c r="BU24"/>
      <c r="BV24"/>
      <c r="BW24"/>
      <c r="BX24"/>
      <c r="BY24"/>
      <c r="BZ24"/>
      <c r="CA24"/>
    </row>
    <row r="25" spans="1:79" s="311" customFormat="1" ht="21" customHeight="1">
      <c r="A25" s="105" t="s">
        <v>101</v>
      </c>
      <c r="B25" s="1005">
        <v>1</v>
      </c>
      <c r="C25" s="1006">
        <v>134.4</v>
      </c>
      <c r="D25" s="1007"/>
      <c r="E25" s="1008"/>
      <c r="F25" s="1007"/>
      <c r="G25" s="1008"/>
      <c r="H25" s="1007">
        <v>7</v>
      </c>
      <c r="I25" s="1008">
        <v>573.5</v>
      </c>
      <c r="J25" s="1005">
        <v>1</v>
      </c>
      <c r="K25" s="1006">
        <v>96.3</v>
      </c>
      <c r="L25" s="1007">
        <v>7</v>
      </c>
      <c r="M25" s="1008">
        <v>641.3</v>
      </c>
      <c r="N25" s="1007"/>
      <c r="O25" s="1008"/>
      <c r="P25" s="1007">
        <v>1</v>
      </c>
      <c r="Q25" s="1008">
        <v>188.5</v>
      </c>
      <c r="R25" s="1005"/>
      <c r="S25" s="1006"/>
      <c r="T25" s="234">
        <f>SUM(B25,D25,F25,H25,J25,N25,P25,L25,R25)</f>
        <v>17</v>
      </c>
      <c r="U25" s="379">
        <f>SUM(C25,E25,G25,I25,K25,O25,Q25,M25,S25)</f>
        <v>1634</v>
      </c>
      <c r="X25" s="312"/>
      <c r="Y25" s="313"/>
      <c r="Z25" s="314"/>
      <c r="AA25" s="313"/>
      <c r="AB25" s="313"/>
      <c r="AC25" s="313"/>
      <c r="AD25" s="313"/>
      <c r="AE25" s="313"/>
      <c r="AF25" s="313"/>
      <c r="AG25" s="313"/>
      <c r="AH25" s="313"/>
      <c r="AI25" s="315"/>
      <c r="AJ25" s="315"/>
      <c r="AK25" s="315"/>
      <c r="AL25" s="315"/>
      <c r="AM25" s="315"/>
      <c r="AN25" s="315"/>
      <c r="AO25" s="315"/>
      <c r="AP25" s="315"/>
      <c r="AQ25" s="315"/>
      <c r="AR25" s="315"/>
      <c r="AS25" s="315"/>
      <c r="AT25" s="315"/>
      <c r="AU25" s="315"/>
      <c r="AV25" s="315"/>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row>
    <row r="26" spans="1:79" s="106" customFormat="1" ht="22.5" customHeight="1">
      <c r="A26" s="125" t="s">
        <v>35</v>
      </c>
      <c r="B26" s="987"/>
      <c r="C26" s="988"/>
      <c r="D26" s="989"/>
      <c r="E26" s="1000"/>
      <c r="F26" s="989"/>
      <c r="G26" s="1000"/>
      <c r="H26" s="989"/>
      <c r="I26" s="1000"/>
      <c r="J26" s="989"/>
      <c r="K26" s="1000"/>
      <c r="L26" s="987"/>
      <c r="M26" s="988"/>
      <c r="N26" s="989"/>
      <c r="O26" s="1009"/>
      <c r="P26" s="989"/>
      <c r="Q26" s="1009"/>
      <c r="R26" s="989"/>
      <c r="S26" s="1000"/>
      <c r="T26" s="225"/>
      <c r="U26" s="377"/>
      <c r="W26"/>
      <c r="X26"/>
      <c r="Y26" s="229"/>
      <c r="Z26" s="230"/>
      <c r="AA26" s="229"/>
      <c r="AB26" s="229"/>
      <c r="AC26" s="229"/>
      <c r="AD26" s="229"/>
      <c r="AE26" s="229"/>
      <c r="AF26" s="229"/>
      <c r="AG26" s="229"/>
      <c r="AH26" s="229"/>
      <c r="AI26" s="59"/>
      <c r="AJ26" s="59"/>
      <c r="AK26" s="59"/>
      <c r="AL26" s="59"/>
      <c r="AM26" s="59"/>
      <c r="AN26" s="59"/>
      <c r="AO26" s="59"/>
      <c r="AP26" s="59"/>
      <c r="AQ26" s="59"/>
      <c r="AR26" s="59"/>
      <c r="AS26" s="59"/>
      <c r="AT26" s="59"/>
      <c r="AU26" s="59"/>
      <c r="AV26" s="59"/>
      <c r="AW26"/>
      <c r="AX26"/>
      <c r="AY26"/>
      <c r="AZ26"/>
      <c r="BA26"/>
      <c r="BB26"/>
      <c r="BC26"/>
      <c r="BD26"/>
      <c r="BE26"/>
      <c r="BF26"/>
      <c r="BG26"/>
      <c r="BH26"/>
      <c r="BI26"/>
      <c r="BJ26"/>
      <c r="BK26"/>
      <c r="BL26"/>
      <c r="BM26"/>
      <c r="BN26"/>
      <c r="BO26"/>
      <c r="BP26"/>
      <c r="BQ26"/>
      <c r="BR26"/>
      <c r="BS26"/>
      <c r="BT26"/>
      <c r="BU26"/>
      <c r="BV26"/>
      <c r="BW26"/>
      <c r="BX26"/>
      <c r="BY26"/>
      <c r="BZ26"/>
      <c r="CA26"/>
    </row>
    <row r="27" spans="1:79" s="106" customFormat="1" ht="21.75" customHeight="1">
      <c r="A27" s="108" t="s">
        <v>349</v>
      </c>
      <c r="B27" s="987"/>
      <c r="C27" s="988"/>
      <c r="D27" s="989"/>
      <c r="E27" s="988"/>
      <c r="F27" s="987"/>
      <c r="G27" s="988"/>
      <c r="H27" s="990"/>
      <c r="I27" s="991"/>
      <c r="J27" s="990"/>
      <c r="K27" s="991"/>
      <c r="L27" s="987">
        <v>1</v>
      </c>
      <c r="M27" s="988">
        <v>156.4</v>
      </c>
      <c r="N27" s="987"/>
      <c r="O27" s="988"/>
      <c r="P27" s="987"/>
      <c r="Q27" s="988"/>
      <c r="R27" s="989"/>
      <c r="S27" s="1000"/>
      <c r="T27" s="225">
        <f aca="true" t="shared" si="4" ref="T27:U30">SUM(B27,D27,F27,H27,J27,N27,P27,L27,R27)</f>
        <v>1</v>
      </c>
      <c r="U27" s="377">
        <f t="shared" si="4"/>
        <v>156.4</v>
      </c>
      <c r="W27"/>
      <c r="X27"/>
      <c r="Y27" s="229"/>
      <c r="Z27" s="230"/>
      <c r="AA27" s="229"/>
      <c r="AB27" s="229"/>
      <c r="AC27" s="229"/>
      <c r="AD27" s="229"/>
      <c r="AE27" s="229"/>
      <c r="AF27" s="229"/>
      <c r="AG27" s="229"/>
      <c r="AH27" s="229"/>
      <c r="AI27" s="59"/>
      <c r="AJ27" s="59"/>
      <c r="AK27" s="59"/>
      <c r="AL27" s="59"/>
      <c r="AM27" s="59"/>
      <c r="AN27" s="59"/>
      <c r="AO27" s="59"/>
      <c r="AP27" s="59"/>
      <c r="AQ27" s="59"/>
      <c r="AR27" s="59"/>
      <c r="AS27" s="59"/>
      <c r="AT27" s="59"/>
      <c r="AU27" s="59"/>
      <c r="AV27" s="59"/>
      <c r="AW27"/>
      <c r="AX27"/>
      <c r="AY27"/>
      <c r="AZ27"/>
      <c r="BA27"/>
      <c r="BB27"/>
      <c r="BC27"/>
      <c r="BD27"/>
      <c r="BE27"/>
      <c r="BF27"/>
      <c r="BG27"/>
      <c r="BH27"/>
      <c r="BI27"/>
      <c r="BJ27"/>
      <c r="BK27"/>
      <c r="BL27"/>
      <c r="BM27"/>
      <c r="BN27"/>
      <c r="BO27"/>
      <c r="BP27"/>
      <c r="BQ27"/>
      <c r="BR27"/>
      <c r="BS27"/>
      <c r="BT27"/>
      <c r="BU27"/>
      <c r="BV27"/>
      <c r="BW27"/>
      <c r="BX27"/>
      <c r="BY27"/>
      <c r="BZ27"/>
      <c r="CA27"/>
    </row>
    <row r="28" spans="1:79" s="106" customFormat="1" ht="21.75" customHeight="1">
      <c r="A28" s="108" t="s">
        <v>164</v>
      </c>
      <c r="B28" s="987"/>
      <c r="C28" s="988"/>
      <c r="D28" s="989"/>
      <c r="E28" s="988"/>
      <c r="F28" s="987"/>
      <c r="G28" s="988"/>
      <c r="H28" s="990">
        <v>2</v>
      </c>
      <c r="I28" s="991">
        <v>466.9</v>
      </c>
      <c r="J28" s="990">
        <v>1</v>
      </c>
      <c r="K28" s="991">
        <v>316.9</v>
      </c>
      <c r="L28" s="987"/>
      <c r="M28" s="988"/>
      <c r="N28" s="987"/>
      <c r="O28" s="988"/>
      <c r="P28" s="987"/>
      <c r="Q28" s="988"/>
      <c r="R28" s="989"/>
      <c r="S28" s="1000"/>
      <c r="T28" s="225">
        <f t="shared" si="4"/>
        <v>3</v>
      </c>
      <c r="U28" s="377">
        <f t="shared" si="4"/>
        <v>783.8</v>
      </c>
      <c r="W28"/>
      <c r="X28"/>
      <c r="Y28" s="229"/>
      <c r="Z28" s="230"/>
      <c r="AA28" s="229"/>
      <c r="AB28" s="229"/>
      <c r="AC28" s="229"/>
      <c r="AD28" s="229"/>
      <c r="AE28" s="229"/>
      <c r="AF28" s="229"/>
      <c r="AG28" s="229"/>
      <c r="AH28" s="229"/>
      <c r="AI28" s="59"/>
      <c r="AJ28" s="59"/>
      <c r="AK28" s="59"/>
      <c r="AL28" s="59"/>
      <c r="AM28" s="59"/>
      <c r="AN28" s="59"/>
      <c r="AO28" s="59"/>
      <c r="AP28" s="59"/>
      <c r="AQ28" s="59"/>
      <c r="AR28" s="59"/>
      <c r="AS28" s="59"/>
      <c r="AT28" s="59"/>
      <c r="AU28" s="59"/>
      <c r="AV28" s="59"/>
      <c r="AW28"/>
      <c r="AX28"/>
      <c r="AY28"/>
      <c r="AZ28"/>
      <c r="BA28"/>
      <c r="BB28"/>
      <c r="BC28"/>
      <c r="BD28"/>
      <c r="BE28"/>
      <c r="BF28"/>
      <c r="BG28"/>
      <c r="BH28"/>
      <c r="BI28"/>
      <c r="BJ28"/>
      <c r="BK28"/>
      <c r="BL28"/>
      <c r="BM28"/>
      <c r="BN28"/>
      <c r="BO28"/>
      <c r="BP28"/>
      <c r="BQ28"/>
      <c r="BR28"/>
      <c r="BS28"/>
      <c r="BT28"/>
      <c r="BU28"/>
      <c r="BV28"/>
      <c r="BW28"/>
      <c r="BX28"/>
      <c r="BY28"/>
      <c r="BZ28"/>
      <c r="CA28"/>
    </row>
    <row r="29" spans="1:79" s="106" customFormat="1" ht="21.75" customHeight="1">
      <c r="A29" s="108" t="s">
        <v>358</v>
      </c>
      <c r="B29" s="987"/>
      <c r="C29" s="988"/>
      <c r="D29" s="989"/>
      <c r="E29" s="988"/>
      <c r="F29" s="987"/>
      <c r="G29" s="988"/>
      <c r="H29" s="990"/>
      <c r="I29" s="991"/>
      <c r="J29" s="990"/>
      <c r="K29" s="991"/>
      <c r="L29" s="987">
        <v>1</v>
      </c>
      <c r="M29" s="988">
        <v>125.1</v>
      </c>
      <c r="N29" s="987"/>
      <c r="O29" s="988"/>
      <c r="P29" s="987"/>
      <c r="Q29" s="988"/>
      <c r="R29" s="989"/>
      <c r="S29" s="1000"/>
      <c r="T29" s="225">
        <f t="shared" si="4"/>
        <v>1</v>
      </c>
      <c r="U29" s="377">
        <f t="shared" si="4"/>
        <v>125.1</v>
      </c>
      <c r="W29"/>
      <c r="X29"/>
      <c r="Y29" s="229"/>
      <c r="Z29" s="230"/>
      <c r="AA29" s="229"/>
      <c r="AB29" s="229"/>
      <c r="AC29" s="229"/>
      <c r="AD29" s="229"/>
      <c r="AE29" s="229"/>
      <c r="AF29" s="229"/>
      <c r="AG29" s="229"/>
      <c r="AH29" s="229"/>
      <c r="AI29" s="59"/>
      <c r="AJ29" s="59"/>
      <c r="AK29" s="59"/>
      <c r="AL29" s="59"/>
      <c r="AM29" s="59"/>
      <c r="AN29" s="59"/>
      <c r="AO29" s="59"/>
      <c r="AP29" s="59"/>
      <c r="AQ29" s="59"/>
      <c r="AR29" s="59"/>
      <c r="AS29" s="59"/>
      <c r="AT29" s="59"/>
      <c r="AU29" s="59"/>
      <c r="AV29" s="59"/>
      <c r="AW29"/>
      <c r="AX29"/>
      <c r="AY29"/>
      <c r="AZ29"/>
      <c r="BA29"/>
      <c r="BB29"/>
      <c r="BC29"/>
      <c r="BD29"/>
      <c r="BE29"/>
      <c r="BF29"/>
      <c r="BG29"/>
      <c r="BH29"/>
      <c r="BI29"/>
      <c r="BJ29"/>
      <c r="BK29"/>
      <c r="BL29"/>
      <c r="BM29"/>
      <c r="BN29"/>
      <c r="BO29"/>
      <c r="BP29"/>
      <c r="BQ29"/>
      <c r="BR29"/>
      <c r="BS29"/>
      <c r="BT29"/>
      <c r="BU29"/>
      <c r="BV29"/>
      <c r="BW29"/>
      <c r="BX29"/>
      <c r="BY29"/>
      <c r="BZ29"/>
      <c r="CA29"/>
    </row>
    <row r="30" spans="1:79" s="311" customFormat="1" ht="21.75" customHeight="1">
      <c r="A30" s="105" t="s">
        <v>181</v>
      </c>
      <c r="B30" s="1010"/>
      <c r="C30" s="1011"/>
      <c r="D30" s="1005"/>
      <c r="E30" s="1011"/>
      <c r="F30" s="1010"/>
      <c r="G30" s="1011"/>
      <c r="H30" s="1012"/>
      <c r="I30" s="1013"/>
      <c r="J30" s="1012"/>
      <c r="K30" s="1013"/>
      <c r="L30" s="1010">
        <v>2</v>
      </c>
      <c r="M30" s="1011">
        <v>241</v>
      </c>
      <c r="N30" s="1010"/>
      <c r="O30" s="1011"/>
      <c r="P30" s="1010"/>
      <c r="Q30" s="1011"/>
      <c r="R30" s="1005"/>
      <c r="S30" s="1006"/>
      <c r="T30" s="234">
        <f t="shared" si="4"/>
        <v>2</v>
      </c>
      <c r="U30" s="379">
        <f t="shared" si="4"/>
        <v>241</v>
      </c>
      <c r="W30" s="312"/>
      <c r="X30" s="312"/>
      <c r="Y30" s="313"/>
      <c r="Z30" s="314"/>
      <c r="AA30" s="313"/>
      <c r="AB30" s="313"/>
      <c r="AC30" s="313"/>
      <c r="AD30" s="313"/>
      <c r="AE30" s="313"/>
      <c r="AF30" s="313"/>
      <c r="AG30" s="313"/>
      <c r="AH30" s="313"/>
      <c r="AI30" s="315"/>
      <c r="AJ30" s="315"/>
      <c r="AK30" s="315"/>
      <c r="AL30" s="315"/>
      <c r="AM30" s="315"/>
      <c r="AN30" s="315"/>
      <c r="AO30" s="315"/>
      <c r="AP30" s="315"/>
      <c r="AQ30" s="315"/>
      <c r="AR30" s="315"/>
      <c r="AS30" s="315"/>
      <c r="AT30" s="315"/>
      <c r="AU30" s="315"/>
      <c r="AV30" s="315"/>
      <c r="AW30" s="312"/>
      <c r="AX30" s="312"/>
      <c r="AY30" s="312"/>
      <c r="AZ30" s="312"/>
      <c r="BA30" s="312"/>
      <c r="BB30" s="312"/>
      <c r="BC30" s="312"/>
      <c r="BD30" s="312"/>
      <c r="BE30" s="312"/>
      <c r="BF30" s="312"/>
      <c r="BG30" s="312"/>
      <c r="BH30" s="312"/>
      <c r="BI30" s="312"/>
      <c r="BJ30" s="312"/>
      <c r="BK30" s="312"/>
      <c r="BL30" s="312"/>
      <c r="BM30" s="312"/>
      <c r="BN30" s="312"/>
      <c r="BO30" s="312"/>
      <c r="BP30" s="312"/>
      <c r="BQ30" s="312"/>
      <c r="BR30" s="312"/>
      <c r="BS30" s="312"/>
      <c r="BT30" s="312"/>
      <c r="BU30" s="312"/>
      <c r="BV30" s="312"/>
      <c r="BW30" s="312"/>
      <c r="BX30" s="312"/>
      <c r="BY30" s="312"/>
      <c r="BZ30" s="312"/>
      <c r="CA30" s="312"/>
    </row>
    <row r="31" spans="1:79" s="74" customFormat="1" ht="23.25" customHeight="1">
      <c r="A31" s="77" t="s">
        <v>70</v>
      </c>
      <c r="B31" s="996"/>
      <c r="C31" s="999"/>
      <c r="D31" s="996"/>
      <c r="E31" s="999"/>
      <c r="F31" s="996"/>
      <c r="G31" s="999"/>
      <c r="H31" s="996"/>
      <c r="I31" s="999"/>
      <c r="J31" s="996"/>
      <c r="K31" s="999"/>
      <c r="L31" s="996"/>
      <c r="M31" s="999"/>
      <c r="N31" s="1014"/>
      <c r="O31" s="1015"/>
      <c r="P31" s="1014"/>
      <c r="Q31" s="1015"/>
      <c r="R31" s="1014"/>
      <c r="S31" s="1015"/>
      <c r="T31" s="225"/>
      <c r="U31" s="377"/>
      <c r="W31"/>
      <c r="X31"/>
      <c r="Y31" s="229"/>
      <c r="Z31" s="230"/>
      <c r="AA31" s="229"/>
      <c r="AB31" s="229"/>
      <c r="AC31" s="229"/>
      <c r="AD31" s="229"/>
      <c r="AE31" s="229"/>
      <c r="AF31" s="229"/>
      <c r="AG31" s="229"/>
      <c r="AH31" s="229"/>
      <c r="AI31" s="59"/>
      <c r="AJ31" s="59"/>
      <c r="AK31" s="59"/>
      <c r="AL31" s="59"/>
      <c r="AM31" s="59"/>
      <c r="AN31" s="59"/>
      <c r="AO31" s="59"/>
      <c r="AP31" s="59"/>
      <c r="AQ31" s="59"/>
      <c r="AR31" s="59"/>
      <c r="AS31" s="59"/>
      <c r="AT31" s="59"/>
      <c r="AU31" s="59"/>
      <c r="AV31" s="59"/>
      <c r="AW31"/>
      <c r="AX31"/>
      <c r="AY31"/>
      <c r="AZ31"/>
      <c r="BA31"/>
      <c r="BB31"/>
      <c r="BC31"/>
      <c r="BD31"/>
      <c r="BE31"/>
      <c r="BF31"/>
      <c r="BG31"/>
      <c r="BH31"/>
      <c r="BI31"/>
      <c r="BJ31"/>
      <c r="BK31"/>
      <c r="BL31"/>
      <c r="BM31"/>
      <c r="BN31"/>
      <c r="BO31"/>
      <c r="BP31"/>
      <c r="BQ31"/>
      <c r="BR31"/>
      <c r="BS31"/>
      <c r="BT31"/>
      <c r="BU31"/>
      <c r="BV31"/>
      <c r="BW31"/>
      <c r="BX31"/>
      <c r="BY31"/>
      <c r="BZ31"/>
      <c r="CA31"/>
    </row>
    <row r="32" spans="1:79" s="106" customFormat="1" ht="21.75" customHeight="1">
      <c r="A32" s="108" t="s">
        <v>182</v>
      </c>
      <c r="B32" s="987"/>
      <c r="C32" s="988"/>
      <c r="D32" s="989"/>
      <c r="E32" s="988"/>
      <c r="F32" s="987"/>
      <c r="G32" s="988"/>
      <c r="H32" s="990"/>
      <c r="I32" s="991"/>
      <c r="J32" s="990">
        <v>1</v>
      </c>
      <c r="K32" s="991">
        <v>168.5</v>
      </c>
      <c r="L32" s="987">
        <v>1</v>
      </c>
      <c r="M32" s="988">
        <v>170.7</v>
      </c>
      <c r="N32" s="987"/>
      <c r="O32" s="988"/>
      <c r="P32" s="987"/>
      <c r="Q32" s="988"/>
      <c r="R32" s="989"/>
      <c r="S32" s="1000"/>
      <c r="T32" s="225">
        <f>SUM(B32,D32,F32,H32,J32,N32,P32,L32,R32)</f>
        <v>2</v>
      </c>
      <c r="U32" s="377">
        <f>SUM(C32,E32,G32,I32,K32,O32,Q32,M32,S32)</f>
        <v>339.2</v>
      </c>
      <c r="W32"/>
      <c r="X32"/>
      <c r="Y32" s="229"/>
      <c r="Z32" s="230"/>
      <c r="AA32" s="229"/>
      <c r="AB32" s="229"/>
      <c r="AC32" s="229"/>
      <c r="AD32" s="229"/>
      <c r="AE32" s="229"/>
      <c r="AF32" s="229"/>
      <c r="AG32" s="229"/>
      <c r="AH32" s="229"/>
      <c r="AI32" s="59"/>
      <c r="AJ32" s="59"/>
      <c r="AK32" s="59"/>
      <c r="AL32" s="59"/>
      <c r="AM32" s="59"/>
      <c r="AN32" s="59"/>
      <c r="AO32" s="59"/>
      <c r="AP32" s="59"/>
      <c r="AQ32" s="59"/>
      <c r="AR32" s="59"/>
      <c r="AS32" s="59"/>
      <c r="AT32" s="59"/>
      <c r="AU32" s="59"/>
      <c r="AV32" s="59"/>
      <c r="AW32"/>
      <c r="AX32"/>
      <c r="AY32"/>
      <c r="AZ32"/>
      <c r="BA32"/>
      <c r="BB32"/>
      <c r="BC32"/>
      <c r="BD32"/>
      <c r="BE32"/>
      <c r="BF32"/>
      <c r="BG32"/>
      <c r="BH32"/>
      <c r="BI32"/>
      <c r="BJ32"/>
      <c r="BK32"/>
      <c r="BL32"/>
      <c r="BM32"/>
      <c r="BN32"/>
      <c r="BO32"/>
      <c r="BP32"/>
      <c r="BQ32"/>
      <c r="BR32"/>
      <c r="BS32"/>
      <c r="BT32"/>
      <c r="BU32"/>
      <c r="BV32"/>
      <c r="BW32"/>
      <c r="BX32"/>
      <c r="BY32"/>
      <c r="BZ32"/>
      <c r="CA32"/>
    </row>
    <row r="33" spans="1:79" s="106" customFormat="1" ht="21.75" customHeight="1">
      <c r="A33" s="108" t="s">
        <v>191</v>
      </c>
      <c r="B33" s="987"/>
      <c r="C33" s="988"/>
      <c r="D33" s="989"/>
      <c r="E33" s="988"/>
      <c r="F33" s="987"/>
      <c r="G33" s="988"/>
      <c r="H33" s="990"/>
      <c r="I33" s="991"/>
      <c r="J33" s="990"/>
      <c r="K33" s="991"/>
      <c r="L33" s="987">
        <v>1</v>
      </c>
      <c r="M33" s="988">
        <v>121.4</v>
      </c>
      <c r="N33" s="987"/>
      <c r="O33" s="988"/>
      <c r="P33" s="987"/>
      <c r="Q33" s="988"/>
      <c r="R33" s="989"/>
      <c r="S33" s="1000"/>
      <c r="T33" s="225">
        <f>SUM(B33,D33,F33,H33,J33,N33,P33,L33,R33)</f>
        <v>1</v>
      </c>
      <c r="U33" s="377">
        <f>SUM(C33,E33,G33,I33,K33,O33,Q33,M33,S33)</f>
        <v>121.4</v>
      </c>
      <c r="W33"/>
      <c r="X33"/>
      <c r="Y33" s="229"/>
      <c r="Z33" s="230"/>
      <c r="AA33" s="229"/>
      <c r="AB33" s="229"/>
      <c r="AC33" s="229"/>
      <c r="AD33" s="229"/>
      <c r="AE33" s="229"/>
      <c r="AF33" s="229"/>
      <c r="AG33" s="229"/>
      <c r="AH33" s="229"/>
      <c r="AI33" s="59"/>
      <c r="AJ33" s="59"/>
      <c r="AK33" s="59"/>
      <c r="AL33" s="59"/>
      <c r="AM33" s="59"/>
      <c r="AN33" s="59"/>
      <c r="AO33" s="59"/>
      <c r="AP33" s="59"/>
      <c r="AQ33" s="59"/>
      <c r="AR33" s="59"/>
      <c r="AS33" s="59"/>
      <c r="AT33" s="59"/>
      <c r="AU33" s="59"/>
      <c r="AV33" s="59"/>
      <c r="AW33"/>
      <c r="AX33"/>
      <c r="AY33"/>
      <c r="AZ33"/>
      <c r="BA33"/>
      <c r="BB33"/>
      <c r="BC33"/>
      <c r="BD33"/>
      <c r="BE33"/>
      <c r="BF33"/>
      <c r="BG33"/>
      <c r="BH33"/>
      <c r="BI33"/>
      <c r="BJ33"/>
      <c r="BK33"/>
      <c r="BL33"/>
      <c r="BM33"/>
      <c r="BN33"/>
      <c r="BO33"/>
      <c r="BP33"/>
      <c r="BQ33"/>
      <c r="BR33"/>
      <c r="BS33"/>
      <c r="BT33"/>
      <c r="BU33"/>
      <c r="BV33"/>
      <c r="BW33"/>
      <c r="BX33"/>
      <c r="BY33"/>
      <c r="BZ33"/>
      <c r="CA33"/>
    </row>
    <row r="34" spans="1:79" s="106" customFormat="1" ht="21.75" customHeight="1">
      <c r="A34" s="108" t="s">
        <v>130</v>
      </c>
      <c r="B34" s="987"/>
      <c r="C34" s="988"/>
      <c r="D34" s="989"/>
      <c r="E34" s="988"/>
      <c r="F34" s="987"/>
      <c r="G34" s="988"/>
      <c r="H34" s="990"/>
      <c r="I34" s="991"/>
      <c r="J34" s="990"/>
      <c r="K34" s="991"/>
      <c r="L34" s="987">
        <v>3</v>
      </c>
      <c r="M34" s="988">
        <v>289.5</v>
      </c>
      <c r="N34" s="987"/>
      <c r="O34" s="988"/>
      <c r="P34" s="987"/>
      <c r="Q34" s="988"/>
      <c r="R34" s="989"/>
      <c r="S34" s="1000"/>
      <c r="T34" s="225">
        <f aca="true" t="shared" si="5" ref="T34:T44">SUM(B34,D34,F34,H34,J34,N34,P34,L34,R34)</f>
        <v>3</v>
      </c>
      <c r="U34" s="377">
        <f aca="true" t="shared" si="6" ref="U34:U44">SUM(C34,E34,G34,I34,K34,O34,Q34,M34,S34)</f>
        <v>289.5</v>
      </c>
      <c r="X34"/>
      <c r="Y34" s="229"/>
      <c r="Z34" s="230"/>
      <c r="AA34" s="229"/>
      <c r="AB34" s="229"/>
      <c r="AC34" s="229"/>
      <c r="AD34" s="229"/>
      <c r="AE34" s="229"/>
      <c r="AF34" s="229"/>
      <c r="AG34" s="229"/>
      <c r="AH34" s="229"/>
      <c r="AI34" s="59"/>
      <c r="AJ34" s="59"/>
      <c r="AK34" s="59"/>
      <c r="AL34" s="59"/>
      <c r="AM34" s="59"/>
      <c r="AN34" s="59"/>
      <c r="AO34" s="59"/>
      <c r="AP34" s="59"/>
      <c r="AQ34" s="59"/>
      <c r="AR34" s="59"/>
      <c r="AS34" s="59"/>
      <c r="AT34" s="59"/>
      <c r="AU34" s="59"/>
      <c r="AV34" s="59"/>
      <c r="AW34"/>
      <c r="AX34"/>
      <c r="AY34"/>
      <c r="AZ34"/>
      <c r="BA34"/>
      <c r="BB34"/>
      <c r="BC34"/>
      <c r="BD34"/>
      <c r="BE34"/>
      <c r="BF34"/>
      <c r="BG34"/>
      <c r="BH34"/>
      <c r="BI34"/>
      <c r="BJ34"/>
      <c r="BK34"/>
      <c r="BL34"/>
      <c r="BM34"/>
      <c r="BN34"/>
      <c r="BO34"/>
      <c r="BP34"/>
      <c r="BQ34"/>
      <c r="BR34"/>
      <c r="BS34"/>
      <c r="BT34"/>
      <c r="BU34"/>
      <c r="BV34"/>
      <c r="BW34"/>
      <c r="BX34"/>
      <c r="BY34"/>
      <c r="BZ34"/>
      <c r="CA34"/>
    </row>
    <row r="35" spans="1:79" s="106" customFormat="1" ht="21.75" customHeight="1">
      <c r="A35" s="108" t="s">
        <v>354</v>
      </c>
      <c r="B35" s="987"/>
      <c r="C35" s="988"/>
      <c r="D35" s="989"/>
      <c r="E35" s="988"/>
      <c r="F35" s="987"/>
      <c r="G35" s="988"/>
      <c r="H35" s="990">
        <v>2</v>
      </c>
      <c r="I35" s="991">
        <v>189.4</v>
      </c>
      <c r="J35" s="990"/>
      <c r="K35" s="991"/>
      <c r="L35" s="987"/>
      <c r="M35" s="988"/>
      <c r="N35" s="987"/>
      <c r="O35" s="988"/>
      <c r="P35" s="987"/>
      <c r="Q35" s="988"/>
      <c r="R35" s="989"/>
      <c r="S35" s="1000"/>
      <c r="T35" s="225">
        <f t="shared" si="5"/>
        <v>2</v>
      </c>
      <c r="U35" s="377">
        <f t="shared" si="6"/>
        <v>189.4</v>
      </c>
      <c r="X35"/>
      <c r="Y35" s="229"/>
      <c r="Z35" s="230"/>
      <c r="AA35" s="229"/>
      <c r="AB35" s="229"/>
      <c r="AC35" s="229"/>
      <c r="AD35" s="229"/>
      <c r="AE35" s="229"/>
      <c r="AF35" s="229"/>
      <c r="AG35" s="229"/>
      <c r="AH35" s="229"/>
      <c r="AI35" s="59"/>
      <c r="AJ35" s="59"/>
      <c r="AK35" s="59"/>
      <c r="AL35" s="59"/>
      <c r="AM35" s="59"/>
      <c r="AN35" s="59"/>
      <c r="AO35" s="59"/>
      <c r="AP35" s="59"/>
      <c r="AQ35" s="59"/>
      <c r="AR35" s="59"/>
      <c r="AS35" s="59"/>
      <c r="AT35" s="59"/>
      <c r="AU35" s="59"/>
      <c r="AV35" s="59"/>
      <c r="AW35"/>
      <c r="AX35"/>
      <c r="AY35"/>
      <c r="AZ35"/>
      <c r="BA35"/>
      <c r="BB35"/>
      <c r="BC35"/>
      <c r="BD35"/>
      <c r="BE35"/>
      <c r="BF35"/>
      <c r="BG35"/>
      <c r="BH35"/>
      <c r="BI35"/>
      <c r="BJ35"/>
      <c r="BK35"/>
      <c r="BL35"/>
      <c r="BM35"/>
      <c r="BN35"/>
      <c r="BO35"/>
      <c r="BP35"/>
      <c r="BQ35"/>
      <c r="BR35"/>
      <c r="BS35"/>
      <c r="BT35"/>
      <c r="BU35"/>
      <c r="BV35"/>
      <c r="BW35"/>
      <c r="BX35"/>
      <c r="BY35"/>
      <c r="BZ35"/>
      <c r="CA35"/>
    </row>
    <row r="36" spans="1:79" s="106" customFormat="1" ht="21.75" customHeight="1">
      <c r="A36" s="108" t="s">
        <v>346</v>
      </c>
      <c r="B36" s="987">
        <v>1</v>
      </c>
      <c r="C36" s="988">
        <v>165.9</v>
      </c>
      <c r="D36" s="989"/>
      <c r="E36" s="988"/>
      <c r="F36" s="987"/>
      <c r="G36" s="988"/>
      <c r="H36" s="990"/>
      <c r="I36" s="991"/>
      <c r="J36" s="990"/>
      <c r="K36" s="991"/>
      <c r="L36" s="987"/>
      <c r="M36" s="988"/>
      <c r="N36" s="987"/>
      <c r="O36" s="988"/>
      <c r="P36" s="987"/>
      <c r="Q36" s="988"/>
      <c r="R36" s="989"/>
      <c r="S36" s="1000"/>
      <c r="T36" s="225">
        <f t="shared" si="5"/>
        <v>1</v>
      </c>
      <c r="U36" s="377">
        <f t="shared" si="6"/>
        <v>165.9</v>
      </c>
      <c r="X36"/>
      <c r="Y36" s="229"/>
      <c r="Z36" s="230"/>
      <c r="AA36" s="229"/>
      <c r="AB36" s="229"/>
      <c r="AC36" s="229"/>
      <c r="AD36" s="229"/>
      <c r="AE36" s="229"/>
      <c r="AF36" s="229"/>
      <c r="AG36" s="229"/>
      <c r="AH36" s="229"/>
      <c r="AI36" s="59"/>
      <c r="AJ36" s="59"/>
      <c r="AK36" s="59"/>
      <c r="AL36" s="59"/>
      <c r="AM36" s="59"/>
      <c r="AN36" s="59"/>
      <c r="AO36" s="59"/>
      <c r="AP36" s="59"/>
      <c r="AQ36" s="59"/>
      <c r="AR36" s="59"/>
      <c r="AS36" s="59"/>
      <c r="AT36" s="59"/>
      <c r="AU36" s="59"/>
      <c r="AV36" s="59"/>
      <c r="AW36"/>
      <c r="AX36"/>
      <c r="AY36"/>
      <c r="AZ36"/>
      <c r="BA36"/>
      <c r="BB36"/>
      <c r="BC36"/>
      <c r="BD36"/>
      <c r="BE36"/>
      <c r="BF36"/>
      <c r="BG36"/>
      <c r="BH36"/>
      <c r="BI36"/>
      <c r="BJ36"/>
      <c r="BK36"/>
      <c r="BL36"/>
      <c r="BM36"/>
      <c r="BN36"/>
      <c r="BO36"/>
      <c r="BP36"/>
      <c r="BQ36"/>
      <c r="BR36"/>
      <c r="BS36"/>
      <c r="BT36"/>
      <c r="BU36"/>
      <c r="BV36"/>
      <c r="BW36"/>
      <c r="BX36"/>
      <c r="BY36"/>
      <c r="BZ36"/>
      <c r="CA36"/>
    </row>
    <row r="37" spans="1:79" s="106" customFormat="1" ht="21.75" customHeight="1">
      <c r="A37" s="108" t="s">
        <v>131</v>
      </c>
      <c r="B37" s="987">
        <v>2</v>
      </c>
      <c r="C37" s="988">
        <v>281.6</v>
      </c>
      <c r="D37" s="989"/>
      <c r="E37" s="988"/>
      <c r="F37" s="987"/>
      <c r="G37" s="988"/>
      <c r="H37" s="990">
        <v>2</v>
      </c>
      <c r="I37" s="991">
        <v>219.4</v>
      </c>
      <c r="J37" s="990">
        <v>1</v>
      </c>
      <c r="K37" s="991">
        <v>109</v>
      </c>
      <c r="L37" s="987">
        <v>4</v>
      </c>
      <c r="M37" s="988">
        <v>446.8</v>
      </c>
      <c r="N37" s="987"/>
      <c r="O37" s="988"/>
      <c r="P37" s="987">
        <v>1</v>
      </c>
      <c r="Q37" s="988">
        <v>206.4</v>
      </c>
      <c r="R37" s="989"/>
      <c r="S37" s="1000"/>
      <c r="T37" s="225">
        <f t="shared" si="5"/>
        <v>10</v>
      </c>
      <c r="U37" s="377">
        <f t="shared" si="6"/>
        <v>1263.2</v>
      </c>
      <c r="X37"/>
      <c r="Y37" s="229"/>
      <c r="Z37" s="230"/>
      <c r="AA37" s="229"/>
      <c r="AB37" s="229"/>
      <c r="AC37" s="229"/>
      <c r="AD37" s="229"/>
      <c r="AE37" s="229"/>
      <c r="AF37" s="229"/>
      <c r="AG37" s="229"/>
      <c r="AH37" s="229"/>
      <c r="AI37" s="59"/>
      <c r="AJ37" s="59"/>
      <c r="AK37" s="59"/>
      <c r="AL37" s="59"/>
      <c r="AM37" s="59"/>
      <c r="AN37" s="59"/>
      <c r="AO37" s="59"/>
      <c r="AP37" s="59"/>
      <c r="AQ37" s="59"/>
      <c r="AR37" s="59"/>
      <c r="AS37" s="59"/>
      <c r="AT37" s="59"/>
      <c r="AU37" s="59"/>
      <c r="AV37" s="59"/>
      <c r="AW37"/>
      <c r="AX37"/>
      <c r="AY37"/>
      <c r="AZ37"/>
      <c r="BA37"/>
      <c r="BB37"/>
      <c r="BC37"/>
      <c r="BD37"/>
      <c r="BE37"/>
      <c r="BF37"/>
      <c r="BG37"/>
      <c r="BH37"/>
      <c r="BI37"/>
      <c r="BJ37"/>
      <c r="BK37"/>
      <c r="BL37"/>
      <c r="BM37"/>
      <c r="BN37"/>
      <c r="BO37"/>
      <c r="BP37"/>
      <c r="BQ37"/>
      <c r="BR37"/>
      <c r="BS37"/>
      <c r="BT37"/>
      <c r="BU37"/>
      <c r="BV37"/>
      <c r="BW37"/>
      <c r="BX37"/>
      <c r="BY37"/>
      <c r="BZ37"/>
      <c r="CA37"/>
    </row>
    <row r="38" spans="1:79" s="106" customFormat="1" ht="21.75" customHeight="1">
      <c r="A38" s="108" t="s">
        <v>132</v>
      </c>
      <c r="B38" s="987">
        <v>1</v>
      </c>
      <c r="C38" s="988">
        <v>224.8</v>
      </c>
      <c r="D38" s="989"/>
      <c r="E38" s="988"/>
      <c r="F38" s="987"/>
      <c r="G38" s="988"/>
      <c r="H38" s="990">
        <v>2</v>
      </c>
      <c r="I38" s="991">
        <v>211.8</v>
      </c>
      <c r="J38" s="990">
        <v>1</v>
      </c>
      <c r="K38" s="991">
        <v>137.3</v>
      </c>
      <c r="L38" s="987">
        <v>4</v>
      </c>
      <c r="M38" s="988">
        <v>540</v>
      </c>
      <c r="N38" s="987"/>
      <c r="O38" s="988"/>
      <c r="P38" s="987">
        <v>1</v>
      </c>
      <c r="Q38" s="988">
        <v>212.5</v>
      </c>
      <c r="R38" s="989"/>
      <c r="S38" s="1000"/>
      <c r="T38" s="225">
        <f t="shared" si="5"/>
        <v>9</v>
      </c>
      <c r="U38" s="377">
        <f t="shared" si="6"/>
        <v>1326.4</v>
      </c>
      <c r="X38"/>
      <c r="Y38" s="229"/>
      <c r="Z38" s="230"/>
      <c r="AA38" s="229"/>
      <c r="AB38" s="229"/>
      <c r="AC38" s="229"/>
      <c r="AD38" s="229"/>
      <c r="AE38" s="229"/>
      <c r="AF38" s="229"/>
      <c r="AG38" s="229"/>
      <c r="AH38" s="229"/>
      <c r="AI38" s="59"/>
      <c r="AJ38" s="59"/>
      <c r="AK38" s="59"/>
      <c r="AL38" s="59"/>
      <c r="AM38" s="59"/>
      <c r="AN38" s="59"/>
      <c r="AO38" s="59"/>
      <c r="AP38" s="59"/>
      <c r="AQ38" s="59"/>
      <c r="AR38" s="59"/>
      <c r="AS38" s="59"/>
      <c r="AT38" s="59"/>
      <c r="AU38" s="59"/>
      <c r="AV38" s="59"/>
      <c r="AW38"/>
      <c r="AX38"/>
      <c r="AY38"/>
      <c r="AZ38"/>
      <c r="BA38"/>
      <c r="BB38"/>
      <c r="BC38"/>
      <c r="BD38"/>
      <c r="BE38"/>
      <c r="BF38"/>
      <c r="BG38"/>
      <c r="BH38"/>
      <c r="BI38"/>
      <c r="BJ38"/>
      <c r="BK38"/>
      <c r="BL38"/>
      <c r="BM38"/>
      <c r="BN38"/>
      <c r="BO38"/>
      <c r="BP38"/>
      <c r="BQ38"/>
      <c r="BR38"/>
      <c r="BS38"/>
      <c r="BT38"/>
      <c r="BU38"/>
      <c r="BV38"/>
      <c r="BW38"/>
      <c r="BX38"/>
      <c r="BY38"/>
      <c r="BZ38"/>
      <c r="CA38"/>
    </row>
    <row r="39" spans="1:79" s="106" customFormat="1" ht="21.75" customHeight="1">
      <c r="A39" s="108" t="s">
        <v>355</v>
      </c>
      <c r="B39" s="987">
        <v>2</v>
      </c>
      <c r="C39" s="988">
        <v>309</v>
      </c>
      <c r="D39" s="989"/>
      <c r="E39" s="988"/>
      <c r="F39" s="987"/>
      <c r="G39" s="988"/>
      <c r="H39" s="990">
        <v>1</v>
      </c>
      <c r="I39" s="991">
        <v>115.7</v>
      </c>
      <c r="J39" s="990"/>
      <c r="K39" s="991"/>
      <c r="L39" s="987">
        <v>1</v>
      </c>
      <c r="M39" s="988">
        <v>128.1</v>
      </c>
      <c r="N39" s="987"/>
      <c r="O39" s="988"/>
      <c r="P39" s="987"/>
      <c r="Q39" s="988"/>
      <c r="R39" s="989"/>
      <c r="S39" s="1000"/>
      <c r="T39" s="225">
        <f t="shared" si="5"/>
        <v>4</v>
      </c>
      <c r="U39" s="377">
        <f t="shared" si="6"/>
        <v>552.8</v>
      </c>
      <c r="X39"/>
      <c r="Y39" s="229"/>
      <c r="Z39" s="230"/>
      <c r="AA39" s="229"/>
      <c r="AB39" s="229"/>
      <c r="AC39" s="229"/>
      <c r="AD39" s="229"/>
      <c r="AE39" s="229"/>
      <c r="AF39" s="229"/>
      <c r="AG39" s="229"/>
      <c r="AH39" s="229"/>
      <c r="AI39" s="59"/>
      <c r="AJ39" s="59"/>
      <c r="AK39" s="59"/>
      <c r="AL39" s="59"/>
      <c r="AM39" s="59"/>
      <c r="AN39" s="59"/>
      <c r="AO39" s="59"/>
      <c r="AP39" s="59"/>
      <c r="AQ39" s="59"/>
      <c r="AR39" s="59"/>
      <c r="AS39" s="59"/>
      <c r="AT39" s="59"/>
      <c r="AU39" s="59"/>
      <c r="AV39" s="59"/>
      <c r="AW39"/>
      <c r="AX39"/>
      <c r="AY39"/>
      <c r="AZ39"/>
      <c r="BA39"/>
      <c r="BB39"/>
      <c r="BC39"/>
      <c r="BD39"/>
      <c r="BE39"/>
      <c r="BF39"/>
      <c r="BG39"/>
      <c r="BH39"/>
      <c r="BI39"/>
      <c r="BJ39"/>
      <c r="BK39"/>
      <c r="BL39"/>
      <c r="BM39"/>
      <c r="BN39"/>
      <c r="BO39"/>
      <c r="BP39"/>
      <c r="BQ39"/>
      <c r="BR39"/>
      <c r="BS39"/>
      <c r="BT39"/>
      <c r="BU39"/>
      <c r="BV39"/>
      <c r="BW39"/>
      <c r="BX39"/>
      <c r="BY39"/>
      <c r="BZ39"/>
      <c r="CA39"/>
    </row>
    <row r="40" spans="1:79" s="106" customFormat="1" ht="21.75" customHeight="1">
      <c r="A40" s="108" t="s">
        <v>179</v>
      </c>
      <c r="B40" s="987"/>
      <c r="C40" s="988"/>
      <c r="D40" s="989"/>
      <c r="E40" s="988"/>
      <c r="F40" s="987"/>
      <c r="G40" s="988"/>
      <c r="H40" s="990"/>
      <c r="I40" s="991"/>
      <c r="J40" s="990"/>
      <c r="K40" s="991"/>
      <c r="L40" s="987"/>
      <c r="M40" s="988"/>
      <c r="N40" s="987"/>
      <c r="O40" s="988"/>
      <c r="P40" s="987">
        <v>1</v>
      </c>
      <c r="Q40" s="988">
        <v>219.1</v>
      </c>
      <c r="R40" s="989"/>
      <c r="S40" s="1000"/>
      <c r="T40" s="225">
        <f t="shared" si="5"/>
        <v>1</v>
      </c>
      <c r="U40" s="377">
        <f t="shared" si="6"/>
        <v>219.1</v>
      </c>
      <c r="X40"/>
      <c r="Y40" s="229"/>
      <c r="Z40" s="230"/>
      <c r="AA40" s="229"/>
      <c r="AB40" s="229"/>
      <c r="AC40" s="229"/>
      <c r="AD40" s="229"/>
      <c r="AE40" s="229"/>
      <c r="AF40" s="229"/>
      <c r="AG40" s="229"/>
      <c r="AH40" s="229"/>
      <c r="AI40" s="59"/>
      <c r="AJ40" s="59"/>
      <c r="AK40" s="59"/>
      <c r="AL40" s="59"/>
      <c r="AM40" s="59"/>
      <c r="AN40" s="59"/>
      <c r="AO40" s="59"/>
      <c r="AP40" s="59"/>
      <c r="AQ40" s="59"/>
      <c r="AR40" s="59"/>
      <c r="AS40" s="59"/>
      <c r="AT40" s="59"/>
      <c r="AU40" s="59"/>
      <c r="AV40" s="59"/>
      <c r="AW40"/>
      <c r="AX40"/>
      <c r="AY40"/>
      <c r="AZ40"/>
      <c r="BA40"/>
      <c r="BB40"/>
      <c r="BC40"/>
      <c r="BD40"/>
      <c r="BE40"/>
      <c r="BF40"/>
      <c r="BG40"/>
      <c r="BH40"/>
      <c r="BI40"/>
      <c r="BJ40"/>
      <c r="BK40"/>
      <c r="BL40"/>
      <c r="BM40"/>
      <c r="BN40"/>
      <c r="BO40"/>
      <c r="BP40"/>
      <c r="BQ40"/>
      <c r="BR40"/>
      <c r="BS40"/>
      <c r="BT40"/>
      <c r="BU40"/>
      <c r="BV40"/>
      <c r="BW40"/>
      <c r="BX40"/>
      <c r="BY40"/>
      <c r="BZ40"/>
      <c r="CA40"/>
    </row>
    <row r="41" spans="1:79" s="106" customFormat="1" ht="21.75" customHeight="1">
      <c r="A41" s="108" t="s">
        <v>192</v>
      </c>
      <c r="B41" s="987">
        <v>1</v>
      </c>
      <c r="C41" s="988">
        <v>145.1</v>
      </c>
      <c r="D41" s="989"/>
      <c r="E41" s="988"/>
      <c r="F41" s="987"/>
      <c r="G41" s="988"/>
      <c r="H41" s="990"/>
      <c r="I41" s="991"/>
      <c r="J41" s="990"/>
      <c r="K41" s="991"/>
      <c r="L41" s="987">
        <v>1</v>
      </c>
      <c r="M41" s="988">
        <v>105.6</v>
      </c>
      <c r="N41" s="987"/>
      <c r="O41" s="988"/>
      <c r="P41" s="987"/>
      <c r="Q41" s="988"/>
      <c r="R41" s="989"/>
      <c r="S41" s="1000"/>
      <c r="T41" s="225">
        <f t="shared" si="5"/>
        <v>2</v>
      </c>
      <c r="U41" s="377">
        <f t="shared" si="6"/>
        <v>250.7</v>
      </c>
      <c r="X41"/>
      <c r="Y41" s="229"/>
      <c r="Z41" s="230"/>
      <c r="AA41" s="229"/>
      <c r="AB41" s="229"/>
      <c r="AC41" s="229"/>
      <c r="AD41" s="229"/>
      <c r="AE41" s="229"/>
      <c r="AF41" s="229"/>
      <c r="AG41" s="229"/>
      <c r="AH41" s="229"/>
      <c r="AI41" s="59"/>
      <c r="AJ41" s="59"/>
      <c r="AK41" s="59"/>
      <c r="AL41" s="59"/>
      <c r="AM41" s="59"/>
      <c r="AN41" s="59"/>
      <c r="AO41" s="59"/>
      <c r="AP41" s="59"/>
      <c r="AQ41" s="59"/>
      <c r="AR41" s="59"/>
      <c r="AS41" s="59"/>
      <c r="AT41" s="59"/>
      <c r="AU41" s="59"/>
      <c r="AV41" s="59"/>
      <c r="AW41"/>
      <c r="AX41"/>
      <c r="AY41"/>
      <c r="AZ41"/>
      <c r="BA41"/>
      <c r="BB41"/>
      <c r="BC41"/>
      <c r="BD41"/>
      <c r="BE41"/>
      <c r="BF41"/>
      <c r="BG41"/>
      <c r="BH41"/>
      <c r="BI41"/>
      <c r="BJ41"/>
      <c r="BK41"/>
      <c r="BL41"/>
      <c r="BM41"/>
      <c r="BN41"/>
      <c r="BO41"/>
      <c r="BP41"/>
      <c r="BQ41"/>
      <c r="BR41"/>
      <c r="BS41"/>
      <c r="BT41"/>
      <c r="BU41"/>
      <c r="BV41"/>
      <c r="BW41"/>
      <c r="BX41"/>
      <c r="BY41"/>
      <c r="BZ41"/>
      <c r="CA41"/>
    </row>
    <row r="42" spans="1:79" s="106" customFormat="1" ht="21.75" customHeight="1">
      <c r="A42" s="108" t="s">
        <v>133</v>
      </c>
      <c r="B42" s="987">
        <v>2</v>
      </c>
      <c r="C42" s="988">
        <v>284.8</v>
      </c>
      <c r="D42" s="989"/>
      <c r="E42" s="988"/>
      <c r="F42" s="987"/>
      <c r="G42" s="988"/>
      <c r="H42" s="990"/>
      <c r="I42" s="991"/>
      <c r="J42" s="990"/>
      <c r="K42" s="991"/>
      <c r="L42" s="987"/>
      <c r="M42" s="988"/>
      <c r="N42" s="987"/>
      <c r="O42" s="988"/>
      <c r="P42" s="987"/>
      <c r="Q42" s="988"/>
      <c r="R42" s="989"/>
      <c r="S42" s="1000"/>
      <c r="T42" s="225">
        <f t="shared" si="5"/>
        <v>2</v>
      </c>
      <c r="U42" s="377">
        <f t="shared" si="6"/>
        <v>284.8</v>
      </c>
      <c r="X42"/>
      <c r="Y42" s="229"/>
      <c r="Z42" s="230"/>
      <c r="AA42" s="229"/>
      <c r="AB42" s="229"/>
      <c r="AC42" s="229"/>
      <c r="AD42" s="229"/>
      <c r="AE42" s="229"/>
      <c r="AF42" s="229"/>
      <c r="AG42" s="229"/>
      <c r="AH42" s="229"/>
      <c r="AI42" s="59"/>
      <c r="AJ42" s="59"/>
      <c r="AK42" s="59"/>
      <c r="AL42" s="59"/>
      <c r="AM42" s="59"/>
      <c r="AN42" s="59"/>
      <c r="AO42" s="59"/>
      <c r="AP42" s="59"/>
      <c r="AQ42" s="59"/>
      <c r="AR42" s="59"/>
      <c r="AS42" s="59"/>
      <c r="AT42" s="59"/>
      <c r="AU42" s="59"/>
      <c r="AV42" s="59"/>
      <c r="AW42"/>
      <c r="AX42"/>
      <c r="AY42"/>
      <c r="AZ42"/>
      <c r="BA42"/>
      <c r="BB42"/>
      <c r="BC42"/>
      <c r="BD42"/>
      <c r="BE42"/>
      <c r="BF42"/>
      <c r="BG42"/>
      <c r="BH42"/>
      <c r="BI42"/>
      <c r="BJ42"/>
      <c r="BK42"/>
      <c r="BL42"/>
      <c r="BM42"/>
      <c r="BN42"/>
      <c r="BO42"/>
      <c r="BP42"/>
      <c r="BQ42"/>
      <c r="BR42"/>
      <c r="BS42"/>
      <c r="BT42"/>
      <c r="BU42"/>
      <c r="BV42"/>
      <c r="BW42"/>
      <c r="BX42"/>
      <c r="BY42"/>
      <c r="BZ42"/>
      <c r="CA42"/>
    </row>
    <row r="43" spans="1:79" s="106" customFormat="1" ht="21.75" customHeight="1">
      <c r="A43" s="108" t="s">
        <v>134</v>
      </c>
      <c r="B43" s="987">
        <v>1</v>
      </c>
      <c r="C43" s="988">
        <v>145.2</v>
      </c>
      <c r="D43" s="989"/>
      <c r="E43" s="988"/>
      <c r="F43" s="987"/>
      <c r="G43" s="988"/>
      <c r="H43" s="990"/>
      <c r="I43" s="991"/>
      <c r="J43" s="990"/>
      <c r="K43" s="991"/>
      <c r="L43" s="987">
        <v>3</v>
      </c>
      <c r="M43" s="988">
        <v>281.1</v>
      </c>
      <c r="N43" s="987"/>
      <c r="O43" s="988"/>
      <c r="P43" s="987"/>
      <c r="Q43" s="988"/>
      <c r="R43" s="989"/>
      <c r="S43" s="1000"/>
      <c r="T43" s="225">
        <f t="shared" si="5"/>
        <v>4</v>
      </c>
      <c r="U43" s="377">
        <f t="shared" si="6"/>
        <v>426.3</v>
      </c>
      <c r="X43"/>
      <c r="Y43" s="229"/>
      <c r="Z43" s="230"/>
      <c r="AA43" s="229"/>
      <c r="AB43" s="229"/>
      <c r="AC43" s="229"/>
      <c r="AD43" s="229"/>
      <c r="AE43" s="229"/>
      <c r="AF43" s="229"/>
      <c r="AG43" s="229"/>
      <c r="AH43" s="229"/>
      <c r="AI43" s="59"/>
      <c r="AJ43" s="59"/>
      <c r="AK43" s="59"/>
      <c r="AL43" s="59"/>
      <c r="AM43" s="59"/>
      <c r="AN43" s="59"/>
      <c r="AO43" s="59"/>
      <c r="AP43" s="59"/>
      <c r="AQ43" s="59"/>
      <c r="AR43" s="59"/>
      <c r="AS43" s="59"/>
      <c r="AT43" s="59"/>
      <c r="AU43" s="59"/>
      <c r="AV43" s="59"/>
      <c r="AW43"/>
      <c r="AX43"/>
      <c r="AY43"/>
      <c r="AZ43"/>
      <c r="BA43"/>
      <c r="BB43"/>
      <c r="BC43"/>
      <c r="BD43"/>
      <c r="BE43"/>
      <c r="BF43"/>
      <c r="BG43"/>
      <c r="BH43"/>
      <c r="BI43"/>
      <c r="BJ43"/>
      <c r="BK43"/>
      <c r="BL43"/>
      <c r="BM43"/>
      <c r="BN43"/>
      <c r="BO43"/>
      <c r="BP43"/>
      <c r="BQ43"/>
      <c r="BR43"/>
      <c r="BS43"/>
      <c r="BT43"/>
      <c r="BU43"/>
      <c r="BV43"/>
      <c r="BW43"/>
      <c r="BX43"/>
      <c r="BY43"/>
      <c r="BZ43"/>
      <c r="CA43"/>
    </row>
    <row r="44" spans="1:79" s="106" customFormat="1" ht="21.75" customHeight="1">
      <c r="A44" s="108" t="s">
        <v>193</v>
      </c>
      <c r="B44" s="987"/>
      <c r="C44" s="988"/>
      <c r="D44" s="989"/>
      <c r="E44" s="988"/>
      <c r="F44" s="987"/>
      <c r="G44" s="988"/>
      <c r="H44" s="990"/>
      <c r="I44" s="991"/>
      <c r="J44" s="990"/>
      <c r="K44" s="991"/>
      <c r="L44" s="987"/>
      <c r="M44" s="988"/>
      <c r="N44" s="987"/>
      <c r="O44" s="988"/>
      <c r="P44" s="987">
        <v>1</v>
      </c>
      <c r="Q44" s="988">
        <v>263.4</v>
      </c>
      <c r="R44" s="989"/>
      <c r="S44" s="1000"/>
      <c r="T44" s="225">
        <f t="shared" si="5"/>
        <v>1</v>
      </c>
      <c r="U44" s="377">
        <f t="shared" si="6"/>
        <v>263.4</v>
      </c>
      <c r="X44"/>
      <c r="Y44" s="229"/>
      <c r="Z44" s="230"/>
      <c r="AA44" s="229"/>
      <c r="AB44" s="229"/>
      <c r="AC44" s="229"/>
      <c r="AD44" s="229"/>
      <c r="AE44" s="229"/>
      <c r="AF44" s="229"/>
      <c r="AG44" s="229"/>
      <c r="AH44" s="229"/>
      <c r="AI44" s="59"/>
      <c r="AJ44" s="59"/>
      <c r="AK44" s="59"/>
      <c r="AL44" s="59"/>
      <c r="AM44" s="59"/>
      <c r="AN44" s="59"/>
      <c r="AO44" s="59"/>
      <c r="AP44" s="59"/>
      <c r="AQ44" s="59"/>
      <c r="AR44" s="59"/>
      <c r="AS44" s="59"/>
      <c r="AT44" s="59"/>
      <c r="AU44" s="59"/>
      <c r="AV44" s="59"/>
      <c r="AW44"/>
      <c r="AX44"/>
      <c r="AY44"/>
      <c r="AZ44"/>
      <c r="BA44"/>
      <c r="BB44"/>
      <c r="BC44"/>
      <c r="BD44"/>
      <c r="BE44"/>
      <c r="BF44"/>
      <c r="BG44"/>
      <c r="BH44"/>
      <c r="BI44"/>
      <c r="BJ44"/>
      <c r="BK44"/>
      <c r="BL44"/>
      <c r="BM44"/>
      <c r="BN44"/>
      <c r="BO44"/>
      <c r="BP44"/>
      <c r="BQ44"/>
      <c r="BR44"/>
      <c r="BS44"/>
      <c r="BT44"/>
      <c r="BU44"/>
      <c r="BV44"/>
      <c r="BW44"/>
      <c r="BX44"/>
      <c r="BY44"/>
      <c r="BZ44"/>
      <c r="CA44"/>
    </row>
    <row r="45" spans="1:79" s="311" customFormat="1" ht="21.75" customHeight="1">
      <c r="A45" s="105" t="s">
        <v>135</v>
      </c>
      <c r="B45" s="1010"/>
      <c r="C45" s="1011"/>
      <c r="D45" s="1005"/>
      <c r="E45" s="1011"/>
      <c r="F45" s="1010"/>
      <c r="G45" s="1011"/>
      <c r="H45" s="1012">
        <v>1</v>
      </c>
      <c r="I45" s="1013">
        <v>91.7</v>
      </c>
      <c r="J45" s="1012"/>
      <c r="K45" s="1013"/>
      <c r="L45" s="1010">
        <v>1</v>
      </c>
      <c r="M45" s="1011">
        <v>99.9</v>
      </c>
      <c r="N45" s="1010"/>
      <c r="O45" s="1011"/>
      <c r="P45" s="1010">
        <v>1</v>
      </c>
      <c r="Q45" s="1011">
        <v>209.9</v>
      </c>
      <c r="R45" s="1005"/>
      <c r="S45" s="1006"/>
      <c r="T45" s="234">
        <f>SUM(B45,D45,F45,H45,J45,N45,P45,L45,R45)</f>
        <v>3</v>
      </c>
      <c r="U45" s="379">
        <f>SUM(C45,E45,G45,I45,K45,O45,Q45,M45,S45)</f>
        <v>401.5</v>
      </c>
      <c r="X45" s="312"/>
      <c r="Y45" s="313"/>
      <c r="Z45" s="314"/>
      <c r="AA45" s="313"/>
      <c r="AB45" s="313"/>
      <c r="AC45" s="313"/>
      <c r="AD45" s="313"/>
      <c r="AE45" s="313"/>
      <c r="AF45" s="313"/>
      <c r="AG45" s="313"/>
      <c r="AH45" s="313"/>
      <c r="AI45" s="315"/>
      <c r="AJ45" s="315"/>
      <c r="AK45" s="315"/>
      <c r="AL45" s="315"/>
      <c r="AM45" s="315"/>
      <c r="AN45" s="315"/>
      <c r="AO45" s="315"/>
      <c r="AP45" s="315"/>
      <c r="AQ45" s="315"/>
      <c r="AR45" s="315"/>
      <c r="AS45" s="315"/>
      <c r="AT45" s="315"/>
      <c r="AU45" s="315"/>
      <c r="AV45" s="315"/>
      <c r="AW45" s="312"/>
      <c r="AX45" s="312"/>
      <c r="AY45" s="312"/>
      <c r="AZ45" s="312"/>
      <c r="BA45" s="312"/>
      <c r="BB45" s="312"/>
      <c r="BC45" s="312"/>
      <c r="BD45" s="312"/>
      <c r="BE45" s="312"/>
      <c r="BF45" s="312"/>
      <c r="BG45" s="312"/>
      <c r="BH45" s="312"/>
      <c r="BI45" s="312"/>
      <c r="BJ45" s="312"/>
      <c r="BK45" s="312"/>
      <c r="BL45" s="312"/>
      <c r="BM45" s="312"/>
      <c r="BN45" s="312"/>
      <c r="BO45" s="312"/>
      <c r="BP45" s="312"/>
      <c r="BQ45" s="312"/>
      <c r="BR45" s="312"/>
      <c r="BS45" s="312"/>
      <c r="BT45" s="312"/>
      <c r="BU45" s="312"/>
      <c r="BV45" s="312"/>
      <c r="BW45" s="312"/>
      <c r="BX45" s="312"/>
      <c r="BY45" s="312"/>
      <c r="BZ45" s="312"/>
      <c r="CA45" s="312"/>
    </row>
    <row r="46" spans="1:79" s="106" customFormat="1" ht="24" customHeight="1">
      <c r="A46" s="77" t="s">
        <v>154</v>
      </c>
      <c r="B46" s="989"/>
      <c r="C46" s="1015"/>
      <c r="D46" s="1014"/>
      <c r="E46" s="1015"/>
      <c r="F46" s="1014"/>
      <c r="G46" s="1015"/>
      <c r="H46" s="1014"/>
      <c r="I46" s="1015"/>
      <c r="J46" s="1014"/>
      <c r="K46" s="1015"/>
      <c r="L46" s="989"/>
      <c r="M46" s="1000"/>
      <c r="N46" s="989"/>
      <c r="O46" s="1000"/>
      <c r="P46" s="989"/>
      <c r="Q46" s="1000"/>
      <c r="R46" s="1001"/>
      <c r="S46" s="1016"/>
      <c r="T46" s="225"/>
      <c r="U46" s="377"/>
      <c r="X46"/>
      <c r="Y46" s="229"/>
      <c r="Z46" s="230"/>
      <c r="AA46" s="229"/>
      <c r="AB46" s="229"/>
      <c r="AC46" s="229"/>
      <c r="AD46" s="229"/>
      <c r="AE46" s="229"/>
      <c r="AF46" s="229"/>
      <c r="AG46" s="229"/>
      <c r="AH46" s="229"/>
      <c r="AI46" s="59"/>
      <c r="AJ46" s="59"/>
      <c r="AK46" s="59"/>
      <c r="AL46" s="59"/>
      <c r="AM46" s="59"/>
      <c r="AN46" s="59"/>
      <c r="AO46" s="59"/>
      <c r="AP46" s="59"/>
      <c r="AQ46" s="59"/>
      <c r="AR46" s="59"/>
      <c r="AS46" s="59"/>
      <c r="AT46" s="59"/>
      <c r="AU46" s="59"/>
      <c r="AV46" s="59"/>
      <c r="AW46"/>
      <c r="AX46"/>
      <c r="AY46"/>
      <c r="AZ46"/>
      <c r="BA46"/>
      <c r="BB46"/>
      <c r="BC46"/>
      <c r="BD46"/>
      <c r="BE46"/>
      <c r="BF46"/>
      <c r="BG46"/>
      <c r="BH46"/>
      <c r="BI46"/>
      <c r="BJ46"/>
      <c r="BK46"/>
      <c r="BL46"/>
      <c r="BM46"/>
      <c r="BN46"/>
      <c r="BO46"/>
      <c r="BP46"/>
      <c r="BQ46"/>
      <c r="BR46"/>
      <c r="BS46"/>
      <c r="BT46"/>
      <c r="BU46"/>
      <c r="BV46"/>
      <c r="BW46"/>
      <c r="BX46"/>
      <c r="BY46"/>
      <c r="BZ46"/>
      <c r="CA46"/>
    </row>
    <row r="47" spans="1:79" s="279" customFormat="1" ht="19.5" customHeight="1">
      <c r="A47" s="278" t="s">
        <v>411</v>
      </c>
      <c r="B47" s="987"/>
      <c r="C47" s="988"/>
      <c r="D47" s="989"/>
      <c r="E47" s="988"/>
      <c r="F47" s="987"/>
      <c r="G47" s="988"/>
      <c r="H47" s="990"/>
      <c r="I47" s="991"/>
      <c r="J47" s="990"/>
      <c r="K47" s="991"/>
      <c r="L47" s="987">
        <v>1</v>
      </c>
      <c r="M47" s="988">
        <v>173.8</v>
      </c>
      <c r="N47" s="987"/>
      <c r="O47" s="988"/>
      <c r="P47" s="987"/>
      <c r="Q47" s="988"/>
      <c r="R47" s="989"/>
      <c r="S47" s="1000"/>
      <c r="T47" s="225">
        <f>SUM(B47,D47,F47,H47,J47,N47,P47,L47,R47)</f>
        <v>1</v>
      </c>
      <c r="U47" s="377">
        <f>SUM(C47,E47,G47,I47,K47,O47,Q47,M47,S47)</f>
        <v>173.8</v>
      </c>
      <c r="V47" s="106"/>
      <c r="X47" s="280"/>
      <c r="Y47" s="281"/>
      <c r="Z47" s="282"/>
      <c r="AA47" s="281"/>
      <c r="AB47" s="281"/>
      <c r="AC47" s="281"/>
      <c r="AD47" s="281"/>
      <c r="AE47" s="281"/>
      <c r="AF47" s="281"/>
      <c r="AG47" s="281"/>
      <c r="AH47" s="281"/>
      <c r="AI47" s="283"/>
      <c r="AJ47" s="283"/>
      <c r="AK47" s="283"/>
      <c r="AL47" s="283"/>
      <c r="AM47" s="283"/>
      <c r="AN47" s="283"/>
      <c r="AO47" s="283"/>
      <c r="AP47" s="283"/>
      <c r="AQ47" s="283"/>
      <c r="AR47" s="283"/>
      <c r="AS47" s="283"/>
      <c r="AT47" s="283"/>
      <c r="AU47" s="283"/>
      <c r="AV47" s="283"/>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row>
    <row r="48" spans="1:79" s="311" customFormat="1" ht="19.5" customHeight="1">
      <c r="A48" s="105" t="s">
        <v>178</v>
      </c>
      <c r="B48" s="1010"/>
      <c r="C48" s="1011"/>
      <c r="D48" s="1005"/>
      <c r="E48" s="1011"/>
      <c r="F48" s="1010"/>
      <c r="G48" s="1011"/>
      <c r="H48" s="1012">
        <v>1</v>
      </c>
      <c r="I48" s="1013">
        <v>93.7</v>
      </c>
      <c r="J48" s="1012">
        <v>1</v>
      </c>
      <c r="K48" s="1013">
        <v>101.8</v>
      </c>
      <c r="L48" s="1010">
        <v>4</v>
      </c>
      <c r="M48" s="1011">
        <v>500.2</v>
      </c>
      <c r="N48" s="1010"/>
      <c r="O48" s="1011"/>
      <c r="P48" s="1010"/>
      <c r="Q48" s="1011"/>
      <c r="R48" s="1005"/>
      <c r="S48" s="1006"/>
      <c r="T48" s="234">
        <f>SUM(B48,D48,F48,H48,J48,N48,P48,L48,R48)</f>
        <v>6</v>
      </c>
      <c r="U48" s="379">
        <f>SUM(C48,E48,G48,I48,K48,O48,Q48,M48,S48)</f>
        <v>695.7</v>
      </c>
      <c r="X48" s="312"/>
      <c r="Y48" s="313"/>
      <c r="Z48" s="314"/>
      <c r="AA48" s="313"/>
      <c r="AB48" s="313"/>
      <c r="AC48" s="313"/>
      <c r="AD48" s="313"/>
      <c r="AE48" s="313"/>
      <c r="AF48" s="313"/>
      <c r="AG48" s="313"/>
      <c r="AH48" s="313"/>
      <c r="AI48" s="315"/>
      <c r="AJ48" s="315"/>
      <c r="AK48" s="315"/>
      <c r="AL48" s="315"/>
      <c r="AM48" s="315"/>
      <c r="AN48" s="315"/>
      <c r="AO48" s="315"/>
      <c r="AP48" s="315"/>
      <c r="AQ48" s="315"/>
      <c r="AR48" s="315"/>
      <c r="AS48" s="315"/>
      <c r="AT48" s="315"/>
      <c r="AU48" s="315"/>
      <c r="AV48" s="315"/>
      <c r="AW48" s="312"/>
      <c r="AX48" s="312"/>
      <c r="AY48" s="312"/>
      <c r="AZ48" s="312"/>
      <c r="BA48" s="312"/>
      <c r="BB48" s="312"/>
      <c r="BC48" s="312"/>
      <c r="BD48" s="312"/>
      <c r="BE48" s="312"/>
      <c r="BF48" s="312"/>
      <c r="BG48" s="312"/>
      <c r="BH48" s="312"/>
      <c r="BI48" s="312"/>
      <c r="BJ48" s="312"/>
      <c r="BK48" s="312"/>
      <c r="BL48" s="312"/>
      <c r="BM48" s="312"/>
      <c r="BN48" s="312"/>
      <c r="BO48" s="312"/>
      <c r="BP48" s="312"/>
      <c r="BQ48" s="312"/>
      <c r="BR48" s="312"/>
      <c r="BS48" s="312"/>
      <c r="BT48" s="312"/>
      <c r="BU48" s="312"/>
      <c r="BV48" s="312"/>
      <c r="BW48" s="312"/>
      <c r="BX48" s="312"/>
      <c r="BY48" s="312"/>
      <c r="BZ48" s="312"/>
      <c r="CA48" s="312"/>
    </row>
    <row r="49" spans="1:79" s="106" customFormat="1" ht="24" customHeight="1">
      <c r="A49" s="77" t="s">
        <v>155</v>
      </c>
      <c r="B49" s="1014"/>
      <c r="C49" s="1015"/>
      <c r="D49" s="1014"/>
      <c r="E49" s="1015"/>
      <c r="F49" s="996"/>
      <c r="G49" s="999"/>
      <c r="H49" s="1014"/>
      <c r="I49" s="1015"/>
      <c r="J49" s="1014"/>
      <c r="K49" s="1015"/>
      <c r="L49" s="1014"/>
      <c r="M49" s="1015"/>
      <c r="N49" s="1014"/>
      <c r="O49" s="1015"/>
      <c r="P49" s="1014"/>
      <c r="Q49" s="1015"/>
      <c r="R49" s="1017"/>
      <c r="S49" s="1016"/>
      <c r="T49" s="225"/>
      <c r="U49" s="377"/>
      <c r="X49"/>
      <c r="Y49" s="229"/>
      <c r="Z49" s="230"/>
      <c r="AA49" s="229"/>
      <c r="AB49" s="229"/>
      <c r="AC49" s="229"/>
      <c r="AD49" s="229"/>
      <c r="AE49" s="229"/>
      <c r="AF49" s="229"/>
      <c r="AG49" s="229"/>
      <c r="AH49" s="229"/>
      <c r="AI49" s="59"/>
      <c r="AJ49" s="59"/>
      <c r="AK49" s="59"/>
      <c r="AL49" s="59"/>
      <c r="AM49" s="59"/>
      <c r="AN49" s="59"/>
      <c r="AO49" s="59"/>
      <c r="AP49" s="59"/>
      <c r="AQ49" s="59"/>
      <c r="AR49" s="59"/>
      <c r="AS49" s="59"/>
      <c r="AT49" s="59"/>
      <c r="AU49" s="59"/>
      <c r="AV49" s="59"/>
      <c r="AW49"/>
      <c r="AX49"/>
      <c r="AY49"/>
      <c r="AZ49"/>
      <c r="BA49"/>
      <c r="BB49"/>
      <c r="BC49"/>
      <c r="BD49"/>
      <c r="BE49"/>
      <c r="BF49"/>
      <c r="BG49"/>
      <c r="BH49"/>
      <c r="BI49"/>
      <c r="BJ49"/>
      <c r="BK49"/>
      <c r="BL49"/>
      <c r="BM49"/>
      <c r="BN49"/>
      <c r="BO49"/>
      <c r="BP49"/>
      <c r="BQ49"/>
      <c r="BR49"/>
      <c r="BS49"/>
      <c r="BT49"/>
      <c r="BU49"/>
      <c r="BV49"/>
      <c r="BW49"/>
      <c r="BX49"/>
      <c r="BY49"/>
      <c r="BZ49"/>
      <c r="CA49"/>
    </row>
    <row r="50" spans="1:79" s="106" customFormat="1" ht="21.75" customHeight="1">
      <c r="A50" s="108" t="s">
        <v>347</v>
      </c>
      <c r="B50" s="987"/>
      <c r="C50" s="988"/>
      <c r="D50" s="989"/>
      <c r="E50" s="988"/>
      <c r="F50" s="987"/>
      <c r="G50" s="988"/>
      <c r="H50" s="990"/>
      <c r="I50" s="991"/>
      <c r="J50" s="990">
        <v>1</v>
      </c>
      <c r="K50" s="991">
        <v>227.7</v>
      </c>
      <c r="L50" s="987"/>
      <c r="M50" s="988"/>
      <c r="N50" s="987"/>
      <c r="O50" s="988"/>
      <c r="P50" s="987"/>
      <c r="Q50" s="988"/>
      <c r="R50" s="989"/>
      <c r="S50" s="1000"/>
      <c r="T50" s="225">
        <f>SUM(B50,D50,F50,H50,J50,N50,P50,L50,R50)</f>
        <v>1</v>
      </c>
      <c r="U50" s="377">
        <f>SUM(C50,E50,G50,I50,K50,O50,Q50,M50,S50)</f>
        <v>227.7</v>
      </c>
      <c r="X50"/>
      <c r="Y50" s="229"/>
      <c r="Z50" s="230"/>
      <c r="AA50" s="229"/>
      <c r="AB50" s="229"/>
      <c r="AC50" s="229"/>
      <c r="AD50" s="229"/>
      <c r="AE50" s="229"/>
      <c r="AF50" s="229"/>
      <c r="AG50" s="229"/>
      <c r="AH50" s="229"/>
      <c r="AI50" s="59"/>
      <c r="AJ50" s="59"/>
      <c r="AK50" s="59"/>
      <c r="AL50" s="59"/>
      <c r="AM50" s="59"/>
      <c r="AN50" s="59"/>
      <c r="AO50" s="59"/>
      <c r="AP50" s="59"/>
      <c r="AQ50" s="59"/>
      <c r="AR50" s="59"/>
      <c r="AS50" s="59"/>
      <c r="AT50" s="59"/>
      <c r="AU50" s="59"/>
      <c r="AV50" s="59"/>
      <c r="AW50"/>
      <c r="AX50"/>
      <c r="AY50"/>
      <c r="AZ50"/>
      <c r="BA50"/>
      <c r="BB50"/>
      <c r="BC50"/>
      <c r="BD50"/>
      <c r="BE50"/>
      <c r="BF50"/>
      <c r="BG50"/>
      <c r="BH50"/>
      <c r="BI50"/>
      <c r="BJ50"/>
      <c r="BK50"/>
      <c r="BL50"/>
      <c r="BM50"/>
      <c r="BN50"/>
      <c r="BO50"/>
      <c r="BP50"/>
      <c r="BQ50"/>
      <c r="BR50"/>
      <c r="BS50"/>
      <c r="BT50"/>
      <c r="BU50"/>
      <c r="BV50"/>
      <c r="BW50"/>
      <c r="BX50"/>
      <c r="BY50"/>
      <c r="BZ50"/>
      <c r="CA50"/>
    </row>
    <row r="51" spans="1:79" s="106" customFormat="1" ht="21.75" customHeight="1">
      <c r="A51" s="108" t="s">
        <v>239</v>
      </c>
      <c r="B51" s="987"/>
      <c r="C51" s="988"/>
      <c r="D51" s="989"/>
      <c r="E51" s="988"/>
      <c r="F51" s="987"/>
      <c r="G51" s="988"/>
      <c r="H51" s="990">
        <v>2</v>
      </c>
      <c r="I51" s="991">
        <v>560.8</v>
      </c>
      <c r="J51" s="990"/>
      <c r="K51" s="991"/>
      <c r="L51" s="987"/>
      <c r="M51" s="988"/>
      <c r="N51" s="987"/>
      <c r="O51" s="988"/>
      <c r="P51" s="987"/>
      <c r="Q51" s="988"/>
      <c r="R51" s="989"/>
      <c r="S51" s="1000"/>
      <c r="T51" s="225">
        <f aca="true" t="shared" si="7" ref="T51:T58">SUM(B51,D51,F51,H51,J51,N51,P51,L51,R51)</f>
        <v>2</v>
      </c>
      <c r="U51" s="377">
        <f aca="true" t="shared" si="8" ref="U51:U58">SUM(C51,E51,G51,I51,K51,O51,Q51,M51,S51)</f>
        <v>560.8</v>
      </c>
      <c r="X51"/>
      <c r="Y51" s="229"/>
      <c r="Z51" s="230"/>
      <c r="AA51" s="229"/>
      <c r="AB51" s="229"/>
      <c r="AC51" s="229"/>
      <c r="AD51" s="229"/>
      <c r="AE51" s="229"/>
      <c r="AF51" s="229"/>
      <c r="AG51" s="229"/>
      <c r="AH51" s="229"/>
      <c r="AI51" s="59"/>
      <c r="AJ51" s="59"/>
      <c r="AK51" s="59"/>
      <c r="AL51" s="59"/>
      <c r="AM51" s="59"/>
      <c r="AN51" s="59"/>
      <c r="AO51" s="59"/>
      <c r="AP51" s="59"/>
      <c r="AQ51" s="59"/>
      <c r="AR51" s="59"/>
      <c r="AS51" s="59"/>
      <c r="AT51" s="59"/>
      <c r="AU51" s="59"/>
      <c r="AV51" s="59"/>
      <c r="AW51"/>
      <c r="AX51"/>
      <c r="AY51"/>
      <c r="AZ51"/>
      <c r="BA51"/>
      <c r="BB51"/>
      <c r="BC51"/>
      <c r="BD51"/>
      <c r="BE51"/>
      <c r="BF51"/>
      <c r="BG51"/>
      <c r="BH51"/>
      <c r="BI51"/>
      <c r="BJ51"/>
      <c r="BK51"/>
      <c r="BL51"/>
      <c r="BM51"/>
      <c r="BN51"/>
      <c r="BO51"/>
      <c r="BP51"/>
      <c r="BQ51"/>
      <c r="BR51"/>
      <c r="BS51"/>
      <c r="BT51"/>
      <c r="BU51"/>
      <c r="BV51"/>
      <c r="BW51"/>
      <c r="BX51"/>
      <c r="BY51"/>
      <c r="BZ51"/>
      <c r="CA51"/>
    </row>
    <row r="52" spans="1:79" s="106" customFormat="1" ht="21.75" customHeight="1">
      <c r="A52" s="108" t="s">
        <v>240</v>
      </c>
      <c r="B52" s="987"/>
      <c r="C52" s="988"/>
      <c r="D52" s="989"/>
      <c r="E52" s="988"/>
      <c r="F52" s="987"/>
      <c r="G52" s="988"/>
      <c r="H52" s="990">
        <v>1</v>
      </c>
      <c r="I52" s="991">
        <v>285.7</v>
      </c>
      <c r="J52" s="990"/>
      <c r="K52" s="991"/>
      <c r="L52" s="987"/>
      <c r="M52" s="988"/>
      <c r="N52" s="987"/>
      <c r="O52" s="988"/>
      <c r="P52" s="987"/>
      <c r="Q52" s="988"/>
      <c r="R52" s="989"/>
      <c r="S52" s="1000"/>
      <c r="T52" s="225">
        <f t="shared" si="7"/>
        <v>1</v>
      </c>
      <c r="U52" s="377">
        <f t="shared" si="8"/>
        <v>285.7</v>
      </c>
      <c r="X52"/>
      <c r="Y52" s="229"/>
      <c r="Z52" s="230"/>
      <c r="AA52" s="229"/>
      <c r="AB52" s="229"/>
      <c r="AC52" s="229"/>
      <c r="AD52" s="229"/>
      <c r="AE52" s="229"/>
      <c r="AF52" s="229"/>
      <c r="AG52" s="229"/>
      <c r="AH52" s="229"/>
      <c r="AI52" s="59"/>
      <c r="AJ52" s="59"/>
      <c r="AK52" s="59"/>
      <c r="AL52" s="59"/>
      <c r="AM52" s="59"/>
      <c r="AN52" s="59"/>
      <c r="AO52" s="59"/>
      <c r="AP52" s="59"/>
      <c r="AQ52" s="59"/>
      <c r="AR52" s="59"/>
      <c r="AS52" s="59"/>
      <c r="AT52" s="59"/>
      <c r="AU52" s="59"/>
      <c r="AV52" s="59"/>
      <c r="AW52"/>
      <c r="AX52"/>
      <c r="AY52"/>
      <c r="AZ52"/>
      <c r="BA52"/>
      <c r="BB52"/>
      <c r="BC52"/>
      <c r="BD52"/>
      <c r="BE52"/>
      <c r="BF52"/>
      <c r="BG52"/>
      <c r="BH52"/>
      <c r="BI52"/>
      <c r="BJ52"/>
      <c r="BK52"/>
      <c r="BL52"/>
      <c r="BM52"/>
      <c r="BN52"/>
      <c r="BO52"/>
      <c r="BP52"/>
      <c r="BQ52"/>
      <c r="BR52"/>
      <c r="BS52"/>
      <c r="BT52"/>
      <c r="BU52"/>
      <c r="BV52"/>
      <c r="BW52"/>
      <c r="BX52"/>
      <c r="BY52"/>
      <c r="BZ52"/>
      <c r="CA52"/>
    </row>
    <row r="53" spans="1:79" s="106" customFormat="1" ht="21.75" customHeight="1">
      <c r="A53" s="108" t="s">
        <v>350</v>
      </c>
      <c r="B53" s="1018">
        <v>1</v>
      </c>
      <c r="C53" s="988">
        <v>368.6</v>
      </c>
      <c r="D53" s="989"/>
      <c r="E53" s="988"/>
      <c r="F53" s="987"/>
      <c r="G53" s="988"/>
      <c r="H53" s="990">
        <v>1</v>
      </c>
      <c r="I53" s="991">
        <v>187.9</v>
      </c>
      <c r="J53" s="990">
        <v>1</v>
      </c>
      <c r="K53" s="991">
        <v>234.8</v>
      </c>
      <c r="L53" s="987">
        <v>1</v>
      </c>
      <c r="M53" s="988">
        <v>218.1</v>
      </c>
      <c r="N53" s="987"/>
      <c r="O53" s="988"/>
      <c r="P53" s="987"/>
      <c r="Q53" s="988"/>
      <c r="R53" s="989"/>
      <c r="S53" s="1000"/>
      <c r="T53" s="225">
        <f t="shared" si="7"/>
        <v>4</v>
      </c>
      <c r="U53" s="377">
        <f t="shared" si="8"/>
        <v>1009.4</v>
      </c>
      <c r="X53"/>
      <c r="Y53" s="229"/>
      <c r="Z53" s="230"/>
      <c r="AA53" s="229"/>
      <c r="AB53" s="229"/>
      <c r="AC53" s="229"/>
      <c r="AD53" s="229"/>
      <c r="AE53" s="229"/>
      <c r="AF53" s="229"/>
      <c r="AG53" s="229"/>
      <c r="AH53" s="232"/>
      <c r="AI53" s="232"/>
      <c r="AJ53" s="232"/>
      <c r="AK53" s="232"/>
      <c r="AL53" s="232"/>
      <c r="AM53" s="232"/>
      <c r="AN53" s="232"/>
      <c r="AO53" s="232"/>
      <c r="AP53" s="87"/>
      <c r="AQ53" s="87"/>
      <c r="AR53" s="87"/>
      <c r="AS53" s="59"/>
      <c r="AT53" s="59"/>
      <c r="AU53" s="59"/>
      <c r="AV53" s="59"/>
      <c r="AW53"/>
      <c r="AX53"/>
      <c r="AY53"/>
      <c r="AZ53"/>
      <c r="BA53"/>
      <c r="BB53"/>
      <c r="BC53"/>
      <c r="BD53"/>
      <c r="BE53"/>
      <c r="BF53"/>
      <c r="BG53"/>
      <c r="BH53"/>
      <c r="BI53"/>
      <c r="BJ53"/>
      <c r="BK53"/>
      <c r="BL53"/>
      <c r="BM53"/>
      <c r="BN53"/>
      <c r="BO53"/>
      <c r="BP53"/>
      <c r="BQ53"/>
      <c r="BR53"/>
      <c r="BS53"/>
      <c r="BT53"/>
      <c r="BU53"/>
      <c r="BV53"/>
      <c r="BW53"/>
      <c r="BX53"/>
      <c r="BY53"/>
      <c r="BZ53"/>
      <c r="CA53"/>
    </row>
    <row r="54" spans="1:79" s="106" customFormat="1" ht="21.75" customHeight="1">
      <c r="A54" s="108" t="s">
        <v>351</v>
      </c>
      <c r="B54" s="1018">
        <v>1</v>
      </c>
      <c r="C54" s="988">
        <v>184.2</v>
      </c>
      <c r="D54" s="989"/>
      <c r="E54" s="988"/>
      <c r="F54" s="987"/>
      <c r="G54" s="988"/>
      <c r="H54" s="990"/>
      <c r="I54" s="991"/>
      <c r="J54" s="990"/>
      <c r="K54" s="991"/>
      <c r="L54" s="987"/>
      <c r="M54" s="988"/>
      <c r="N54" s="987"/>
      <c r="O54" s="988"/>
      <c r="P54" s="987"/>
      <c r="Q54" s="988"/>
      <c r="R54" s="989"/>
      <c r="S54" s="1000"/>
      <c r="T54" s="225">
        <f t="shared" si="7"/>
        <v>1</v>
      </c>
      <c r="U54" s="377">
        <f t="shared" si="8"/>
        <v>184.2</v>
      </c>
      <c r="X54"/>
      <c r="Y54" s="229"/>
      <c r="Z54" s="230"/>
      <c r="AA54" s="229"/>
      <c r="AB54" s="229"/>
      <c r="AC54" s="229"/>
      <c r="AD54" s="229"/>
      <c r="AE54" s="229"/>
      <c r="AF54" s="229"/>
      <c r="AG54" s="229"/>
      <c r="AH54" s="232"/>
      <c r="AI54" s="232"/>
      <c r="AJ54" s="232"/>
      <c r="AK54" s="232"/>
      <c r="AL54" s="232"/>
      <c r="AM54" s="232"/>
      <c r="AN54" s="232"/>
      <c r="AO54" s="232"/>
      <c r="AP54" s="87"/>
      <c r="AQ54" s="87"/>
      <c r="AR54" s="87"/>
      <c r="AS54" s="59"/>
      <c r="AT54" s="59"/>
      <c r="AU54" s="59"/>
      <c r="AV54" s="59"/>
      <c r="AW54"/>
      <c r="AX54"/>
      <c r="AY54"/>
      <c r="AZ54"/>
      <c r="BA54"/>
      <c r="BB54"/>
      <c r="BC54"/>
      <c r="BD54"/>
      <c r="BE54"/>
      <c r="BF54"/>
      <c r="BG54"/>
      <c r="BH54"/>
      <c r="BI54"/>
      <c r="BJ54"/>
      <c r="BK54"/>
      <c r="BL54"/>
      <c r="BM54"/>
      <c r="BN54"/>
      <c r="BO54"/>
      <c r="BP54"/>
      <c r="BQ54"/>
      <c r="BR54"/>
      <c r="BS54"/>
      <c r="BT54"/>
      <c r="BU54"/>
      <c r="BV54"/>
      <c r="BW54"/>
      <c r="BX54"/>
      <c r="BY54"/>
      <c r="BZ54"/>
      <c r="CA54"/>
    </row>
    <row r="55" spans="1:79" s="106" customFormat="1" ht="21.75" customHeight="1">
      <c r="A55" s="108" t="s">
        <v>352</v>
      </c>
      <c r="B55" s="1018">
        <v>2</v>
      </c>
      <c r="C55" s="988">
        <v>523</v>
      </c>
      <c r="D55" s="989"/>
      <c r="E55" s="988"/>
      <c r="F55" s="987"/>
      <c r="G55" s="988"/>
      <c r="H55" s="990">
        <v>1</v>
      </c>
      <c r="I55" s="991">
        <v>239.8</v>
      </c>
      <c r="J55" s="990">
        <v>1</v>
      </c>
      <c r="K55" s="991">
        <v>246.7</v>
      </c>
      <c r="L55" s="987"/>
      <c r="M55" s="988"/>
      <c r="N55" s="987"/>
      <c r="O55" s="988"/>
      <c r="P55" s="987"/>
      <c r="Q55" s="988"/>
      <c r="R55" s="989"/>
      <c r="S55" s="1000"/>
      <c r="T55" s="225">
        <f t="shared" si="7"/>
        <v>4</v>
      </c>
      <c r="U55" s="377">
        <f t="shared" si="8"/>
        <v>1009.5</v>
      </c>
      <c r="X55"/>
      <c r="Y55" s="229"/>
      <c r="Z55" s="230"/>
      <c r="AA55" s="229"/>
      <c r="AB55" s="229"/>
      <c r="AC55" s="229"/>
      <c r="AD55" s="229"/>
      <c r="AE55" s="229"/>
      <c r="AF55" s="229"/>
      <c r="AG55" s="229"/>
      <c r="AH55" s="232"/>
      <c r="AI55" s="232"/>
      <c r="AJ55" s="232"/>
      <c r="AK55" s="232"/>
      <c r="AL55" s="232"/>
      <c r="AM55" s="232"/>
      <c r="AN55" s="232"/>
      <c r="AO55" s="232"/>
      <c r="AP55" s="87"/>
      <c r="AQ55" s="87"/>
      <c r="AR55" s="87"/>
      <c r="AS55" s="59"/>
      <c r="AT55" s="59"/>
      <c r="AU55" s="59"/>
      <c r="AV55" s="59"/>
      <c r="AW55"/>
      <c r="AX55"/>
      <c r="AY55"/>
      <c r="AZ55"/>
      <c r="BA55"/>
      <c r="BB55"/>
      <c r="BC55"/>
      <c r="BD55"/>
      <c r="BE55"/>
      <c r="BF55"/>
      <c r="BG55"/>
      <c r="BH55"/>
      <c r="BI55"/>
      <c r="BJ55"/>
      <c r="BK55"/>
      <c r="BL55"/>
      <c r="BM55"/>
      <c r="BN55"/>
      <c r="BO55"/>
      <c r="BP55"/>
      <c r="BQ55"/>
      <c r="BR55"/>
      <c r="BS55"/>
      <c r="BT55"/>
      <c r="BU55"/>
      <c r="BV55"/>
      <c r="BW55"/>
      <c r="BX55"/>
      <c r="BY55"/>
      <c r="BZ55"/>
      <c r="CA55"/>
    </row>
    <row r="56" spans="1:79" s="106" customFormat="1" ht="21.75" customHeight="1">
      <c r="A56" s="108" t="s">
        <v>356</v>
      </c>
      <c r="B56" s="987">
        <v>1</v>
      </c>
      <c r="C56" s="988">
        <v>298.8</v>
      </c>
      <c r="D56" s="989"/>
      <c r="E56" s="988"/>
      <c r="F56" s="987"/>
      <c r="G56" s="988"/>
      <c r="H56" s="990"/>
      <c r="I56" s="991"/>
      <c r="J56" s="990"/>
      <c r="K56" s="991"/>
      <c r="L56" s="987"/>
      <c r="M56" s="988"/>
      <c r="N56" s="987"/>
      <c r="O56" s="988"/>
      <c r="P56" s="987"/>
      <c r="Q56" s="988"/>
      <c r="R56" s="989"/>
      <c r="S56" s="1000"/>
      <c r="T56" s="225">
        <f t="shared" si="7"/>
        <v>1</v>
      </c>
      <c r="U56" s="377">
        <f t="shared" si="8"/>
        <v>298.8</v>
      </c>
      <c r="X56"/>
      <c r="Y56" s="229"/>
      <c r="Z56" s="230"/>
      <c r="AA56" s="229"/>
      <c r="AB56" s="229"/>
      <c r="AC56" s="229"/>
      <c r="AD56" s="229"/>
      <c r="AE56" s="229"/>
      <c r="AF56" s="229"/>
      <c r="AG56" s="229"/>
      <c r="AH56" s="232"/>
      <c r="AI56" s="232"/>
      <c r="AJ56" s="232"/>
      <c r="AK56" s="232"/>
      <c r="AL56" s="232"/>
      <c r="AM56" s="232"/>
      <c r="AN56" s="232"/>
      <c r="AO56" s="232"/>
      <c r="AP56" s="87"/>
      <c r="AQ56" s="87"/>
      <c r="AR56" s="87"/>
      <c r="AS56" s="59"/>
      <c r="AT56" s="59"/>
      <c r="AU56" s="59"/>
      <c r="AV56" s="59"/>
      <c r="AW56"/>
      <c r="AX56"/>
      <c r="AY56"/>
      <c r="AZ56"/>
      <c r="BA56"/>
      <c r="BB56"/>
      <c r="BC56"/>
      <c r="BD56"/>
      <c r="BE56"/>
      <c r="BF56"/>
      <c r="BG56"/>
      <c r="BH56"/>
      <c r="BI56"/>
      <c r="BJ56"/>
      <c r="BK56"/>
      <c r="BL56"/>
      <c r="BM56"/>
      <c r="BN56"/>
      <c r="BO56"/>
      <c r="BP56"/>
      <c r="BQ56"/>
      <c r="BR56"/>
      <c r="BS56"/>
      <c r="BT56"/>
      <c r="BU56"/>
      <c r="BV56"/>
      <c r="BW56"/>
      <c r="BX56"/>
      <c r="BY56"/>
      <c r="BZ56"/>
      <c r="CA56"/>
    </row>
    <row r="57" spans="1:79" s="106" customFormat="1" ht="21.75" customHeight="1">
      <c r="A57" s="108" t="s">
        <v>359</v>
      </c>
      <c r="B57" s="987">
        <v>1</v>
      </c>
      <c r="C57" s="988">
        <v>254.6</v>
      </c>
      <c r="D57" s="989"/>
      <c r="E57" s="988"/>
      <c r="F57" s="987"/>
      <c r="G57" s="988"/>
      <c r="H57" s="990"/>
      <c r="I57" s="991"/>
      <c r="J57" s="990"/>
      <c r="K57" s="991"/>
      <c r="L57" s="987"/>
      <c r="M57" s="988"/>
      <c r="N57" s="987"/>
      <c r="O57" s="988"/>
      <c r="P57" s="987"/>
      <c r="Q57" s="988"/>
      <c r="R57" s="989"/>
      <c r="S57" s="1000"/>
      <c r="T57" s="225">
        <f t="shared" si="7"/>
        <v>1</v>
      </c>
      <c r="U57" s="377">
        <f t="shared" si="8"/>
        <v>254.6</v>
      </c>
      <c r="X57"/>
      <c r="Y57" s="229"/>
      <c r="Z57" s="230"/>
      <c r="AA57" s="229"/>
      <c r="AB57" s="229"/>
      <c r="AC57" s="229"/>
      <c r="AD57" s="229"/>
      <c r="AE57" s="229"/>
      <c r="AF57" s="229"/>
      <c r="AG57" s="229"/>
      <c r="AH57" s="232"/>
      <c r="AI57" s="232"/>
      <c r="AJ57" s="232"/>
      <c r="AK57" s="232"/>
      <c r="AL57" s="232"/>
      <c r="AM57" s="232"/>
      <c r="AN57" s="232"/>
      <c r="AO57" s="232"/>
      <c r="AP57" s="87"/>
      <c r="AQ57" s="87"/>
      <c r="AR57" s="87"/>
      <c r="AS57" s="59"/>
      <c r="AT57" s="59"/>
      <c r="AU57" s="59"/>
      <c r="AV57" s="59"/>
      <c r="AW57"/>
      <c r="AX57"/>
      <c r="AY57"/>
      <c r="AZ57"/>
      <c r="BA57"/>
      <c r="BB57"/>
      <c r="BC57"/>
      <c r="BD57"/>
      <c r="BE57"/>
      <c r="BF57"/>
      <c r="BG57"/>
      <c r="BH57"/>
      <c r="BI57"/>
      <c r="BJ57"/>
      <c r="BK57"/>
      <c r="BL57"/>
      <c r="BM57"/>
      <c r="BN57"/>
      <c r="BO57"/>
      <c r="BP57"/>
      <c r="BQ57"/>
      <c r="BR57"/>
      <c r="BS57"/>
      <c r="BT57"/>
      <c r="BU57"/>
      <c r="BV57"/>
      <c r="BW57"/>
      <c r="BX57"/>
      <c r="BY57"/>
      <c r="BZ57"/>
      <c r="CA57"/>
    </row>
    <row r="58" spans="1:79" s="106" customFormat="1" ht="21.75" customHeight="1">
      <c r="A58" s="108" t="s">
        <v>360</v>
      </c>
      <c r="B58" s="987"/>
      <c r="C58" s="988"/>
      <c r="D58" s="989"/>
      <c r="E58" s="988"/>
      <c r="F58" s="987"/>
      <c r="G58" s="988"/>
      <c r="H58" s="990"/>
      <c r="I58" s="991"/>
      <c r="J58" s="990">
        <v>1</v>
      </c>
      <c r="K58" s="991">
        <v>195</v>
      </c>
      <c r="L58" s="987">
        <v>1</v>
      </c>
      <c r="M58" s="988">
        <v>294.5</v>
      </c>
      <c r="N58" s="987"/>
      <c r="O58" s="988"/>
      <c r="P58" s="987"/>
      <c r="Q58" s="988"/>
      <c r="R58" s="989"/>
      <c r="S58" s="1000"/>
      <c r="T58" s="225">
        <f t="shared" si="7"/>
        <v>2</v>
      </c>
      <c r="U58" s="377">
        <f t="shared" si="8"/>
        <v>489.5</v>
      </c>
      <c r="X58"/>
      <c r="Y58" s="229"/>
      <c r="Z58" s="230"/>
      <c r="AA58" s="229"/>
      <c r="AB58" s="229"/>
      <c r="AC58" s="229"/>
      <c r="AD58" s="229"/>
      <c r="AE58" s="229"/>
      <c r="AF58" s="229"/>
      <c r="AG58" s="229"/>
      <c r="AH58" s="232"/>
      <c r="AI58" s="232"/>
      <c r="AJ58" s="232"/>
      <c r="AK58" s="232"/>
      <c r="AL58" s="232"/>
      <c r="AM58" s="232"/>
      <c r="AN58" s="232"/>
      <c r="AO58" s="232"/>
      <c r="AP58" s="87"/>
      <c r="AQ58" s="87"/>
      <c r="AR58" s="87"/>
      <c r="AS58" s="59"/>
      <c r="AT58" s="59"/>
      <c r="AU58" s="59"/>
      <c r="AV58" s="59"/>
      <c r="AW58"/>
      <c r="AX58"/>
      <c r="AY58"/>
      <c r="AZ58"/>
      <c r="BA58"/>
      <c r="BB58"/>
      <c r="BC58"/>
      <c r="BD58"/>
      <c r="BE58"/>
      <c r="BF58"/>
      <c r="BG58"/>
      <c r="BH58"/>
      <c r="BI58"/>
      <c r="BJ58"/>
      <c r="BK58"/>
      <c r="BL58"/>
      <c r="BM58"/>
      <c r="BN58"/>
      <c r="BO58"/>
      <c r="BP58"/>
      <c r="BQ58"/>
      <c r="BR58"/>
      <c r="BS58"/>
      <c r="BT58"/>
      <c r="BU58"/>
      <c r="BV58"/>
      <c r="BW58"/>
      <c r="BX58"/>
      <c r="BY58"/>
      <c r="BZ58"/>
      <c r="CA58"/>
    </row>
    <row r="59" spans="1:79" s="106" customFormat="1" ht="21.75" customHeight="1">
      <c r="A59" s="108" t="s">
        <v>198</v>
      </c>
      <c r="B59" s="987"/>
      <c r="C59" s="988"/>
      <c r="D59" s="989"/>
      <c r="E59" s="988"/>
      <c r="F59" s="987"/>
      <c r="G59" s="988"/>
      <c r="H59" s="990"/>
      <c r="I59" s="991"/>
      <c r="J59" s="990"/>
      <c r="K59" s="991"/>
      <c r="L59" s="987"/>
      <c r="M59" s="988"/>
      <c r="N59" s="987"/>
      <c r="O59" s="988"/>
      <c r="P59" s="987">
        <v>1</v>
      </c>
      <c r="Q59" s="988">
        <v>383.4</v>
      </c>
      <c r="R59" s="989"/>
      <c r="S59" s="1000"/>
      <c r="T59" s="225">
        <f>SUM(B59,D59,F59,H59,J59,N59,P59,L59,R59)</f>
        <v>1</v>
      </c>
      <c r="U59" s="377">
        <f>SUM(C59,E59,G59,I59,K59,O59,Q59,M59,S59)</f>
        <v>383.4</v>
      </c>
      <c r="X59"/>
      <c r="Y59" s="229"/>
      <c r="Z59" s="230"/>
      <c r="AA59" s="229"/>
      <c r="AB59" s="229"/>
      <c r="AC59" s="229"/>
      <c r="AD59" s="229"/>
      <c r="AE59" s="229"/>
      <c r="AF59" s="229"/>
      <c r="AG59" s="229"/>
      <c r="AH59" s="232"/>
      <c r="AI59" s="232"/>
      <c r="AJ59" s="232"/>
      <c r="AK59" s="232"/>
      <c r="AL59" s="232"/>
      <c r="AM59" s="232"/>
      <c r="AN59" s="232"/>
      <c r="AO59" s="232"/>
      <c r="AP59" s="87"/>
      <c r="AQ59" s="87"/>
      <c r="AR59" s="87"/>
      <c r="AS59" s="59"/>
      <c r="AT59" s="59"/>
      <c r="AU59" s="59"/>
      <c r="AV59" s="59"/>
      <c r="AW59"/>
      <c r="AX59"/>
      <c r="AY59"/>
      <c r="AZ59"/>
      <c r="BA59"/>
      <c r="BB59"/>
      <c r="BC59"/>
      <c r="BD59"/>
      <c r="BE59"/>
      <c r="BF59"/>
      <c r="BG59"/>
      <c r="BH59"/>
      <c r="BI59"/>
      <c r="BJ59"/>
      <c r="BK59"/>
      <c r="BL59"/>
      <c r="BM59"/>
      <c r="BN59"/>
      <c r="BO59"/>
      <c r="BP59"/>
      <c r="BQ59"/>
      <c r="BR59"/>
      <c r="BS59"/>
      <c r="BT59"/>
      <c r="BU59"/>
      <c r="BV59"/>
      <c r="BW59"/>
      <c r="BX59"/>
      <c r="BY59"/>
      <c r="BZ59"/>
      <c r="CA59"/>
    </row>
    <row r="60" spans="1:79" s="362" customFormat="1" ht="24" customHeight="1">
      <c r="A60" s="360" t="s">
        <v>165</v>
      </c>
      <c r="B60" s="1021">
        <v>3</v>
      </c>
      <c r="C60" s="1022">
        <v>275.5</v>
      </c>
      <c r="D60" s="1023"/>
      <c r="E60" s="1022"/>
      <c r="F60" s="1021"/>
      <c r="G60" s="1022"/>
      <c r="H60" s="1019">
        <v>10</v>
      </c>
      <c r="I60" s="1020">
        <v>540.1</v>
      </c>
      <c r="J60" s="1019">
        <v>2</v>
      </c>
      <c r="K60" s="1020">
        <v>141.8</v>
      </c>
      <c r="L60" s="1021">
        <v>8</v>
      </c>
      <c r="M60" s="1022">
        <v>571.4</v>
      </c>
      <c r="N60" s="1021"/>
      <c r="O60" s="1022"/>
      <c r="P60" s="1021">
        <v>2</v>
      </c>
      <c r="Q60" s="1022">
        <v>273.5</v>
      </c>
      <c r="R60" s="1023"/>
      <c r="S60" s="1024"/>
      <c r="T60" s="361">
        <f>SUM(B60,D60,F60,H60,J60,N60,P60,L60,R60)</f>
        <v>25</v>
      </c>
      <c r="U60" s="380">
        <f>SUM(C60,E60,G60,I60,K60,O60,Q60,M60,S60)</f>
        <v>1802.3000000000002</v>
      </c>
      <c r="X60" s="363"/>
      <c r="Y60" s="364"/>
      <c r="Z60" s="365"/>
      <c r="AA60" s="364"/>
      <c r="AB60" s="364"/>
      <c r="AC60" s="364"/>
      <c r="AD60" s="364"/>
      <c r="AE60" s="364"/>
      <c r="AF60" s="364"/>
      <c r="AG60" s="364"/>
      <c r="AH60" s="366"/>
      <c r="AI60" s="366"/>
      <c r="AJ60" s="366"/>
      <c r="AK60" s="366"/>
      <c r="AL60" s="366"/>
      <c r="AM60" s="366"/>
      <c r="AN60" s="366"/>
      <c r="AO60" s="366"/>
      <c r="AP60" s="367"/>
      <c r="AQ60" s="367"/>
      <c r="AR60" s="367"/>
      <c r="AS60" s="368"/>
      <c r="AT60" s="368"/>
      <c r="AU60" s="368"/>
      <c r="AV60" s="368"/>
      <c r="AW60" s="363"/>
      <c r="AX60" s="363"/>
      <c r="AY60" s="363"/>
      <c r="AZ60" s="363"/>
      <c r="BA60" s="363"/>
      <c r="BB60" s="363"/>
      <c r="BC60" s="363"/>
      <c r="BD60" s="363"/>
      <c r="BE60" s="363"/>
      <c r="BF60" s="363"/>
      <c r="BG60" s="363"/>
      <c r="BH60" s="363"/>
      <c r="BI60" s="363"/>
      <c r="BJ60" s="363"/>
      <c r="BK60" s="363"/>
      <c r="BL60" s="363"/>
      <c r="BM60" s="363"/>
      <c r="BN60" s="363"/>
      <c r="BO60" s="363"/>
      <c r="BP60" s="363"/>
      <c r="BQ60" s="363"/>
      <c r="BR60" s="363"/>
      <c r="BS60" s="363"/>
      <c r="BT60" s="363"/>
      <c r="BU60" s="363"/>
      <c r="BV60" s="363"/>
      <c r="BW60" s="363"/>
      <c r="BX60" s="363"/>
      <c r="BY60" s="363"/>
      <c r="BZ60" s="363"/>
      <c r="CA60" s="363"/>
    </row>
    <row r="61" spans="1:79" s="195" customFormat="1" ht="23.25" customHeight="1" thickBot="1">
      <c r="A61" s="101" t="s">
        <v>61</v>
      </c>
      <c r="B61" s="224">
        <f aca="true" t="shared" si="9" ref="B61:U61">SUM(B5:B60)</f>
        <v>39</v>
      </c>
      <c r="C61" s="372">
        <f t="shared" si="9"/>
        <v>6128.000000000001</v>
      </c>
      <c r="D61" s="224">
        <f t="shared" si="9"/>
        <v>0</v>
      </c>
      <c r="E61" s="372">
        <f t="shared" si="9"/>
        <v>0</v>
      </c>
      <c r="F61" s="224">
        <f t="shared" si="9"/>
        <v>0</v>
      </c>
      <c r="G61" s="372">
        <f t="shared" si="9"/>
        <v>0</v>
      </c>
      <c r="H61" s="224">
        <f t="shared" si="9"/>
        <v>63</v>
      </c>
      <c r="I61" s="372">
        <f t="shared" si="9"/>
        <v>6580.8</v>
      </c>
      <c r="J61" s="224">
        <f t="shared" si="9"/>
        <v>19</v>
      </c>
      <c r="K61" s="372">
        <f t="shared" si="9"/>
        <v>2872.2999999999997</v>
      </c>
      <c r="L61" s="224">
        <f t="shared" si="9"/>
        <v>78</v>
      </c>
      <c r="M61" s="372">
        <f t="shared" si="9"/>
        <v>8364.400000000001</v>
      </c>
      <c r="N61" s="224">
        <f t="shared" si="9"/>
        <v>10</v>
      </c>
      <c r="O61" s="372">
        <f t="shared" si="9"/>
        <v>1073</v>
      </c>
      <c r="P61" s="224">
        <f t="shared" si="9"/>
        <v>15</v>
      </c>
      <c r="Q61" s="372">
        <f t="shared" si="9"/>
        <v>3120.1000000000004</v>
      </c>
      <c r="R61" s="224">
        <f t="shared" si="9"/>
        <v>0</v>
      </c>
      <c r="S61" s="372">
        <f t="shared" si="9"/>
        <v>0</v>
      </c>
      <c r="T61" s="224">
        <f t="shared" si="9"/>
        <v>224</v>
      </c>
      <c r="U61" s="372">
        <f t="shared" si="9"/>
        <v>28138.600000000002</v>
      </c>
      <c r="W61" s="44"/>
      <c r="X61" s="44"/>
      <c r="Y61" s="229"/>
      <c r="Z61" s="230"/>
      <c r="AA61" s="229"/>
      <c r="AB61" s="229"/>
      <c r="AC61" s="229"/>
      <c r="AD61" s="229"/>
      <c r="AE61" s="229"/>
      <c r="AF61" s="229"/>
      <c r="AG61" s="229"/>
      <c r="AH61" s="231"/>
      <c r="AI61" s="232"/>
      <c r="AJ61" s="232"/>
      <c r="AK61" s="232"/>
      <c r="AL61" s="232"/>
      <c r="AM61" s="232"/>
      <c r="AN61" s="232"/>
      <c r="AO61" s="232"/>
      <c r="AP61" s="95"/>
      <c r="AQ61" s="59"/>
      <c r="AR61" s="59"/>
      <c r="AS61" s="59"/>
      <c r="AT61" s="59"/>
      <c r="AU61" s="59"/>
      <c r="AV61" s="59"/>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row>
    <row r="62" spans="1:79" s="106" customFormat="1" ht="24" customHeight="1">
      <c r="A62" s="36" t="s">
        <v>136</v>
      </c>
      <c r="B62" s="129"/>
      <c r="C62" s="373"/>
      <c r="D62" s="129"/>
      <c r="E62" s="373"/>
      <c r="F62" s="129"/>
      <c r="G62" s="373"/>
      <c r="H62" s="129"/>
      <c r="I62" s="373"/>
      <c r="J62" s="129"/>
      <c r="K62" s="373"/>
      <c r="L62" s="129"/>
      <c r="M62" s="373"/>
      <c r="N62" s="129"/>
      <c r="O62" s="373"/>
      <c r="P62" s="129"/>
      <c r="Q62" s="373"/>
      <c r="R62" s="129"/>
      <c r="S62" s="129"/>
      <c r="T62" s="129"/>
      <c r="U62" s="129"/>
      <c r="W62"/>
      <c r="X62"/>
      <c r="Y62" s="230"/>
      <c r="Z62" s="230"/>
      <c r="AA62" s="229"/>
      <c r="AB62" s="229"/>
      <c r="AC62" s="229"/>
      <c r="AD62" s="229"/>
      <c r="AE62" s="229"/>
      <c r="AF62" s="229"/>
      <c r="AG62" s="229"/>
      <c r="AH62" s="229"/>
      <c r="AI62" s="229"/>
      <c r="AJ62" s="229"/>
      <c r="AK62" s="229"/>
      <c r="AL62" s="229"/>
      <c r="AM62" s="59"/>
      <c r="AN62" s="59"/>
      <c r="AO62" s="59"/>
      <c r="AP62" s="59"/>
      <c r="AQ62" s="59"/>
      <c r="AR62" s="59"/>
      <c r="AS62" s="59"/>
      <c r="AT62" s="59"/>
      <c r="AU62" s="59"/>
      <c r="AV62" s="59"/>
      <c r="AW62"/>
      <c r="AX62"/>
      <c r="AY62"/>
      <c r="AZ62"/>
      <c r="BA62"/>
      <c r="BB62"/>
      <c r="BC62"/>
      <c r="BD62"/>
      <c r="BE62"/>
      <c r="BF62"/>
      <c r="BG62"/>
      <c r="BH62"/>
      <c r="BI62"/>
      <c r="BJ62"/>
      <c r="BK62"/>
      <c r="BL62"/>
      <c r="BM62"/>
      <c r="BN62"/>
      <c r="BO62"/>
      <c r="BP62"/>
      <c r="BQ62"/>
      <c r="BR62"/>
      <c r="BS62"/>
      <c r="BT62"/>
      <c r="BU62"/>
      <c r="BV62"/>
      <c r="BW62"/>
      <c r="BX62"/>
      <c r="BY62"/>
      <c r="BZ62"/>
      <c r="CA62"/>
    </row>
    <row r="63" spans="3:22" s="59" customFormat="1" ht="18" customHeight="1">
      <c r="C63" s="374"/>
      <c r="E63" s="374"/>
      <c r="G63" s="374"/>
      <c r="I63" s="374"/>
      <c r="K63" s="374"/>
      <c r="M63" s="374"/>
      <c r="O63" s="374"/>
      <c r="Q63" s="374"/>
      <c r="V63" s="233"/>
    </row>
    <row r="64" spans="3:17" s="59" customFormat="1" ht="18" customHeight="1">
      <c r="C64" s="374"/>
      <c r="E64" s="374"/>
      <c r="G64" s="374"/>
      <c r="I64" s="374"/>
      <c r="K64" s="374"/>
      <c r="M64" s="374"/>
      <c r="O64" s="374"/>
      <c r="Q64" s="374"/>
    </row>
    <row r="65" spans="3:17" s="59" customFormat="1" ht="18" customHeight="1">
      <c r="C65" s="374"/>
      <c r="E65" s="374"/>
      <c r="G65" s="374"/>
      <c r="I65" s="374"/>
      <c r="K65" s="374"/>
      <c r="M65" s="374"/>
      <c r="O65" s="374"/>
      <c r="Q65" s="374"/>
    </row>
    <row r="66" spans="3:17" s="59" customFormat="1" ht="18" customHeight="1">
      <c r="C66" s="374"/>
      <c r="E66" s="374"/>
      <c r="G66" s="374"/>
      <c r="I66" s="374"/>
      <c r="K66" s="374"/>
      <c r="M66" s="374"/>
      <c r="O66" s="374"/>
      <c r="Q66" s="374"/>
    </row>
    <row r="67" spans="3:17" s="59" customFormat="1" ht="18" customHeight="1">
      <c r="C67" s="374"/>
      <c r="E67" s="374"/>
      <c r="G67" s="374"/>
      <c r="I67" s="374"/>
      <c r="K67" s="374"/>
      <c r="M67" s="374"/>
      <c r="O67" s="374"/>
      <c r="Q67" s="374"/>
    </row>
    <row r="68" spans="3:17" s="59" customFormat="1" ht="18" customHeight="1">
      <c r="C68" s="374"/>
      <c r="E68" s="374"/>
      <c r="G68" s="374"/>
      <c r="I68" s="374"/>
      <c r="K68" s="374"/>
      <c r="M68" s="374"/>
      <c r="O68" s="374"/>
      <c r="Q68" s="374"/>
    </row>
    <row r="69" spans="3:17" s="59" customFormat="1" ht="18" customHeight="1">
      <c r="C69" s="374"/>
      <c r="E69" s="374"/>
      <c r="G69" s="374"/>
      <c r="I69" s="374"/>
      <c r="K69" s="374"/>
      <c r="M69" s="374"/>
      <c r="O69" s="374"/>
      <c r="Q69" s="374"/>
    </row>
    <row r="70" spans="3:17" s="59" customFormat="1" ht="17.25" customHeight="1">
      <c r="C70" s="374"/>
      <c r="E70" s="374"/>
      <c r="G70" s="374"/>
      <c r="I70" s="374"/>
      <c r="K70" s="374"/>
      <c r="M70" s="374"/>
      <c r="O70" s="374"/>
      <c r="Q70" s="374"/>
    </row>
    <row r="71" spans="3:17" s="59" customFormat="1" ht="17.25" customHeight="1">
      <c r="C71" s="374"/>
      <c r="E71" s="374"/>
      <c r="G71" s="374"/>
      <c r="I71" s="374"/>
      <c r="K71" s="374"/>
      <c r="M71" s="374"/>
      <c r="O71" s="374"/>
      <c r="Q71" s="374"/>
    </row>
    <row r="72" spans="3:17" s="59" customFormat="1" ht="17.25" customHeight="1">
      <c r="C72" s="374"/>
      <c r="E72" s="374"/>
      <c r="G72" s="374"/>
      <c r="I72" s="374"/>
      <c r="K72" s="374"/>
      <c r="M72" s="374"/>
      <c r="O72" s="374"/>
      <c r="Q72" s="374"/>
    </row>
    <row r="73" spans="3:17" s="59" customFormat="1" ht="17.25" customHeight="1">
      <c r="C73" s="374"/>
      <c r="E73" s="374"/>
      <c r="G73" s="374"/>
      <c r="I73" s="374"/>
      <c r="K73" s="374"/>
      <c r="M73" s="374"/>
      <c r="O73" s="374"/>
      <c r="Q73" s="374"/>
    </row>
    <row r="74" spans="3:17" s="59" customFormat="1" ht="17.25" customHeight="1">
      <c r="C74" s="374"/>
      <c r="E74" s="374"/>
      <c r="G74" s="374"/>
      <c r="I74" s="374"/>
      <c r="K74" s="374"/>
      <c r="M74" s="374"/>
      <c r="O74" s="374"/>
      <c r="Q74" s="374"/>
    </row>
    <row r="75" spans="3:17" s="59" customFormat="1" ht="17.25" customHeight="1">
      <c r="C75" s="374"/>
      <c r="E75" s="374"/>
      <c r="G75" s="374"/>
      <c r="I75" s="374"/>
      <c r="K75" s="374"/>
      <c r="M75" s="374"/>
      <c r="O75" s="374"/>
      <c r="Q75" s="374"/>
    </row>
    <row r="76" spans="3:17" s="59" customFormat="1" ht="17.25" customHeight="1">
      <c r="C76" s="374"/>
      <c r="E76" s="374"/>
      <c r="G76" s="374"/>
      <c r="I76" s="374"/>
      <c r="K76" s="374"/>
      <c r="M76" s="374"/>
      <c r="O76" s="374"/>
      <c r="Q76" s="374"/>
    </row>
    <row r="77" spans="3:17" s="59" customFormat="1" ht="17.25" customHeight="1">
      <c r="C77" s="374"/>
      <c r="E77" s="374"/>
      <c r="G77" s="374"/>
      <c r="I77" s="374"/>
      <c r="K77" s="374"/>
      <c r="M77" s="374"/>
      <c r="O77" s="374"/>
      <c r="Q77" s="374"/>
    </row>
    <row r="78" spans="3:17" s="59" customFormat="1" ht="17.25" customHeight="1">
      <c r="C78" s="374"/>
      <c r="E78" s="374"/>
      <c r="G78" s="374"/>
      <c r="I78" s="374"/>
      <c r="K78" s="374"/>
      <c r="M78" s="374"/>
      <c r="O78" s="374"/>
      <c r="Q78" s="374"/>
    </row>
    <row r="79" spans="3:17" s="59" customFormat="1" ht="17.25" customHeight="1">
      <c r="C79" s="374"/>
      <c r="E79" s="374"/>
      <c r="G79" s="374"/>
      <c r="I79" s="374"/>
      <c r="K79" s="374"/>
      <c r="M79" s="374"/>
      <c r="O79" s="374"/>
      <c r="Q79" s="374"/>
    </row>
    <row r="80" spans="3:34" s="59" customFormat="1" ht="17.25" customHeight="1">
      <c r="C80" s="374"/>
      <c r="E80" s="374"/>
      <c r="G80" s="374"/>
      <c r="I80" s="374"/>
      <c r="K80" s="374"/>
      <c r="M80" s="374"/>
      <c r="O80" s="374"/>
      <c r="Q80" s="374"/>
      <c r="Y80" s="229"/>
      <c r="Z80" s="230"/>
      <c r="AA80" s="229"/>
      <c r="AB80" s="229"/>
      <c r="AC80" s="229"/>
      <c r="AD80" s="229"/>
      <c r="AE80" s="229"/>
      <c r="AF80" s="229"/>
      <c r="AG80" s="229"/>
      <c r="AH80" s="229"/>
    </row>
    <row r="81" spans="3:34" s="59" customFormat="1" ht="17.25" customHeight="1">
      <c r="C81" s="374"/>
      <c r="E81" s="374"/>
      <c r="G81" s="374"/>
      <c r="I81" s="374"/>
      <c r="K81" s="374"/>
      <c r="M81" s="374"/>
      <c r="O81" s="374"/>
      <c r="Q81" s="374"/>
      <c r="Y81" s="229"/>
      <c r="Z81" s="230"/>
      <c r="AA81" s="229"/>
      <c r="AB81" s="229"/>
      <c r="AC81" s="229"/>
      <c r="AD81" s="229"/>
      <c r="AE81" s="229"/>
      <c r="AF81" s="229"/>
      <c r="AG81" s="229"/>
      <c r="AH81" s="229"/>
    </row>
    <row r="82" spans="3:34" s="59" customFormat="1" ht="17.25" customHeight="1">
      <c r="C82" s="374"/>
      <c r="E82" s="374"/>
      <c r="G82" s="374"/>
      <c r="I82" s="374"/>
      <c r="K82" s="374"/>
      <c r="M82" s="374"/>
      <c r="O82" s="374"/>
      <c r="Q82" s="374"/>
      <c r="Y82" s="229"/>
      <c r="Z82" s="230"/>
      <c r="AA82" s="229"/>
      <c r="AB82" s="229"/>
      <c r="AC82" s="229"/>
      <c r="AD82" s="229"/>
      <c r="AE82" s="229"/>
      <c r="AF82" s="229"/>
      <c r="AG82" s="229"/>
      <c r="AH82" s="229"/>
    </row>
    <row r="83" spans="3:34" s="59" customFormat="1" ht="17.25" customHeight="1">
      <c r="C83" s="374"/>
      <c r="E83" s="374"/>
      <c r="G83" s="374"/>
      <c r="I83" s="374"/>
      <c r="K83" s="374"/>
      <c r="M83" s="374"/>
      <c r="O83" s="374"/>
      <c r="Q83" s="374"/>
      <c r="Y83" s="229"/>
      <c r="Z83" s="230"/>
      <c r="AA83" s="229"/>
      <c r="AB83" s="229"/>
      <c r="AC83" s="229"/>
      <c r="AD83" s="229"/>
      <c r="AE83" s="229"/>
      <c r="AF83" s="229"/>
      <c r="AG83" s="229"/>
      <c r="AH83" s="229"/>
    </row>
    <row r="84" spans="3:34" s="59" customFormat="1" ht="17.25" customHeight="1">
      <c r="C84" s="374"/>
      <c r="E84" s="374"/>
      <c r="G84" s="374"/>
      <c r="I84" s="374"/>
      <c r="K84" s="374"/>
      <c r="M84" s="374"/>
      <c r="O84" s="374"/>
      <c r="Q84" s="374"/>
      <c r="Y84" s="229"/>
      <c r="Z84" s="230"/>
      <c r="AA84" s="229"/>
      <c r="AB84" s="229"/>
      <c r="AC84" s="229"/>
      <c r="AD84" s="229"/>
      <c r="AE84" s="229"/>
      <c r="AF84" s="229"/>
      <c r="AG84" s="229"/>
      <c r="AH84" s="229"/>
    </row>
    <row r="85" spans="3:34" s="59" customFormat="1" ht="35.25" customHeight="1">
      <c r="C85" s="374"/>
      <c r="E85" s="374"/>
      <c r="G85" s="374"/>
      <c r="I85" s="374"/>
      <c r="K85" s="374"/>
      <c r="M85" s="374"/>
      <c r="O85" s="374"/>
      <c r="Q85" s="374"/>
      <c r="Y85" s="229"/>
      <c r="Z85" s="230"/>
      <c r="AA85" s="229"/>
      <c r="AB85" s="229"/>
      <c r="AC85" s="229"/>
      <c r="AD85" s="229"/>
      <c r="AE85" s="229"/>
      <c r="AF85" s="229"/>
      <c r="AG85" s="229"/>
      <c r="AH85" s="229"/>
    </row>
    <row r="86" spans="3:34" s="59" customFormat="1" ht="20.25" customHeight="1">
      <c r="C86" s="374"/>
      <c r="E86" s="374"/>
      <c r="G86" s="374"/>
      <c r="I86" s="374"/>
      <c r="K86" s="374"/>
      <c r="M86" s="374"/>
      <c r="O86" s="374"/>
      <c r="Q86" s="374"/>
      <c r="Y86" s="229"/>
      <c r="Z86" s="230"/>
      <c r="AA86" s="229"/>
      <c r="AB86" s="229"/>
      <c r="AC86" s="229"/>
      <c r="AD86" s="229"/>
      <c r="AE86" s="229"/>
      <c r="AF86" s="229"/>
      <c r="AG86" s="229"/>
      <c r="AH86" s="229"/>
    </row>
    <row r="87" spans="3:34" s="59" customFormat="1" ht="11.25">
      <c r="C87" s="374"/>
      <c r="E87" s="374"/>
      <c r="G87" s="374"/>
      <c r="I87" s="374"/>
      <c r="K87" s="374"/>
      <c r="M87" s="374"/>
      <c r="O87" s="374"/>
      <c r="Q87" s="374"/>
      <c r="Y87" s="229"/>
      <c r="Z87" s="230"/>
      <c r="AA87" s="229"/>
      <c r="AB87" s="229"/>
      <c r="AC87" s="229"/>
      <c r="AD87" s="229"/>
      <c r="AE87" s="229"/>
      <c r="AF87" s="229"/>
      <c r="AG87" s="229"/>
      <c r="AH87" s="229"/>
    </row>
    <row r="88" spans="3:34" s="59" customFormat="1" ht="11.25">
      <c r="C88" s="374"/>
      <c r="E88" s="374"/>
      <c r="G88" s="374"/>
      <c r="I88" s="374"/>
      <c r="K88" s="374"/>
      <c r="M88" s="374"/>
      <c r="O88" s="374"/>
      <c r="Q88" s="374"/>
      <c r="Y88" s="229"/>
      <c r="Z88" s="230"/>
      <c r="AA88" s="229"/>
      <c r="AB88" s="229"/>
      <c r="AC88" s="229"/>
      <c r="AD88" s="229"/>
      <c r="AE88" s="229"/>
      <c r="AF88" s="229"/>
      <c r="AG88" s="229"/>
      <c r="AH88" s="229"/>
    </row>
    <row r="89" spans="3:34" s="59" customFormat="1" ht="11.25">
      <c r="C89" s="374"/>
      <c r="E89" s="374"/>
      <c r="G89" s="374"/>
      <c r="I89" s="374"/>
      <c r="K89" s="374"/>
      <c r="M89" s="374"/>
      <c r="O89" s="374"/>
      <c r="Q89" s="374"/>
      <c r="Y89" s="229"/>
      <c r="Z89" s="230"/>
      <c r="AA89" s="229"/>
      <c r="AB89" s="229"/>
      <c r="AC89" s="229"/>
      <c r="AD89" s="229"/>
      <c r="AE89" s="229"/>
      <c r="AF89" s="229"/>
      <c r="AG89" s="229"/>
      <c r="AH89" s="229"/>
    </row>
    <row r="90" spans="3:79" s="67" customFormat="1" ht="12.75">
      <c r="C90" s="375"/>
      <c r="E90" s="375"/>
      <c r="G90" s="375"/>
      <c r="I90" s="375"/>
      <c r="K90" s="375"/>
      <c r="M90" s="375"/>
      <c r="O90" s="375"/>
      <c r="Q90" s="375"/>
      <c r="W90"/>
      <c r="X90"/>
      <c r="Y90" s="229"/>
      <c r="Z90" s="230"/>
      <c r="AA90" s="229"/>
      <c r="AB90" s="229"/>
      <c r="AC90" s="229"/>
      <c r="AD90" s="229"/>
      <c r="AE90" s="229"/>
      <c r="AF90" s="229"/>
      <c r="AG90" s="229"/>
      <c r="AH90" s="229"/>
      <c r="AI90" s="59"/>
      <c r="AJ90" s="59"/>
      <c r="AK90" s="59"/>
      <c r="AL90" s="59"/>
      <c r="AM90" s="59"/>
      <c r="AN90" s="59"/>
      <c r="AO90" s="59"/>
      <c r="AP90" s="59"/>
      <c r="AQ90" s="59"/>
      <c r="AR90" s="59"/>
      <c r="AS90" s="59"/>
      <c r="AT90" s="59"/>
      <c r="AU90" s="59"/>
      <c r="AV90" s="59"/>
      <c r="AW90"/>
      <c r="AX90"/>
      <c r="AY90"/>
      <c r="AZ90"/>
      <c r="BA90"/>
      <c r="BB90"/>
      <c r="BC90"/>
      <c r="BD90"/>
      <c r="BE90"/>
      <c r="BF90"/>
      <c r="BG90"/>
      <c r="BH90"/>
      <c r="BI90"/>
      <c r="BJ90"/>
      <c r="BK90"/>
      <c r="BL90"/>
      <c r="BM90"/>
      <c r="BN90"/>
      <c r="BO90"/>
      <c r="BP90"/>
      <c r="BQ90"/>
      <c r="BR90"/>
      <c r="BS90"/>
      <c r="BT90"/>
      <c r="BU90"/>
      <c r="BV90"/>
      <c r="BW90"/>
      <c r="BX90"/>
      <c r="BY90"/>
      <c r="BZ90"/>
      <c r="CA90"/>
    </row>
    <row r="91" spans="3:79" s="67" customFormat="1" ht="12.75">
      <c r="C91" s="375"/>
      <c r="E91" s="375"/>
      <c r="G91" s="375"/>
      <c r="I91" s="375"/>
      <c r="K91" s="375"/>
      <c r="M91" s="375"/>
      <c r="O91" s="375"/>
      <c r="Q91" s="375"/>
      <c r="W91"/>
      <c r="X91"/>
      <c r="Y91" s="229"/>
      <c r="Z91" s="230"/>
      <c r="AA91" s="229"/>
      <c r="AB91" s="229"/>
      <c r="AC91" s="229"/>
      <c r="AD91" s="229"/>
      <c r="AE91" s="229"/>
      <c r="AF91" s="229"/>
      <c r="AG91" s="229"/>
      <c r="AH91" s="229"/>
      <c r="AI91" s="59"/>
      <c r="AJ91" s="59"/>
      <c r="AK91" s="59"/>
      <c r="AL91" s="59"/>
      <c r="AM91" s="59"/>
      <c r="AN91" s="59"/>
      <c r="AO91" s="59"/>
      <c r="AP91" s="59"/>
      <c r="AQ91" s="59"/>
      <c r="AR91" s="59"/>
      <c r="AS91" s="59"/>
      <c r="AT91" s="59"/>
      <c r="AU91" s="59"/>
      <c r="AV91" s="59"/>
      <c r="AW91"/>
      <c r="AX91"/>
      <c r="AY91"/>
      <c r="AZ91"/>
      <c r="BA91"/>
      <c r="BB91"/>
      <c r="BC91"/>
      <c r="BD91"/>
      <c r="BE91"/>
      <c r="BF91"/>
      <c r="BG91"/>
      <c r="BH91"/>
      <c r="BI91"/>
      <c r="BJ91"/>
      <c r="BK91"/>
      <c r="BL91"/>
      <c r="BM91"/>
      <c r="BN91"/>
      <c r="BO91"/>
      <c r="BP91"/>
      <c r="BQ91"/>
      <c r="BR91"/>
      <c r="BS91"/>
      <c r="BT91"/>
      <c r="BU91"/>
      <c r="BV91"/>
      <c r="BW91"/>
      <c r="BX91"/>
      <c r="BY91"/>
      <c r="BZ91"/>
      <c r="CA91"/>
    </row>
    <row r="92" spans="3:79" s="67" customFormat="1" ht="12.75">
      <c r="C92" s="375"/>
      <c r="E92" s="375"/>
      <c r="G92" s="375"/>
      <c r="I92" s="375"/>
      <c r="K92" s="375"/>
      <c r="M92" s="375"/>
      <c r="O92" s="375"/>
      <c r="Q92" s="375"/>
      <c r="W92"/>
      <c r="X92"/>
      <c r="Y92" s="229"/>
      <c r="Z92" s="230"/>
      <c r="AA92" s="229"/>
      <c r="AB92" s="229"/>
      <c r="AC92" s="229"/>
      <c r="AD92" s="229"/>
      <c r="AE92" s="229"/>
      <c r="AF92" s="229"/>
      <c r="AG92" s="229"/>
      <c r="AH92" s="229"/>
      <c r="AI92" s="59"/>
      <c r="AJ92" s="59"/>
      <c r="AK92" s="59"/>
      <c r="AL92" s="59"/>
      <c r="AM92" s="59"/>
      <c r="AN92" s="59"/>
      <c r="AO92" s="59"/>
      <c r="AP92" s="59"/>
      <c r="AQ92" s="59"/>
      <c r="AR92" s="59"/>
      <c r="AS92" s="59"/>
      <c r="AT92" s="59"/>
      <c r="AU92" s="59"/>
      <c r="AV92" s="59"/>
      <c r="AW92"/>
      <c r="AX92"/>
      <c r="AY92"/>
      <c r="AZ92"/>
      <c r="BA92"/>
      <c r="BB92"/>
      <c r="BC92"/>
      <c r="BD92"/>
      <c r="BE92"/>
      <c r="BF92"/>
      <c r="BG92"/>
      <c r="BH92"/>
      <c r="BI92"/>
      <c r="BJ92"/>
      <c r="BK92"/>
      <c r="BL92"/>
      <c r="BM92"/>
      <c r="BN92"/>
      <c r="BO92"/>
      <c r="BP92"/>
      <c r="BQ92"/>
      <c r="BR92"/>
      <c r="BS92"/>
      <c r="BT92"/>
      <c r="BU92"/>
      <c r="BV92"/>
      <c r="BW92"/>
      <c r="BX92"/>
      <c r="BY92"/>
      <c r="BZ92"/>
      <c r="CA92"/>
    </row>
    <row r="93" spans="3:79" s="67" customFormat="1" ht="12.75">
      <c r="C93" s="375"/>
      <c r="E93" s="375"/>
      <c r="G93" s="375"/>
      <c r="I93" s="375"/>
      <c r="K93" s="375"/>
      <c r="M93" s="375"/>
      <c r="O93" s="375"/>
      <c r="Q93" s="375"/>
      <c r="W93"/>
      <c r="X93"/>
      <c r="Y93" s="229"/>
      <c r="Z93" s="230"/>
      <c r="AA93" s="229"/>
      <c r="AB93" s="229"/>
      <c r="AC93" s="229"/>
      <c r="AD93" s="229"/>
      <c r="AE93" s="229"/>
      <c r="AF93" s="229"/>
      <c r="AG93" s="229"/>
      <c r="AH93" s="229"/>
      <c r="AI93" s="59"/>
      <c r="AJ93" s="59"/>
      <c r="AK93" s="59"/>
      <c r="AL93" s="59"/>
      <c r="AM93" s="59"/>
      <c r="AN93" s="59"/>
      <c r="AO93" s="59"/>
      <c r="AP93" s="59"/>
      <c r="AQ93" s="59"/>
      <c r="AR93" s="59"/>
      <c r="AS93" s="59"/>
      <c r="AT93" s="59"/>
      <c r="AU93" s="59"/>
      <c r="AV93" s="59"/>
      <c r="AW93"/>
      <c r="AX93"/>
      <c r="AY93"/>
      <c r="AZ93"/>
      <c r="BA93"/>
      <c r="BB93"/>
      <c r="BC93"/>
      <c r="BD93"/>
      <c r="BE93"/>
      <c r="BF93"/>
      <c r="BG93"/>
      <c r="BH93"/>
      <c r="BI93"/>
      <c r="BJ93"/>
      <c r="BK93"/>
      <c r="BL93"/>
      <c r="BM93"/>
      <c r="BN93"/>
      <c r="BO93"/>
      <c r="BP93"/>
      <c r="BQ93"/>
      <c r="BR93"/>
      <c r="BS93"/>
      <c r="BT93"/>
      <c r="BU93"/>
      <c r="BV93"/>
      <c r="BW93"/>
      <c r="BX93"/>
      <c r="BY93"/>
      <c r="BZ93"/>
      <c r="CA93"/>
    </row>
    <row r="94" spans="3:79" s="67" customFormat="1" ht="12.75">
      <c r="C94" s="375"/>
      <c r="E94" s="375"/>
      <c r="G94" s="375"/>
      <c r="I94" s="375"/>
      <c r="K94" s="375"/>
      <c r="M94" s="375"/>
      <c r="O94" s="375"/>
      <c r="Q94" s="375"/>
      <c r="W94"/>
      <c r="X94"/>
      <c r="Y94" s="229"/>
      <c r="Z94" s="230"/>
      <c r="AA94" s="229"/>
      <c r="AB94" s="229"/>
      <c r="AC94" s="229"/>
      <c r="AD94" s="229"/>
      <c r="AE94" s="229"/>
      <c r="AF94" s="229"/>
      <c r="AG94" s="229"/>
      <c r="AH94" s="229"/>
      <c r="AI94" s="59"/>
      <c r="AJ94" s="59"/>
      <c r="AK94" s="59"/>
      <c r="AL94" s="59"/>
      <c r="AM94" s="59"/>
      <c r="AN94" s="59"/>
      <c r="AO94" s="59"/>
      <c r="AP94" s="59"/>
      <c r="AQ94" s="59"/>
      <c r="AR94" s="59"/>
      <c r="AS94" s="59"/>
      <c r="AT94" s="59"/>
      <c r="AU94" s="59"/>
      <c r="AV94" s="59"/>
      <c r="AW94"/>
      <c r="AX94"/>
      <c r="AY94"/>
      <c r="AZ94"/>
      <c r="BA94"/>
      <c r="BB94"/>
      <c r="BC94"/>
      <c r="BD94"/>
      <c r="BE94"/>
      <c r="BF94"/>
      <c r="BG94"/>
      <c r="BH94"/>
      <c r="BI94"/>
      <c r="BJ94"/>
      <c r="BK94"/>
      <c r="BL94"/>
      <c r="BM94"/>
      <c r="BN94"/>
      <c r="BO94"/>
      <c r="BP94"/>
      <c r="BQ94"/>
      <c r="BR94"/>
      <c r="BS94"/>
      <c r="BT94"/>
      <c r="BU94"/>
      <c r="BV94"/>
      <c r="BW94"/>
      <c r="BX94"/>
      <c r="BY94"/>
      <c r="BZ94"/>
      <c r="CA94"/>
    </row>
    <row r="95" spans="3:79" s="67" customFormat="1" ht="12.75">
      <c r="C95" s="375"/>
      <c r="E95" s="375"/>
      <c r="G95" s="375"/>
      <c r="I95" s="375"/>
      <c r="K95" s="375"/>
      <c r="M95" s="375"/>
      <c r="O95" s="375"/>
      <c r="Q95" s="375"/>
      <c r="W95"/>
      <c r="X95"/>
      <c r="Y95" s="229"/>
      <c r="Z95" s="230"/>
      <c r="AA95" s="229"/>
      <c r="AB95" s="229"/>
      <c r="AC95" s="229"/>
      <c r="AD95" s="229"/>
      <c r="AE95" s="229"/>
      <c r="AF95" s="229"/>
      <c r="AG95" s="229"/>
      <c r="AH95" s="229"/>
      <c r="AI95" s="59"/>
      <c r="AJ95" s="59"/>
      <c r="AK95" s="59"/>
      <c r="AL95" s="59"/>
      <c r="AM95" s="59"/>
      <c r="AN95" s="59"/>
      <c r="AO95" s="59"/>
      <c r="AP95" s="59"/>
      <c r="AQ95" s="59"/>
      <c r="AR95" s="59"/>
      <c r="AS95" s="59"/>
      <c r="AT95" s="59"/>
      <c r="AU95" s="59"/>
      <c r="AV95" s="59"/>
      <c r="AW95"/>
      <c r="AX95"/>
      <c r="AY95"/>
      <c r="AZ95"/>
      <c r="BA95"/>
      <c r="BB95"/>
      <c r="BC95"/>
      <c r="BD95"/>
      <c r="BE95"/>
      <c r="BF95"/>
      <c r="BG95"/>
      <c r="BH95"/>
      <c r="BI95"/>
      <c r="BJ95"/>
      <c r="BK95"/>
      <c r="BL95"/>
      <c r="BM95"/>
      <c r="BN95"/>
      <c r="BO95"/>
      <c r="BP95"/>
      <c r="BQ95"/>
      <c r="BR95"/>
      <c r="BS95"/>
      <c r="BT95"/>
      <c r="BU95"/>
      <c r="BV95"/>
      <c r="BW95"/>
      <c r="BX95"/>
      <c r="BY95"/>
      <c r="BZ95"/>
      <c r="CA95"/>
    </row>
    <row r="96" spans="3:79" s="67" customFormat="1" ht="12.75">
      <c r="C96" s="375"/>
      <c r="E96" s="375"/>
      <c r="G96" s="375"/>
      <c r="I96" s="375"/>
      <c r="K96" s="375"/>
      <c r="M96" s="375"/>
      <c r="O96" s="375"/>
      <c r="Q96" s="375"/>
      <c r="W96"/>
      <c r="X96"/>
      <c r="Y96" s="229"/>
      <c r="Z96" s="230"/>
      <c r="AA96" s="229"/>
      <c r="AB96" s="229"/>
      <c r="AC96" s="229"/>
      <c r="AD96" s="229"/>
      <c r="AE96" s="229"/>
      <c r="AF96" s="229"/>
      <c r="AG96" s="229"/>
      <c r="AH96" s="229"/>
      <c r="AI96" s="59"/>
      <c r="AJ96" s="59"/>
      <c r="AK96" s="59"/>
      <c r="AL96" s="59"/>
      <c r="AM96" s="59"/>
      <c r="AN96" s="59"/>
      <c r="AO96" s="59"/>
      <c r="AP96" s="59"/>
      <c r="AQ96" s="59"/>
      <c r="AR96" s="59"/>
      <c r="AS96" s="59"/>
      <c r="AT96" s="59"/>
      <c r="AU96" s="59"/>
      <c r="AV96" s="59"/>
      <c r="AW96"/>
      <c r="AX96"/>
      <c r="AY96"/>
      <c r="AZ96"/>
      <c r="BA96"/>
      <c r="BB96"/>
      <c r="BC96"/>
      <c r="BD96"/>
      <c r="BE96"/>
      <c r="BF96"/>
      <c r="BG96"/>
      <c r="BH96"/>
      <c r="BI96"/>
      <c r="BJ96"/>
      <c r="BK96"/>
      <c r="BL96"/>
      <c r="BM96"/>
      <c r="BN96"/>
      <c r="BO96"/>
      <c r="BP96"/>
      <c r="BQ96"/>
      <c r="BR96"/>
      <c r="BS96"/>
      <c r="BT96"/>
      <c r="BU96"/>
      <c r="BV96"/>
      <c r="BW96"/>
      <c r="BX96"/>
      <c r="BY96"/>
      <c r="BZ96"/>
      <c r="CA96"/>
    </row>
    <row r="97" spans="3:79" s="67" customFormat="1" ht="12.75">
      <c r="C97" s="375"/>
      <c r="E97" s="375"/>
      <c r="G97" s="375"/>
      <c r="I97" s="375"/>
      <c r="K97" s="375"/>
      <c r="M97" s="375"/>
      <c r="O97" s="375"/>
      <c r="Q97" s="375"/>
      <c r="W97"/>
      <c r="X97"/>
      <c r="Y97" s="229"/>
      <c r="Z97" s="230"/>
      <c r="AA97" s="229"/>
      <c r="AB97" s="229"/>
      <c r="AC97" s="229"/>
      <c r="AD97" s="229"/>
      <c r="AE97" s="229"/>
      <c r="AF97" s="229"/>
      <c r="AG97" s="229"/>
      <c r="AH97" s="229"/>
      <c r="AI97" s="59"/>
      <c r="AJ97" s="59"/>
      <c r="AK97" s="59"/>
      <c r="AL97" s="59"/>
      <c r="AM97" s="59"/>
      <c r="AN97" s="59"/>
      <c r="AO97" s="59"/>
      <c r="AP97" s="59"/>
      <c r="AQ97" s="59"/>
      <c r="AR97" s="59"/>
      <c r="AS97" s="59"/>
      <c r="AT97" s="59"/>
      <c r="AU97" s="59"/>
      <c r="AV97" s="59"/>
      <c r="AW97"/>
      <c r="AX97"/>
      <c r="AY97"/>
      <c r="AZ97"/>
      <c r="BA97"/>
      <c r="BB97"/>
      <c r="BC97"/>
      <c r="BD97"/>
      <c r="BE97"/>
      <c r="BF97"/>
      <c r="BG97"/>
      <c r="BH97"/>
      <c r="BI97"/>
      <c r="BJ97"/>
      <c r="BK97"/>
      <c r="BL97"/>
      <c r="BM97"/>
      <c r="BN97"/>
      <c r="BO97"/>
      <c r="BP97"/>
      <c r="BQ97"/>
      <c r="BR97"/>
      <c r="BS97"/>
      <c r="BT97"/>
      <c r="BU97"/>
      <c r="BV97"/>
      <c r="BW97"/>
      <c r="BX97"/>
      <c r="BY97"/>
      <c r="BZ97"/>
      <c r="CA97"/>
    </row>
    <row r="98" spans="3:79" s="67" customFormat="1" ht="12.75">
      <c r="C98" s="375"/>
      <c r="E98" s="375"/>
      <c r="G98" s="375"/>
      <c r="I98" s="375"/>
      <c r="K98" s="375"/>
      <c r="M98" s="375"/>
      <c r="O98" s="375"/>
      <c r="Q98" s="375"/>
      <c r="W98"/>
      <c r="X98"/>
      <c r="Y98" s="229"/>
      <c r="Z98" s="230"/>
      <c r="AA98" s="229"/>
      <c r="AB98" s="229"/>
      <c r="AC98" s="229"/>
      <c r="AD98" s="229"/>
      <c r="AE98" s="229"/>
      <c r="AF98" s="229"/>
      <c r="AG98" s="229"/>
      <c r="AH98" s="229"/>
      <c r="AI98" s="59"/>
      <c r="AJ98" s="59"/>
      <c r="AK98" s="59"/>
      <c r="AL98" s="59"/>
      <c r="AM98" s="59"/>
      <c r="AN98" s="59"/>
      <c r="AO98" s="59"/>
      <c r="AP98" s="59"/>
      <c r="AQ98" s="59"/>
      <c r="AR98" s="59"/>
      <c r="AS98" s="59"/>
      <c r="AT98" s="59"/>
      <c r="AU98" s="59"/>
      <c r="AV98" s="59"/>
      <c r="AW98"/>
      <c r="AX98"/>
      <c r="AY98"/>
      <c r="AZ98"/>
      <c r="BA98"/>
      <c r="BB98"/>
      <c r="BC98"/>
      <c r="BD98"/>
      <c r="BE98"/>
      <c r="BF98"/>
      <c r="BG98"/>
      <c r="BH98"/>
      <c r="BI98"/>
      <c r="BJ98"/>
      <c r="BK98"/>
      <c r="BL98"/>
      <c r="BM98"/>
      <c r="BN98"/>
      <c r="BO98"/>
      <c r="BP98"/>
      <c r="BQ98"/>
      <c r="BR98"/>
      <c r="BS98"/>
      <c r="BT98"/>
      <c r="BU98"/>
      <c r="BV98"/>
      <c r="BW98"/>
      <c r="BX98"/>
      <c r="BY98"/>
      <c r="BZ98"/>
      <c r="CA98"/>
    </row>
    <row r="99" spans="3:79" s="67" customFormat="1" ht="12.75">
      <c r="C99" s="375"/>
      <c r="E99" s="375"/>
      <c r="G99" s="375"/>
      <c r="I99" s="375"/>
      <c r="K99" s="375"/>
      <c r="M99" s="375"/>
      <c r="O99" s="375"/>
      <c r="Q99" s="375"/>
      <c r="W99"/>
      <c r="X99"/>
      <c r="Y99" s="229"/>
      <c r="Z99" s="230"/>
      <c r="AA99" s="229"/>
      <c r="AB99" s="229"/>
      <c r="AC99" s="229"/>
      <c r="AD99" s="229"/>
      <c r="AE99" s="229"/>
      <c r="AF99" s="229"/>
      <c r="AG99" s="229"/>
      <c r="AH99" s="229"/>
      <c r="AI99" s="59"/>
      <c r="AJ99" s="59"/>
      <c r="AK99" s="59"/>
      <c r="AL99" s="59"/>
      <c r="AM99" s="59"/>
      <c r="AN99" s="59"/>
      <c r="AO99" s="59"/>
      <c r="AP99" s="59"/>
      <c r="AQ99" s="59"/>
      <c r="AR99" s="59"/>
      <c r="AS99" s="59"/>
      <c r="AT99" s="59"/>
      <c r="AU99" s="59"/>
      <c r="AV99" s="59"/>
      <c r="AW99"/>
      <c r="AX99"/>
      <c r="AY99"/>
      <c r="AZ99"/>
      <c r="BA99"/>
      <c r="BB99"/>
      <c r="BC99"/>
      <c r="BD99"/>
      <c r="BE99"/>
      <c r="BF99"/>
      <c r="BG99"/>
      <c r="BH99"/>
      <c r="BI99"/>
      <c r="BJ99"/>
      <c r="BK99"/>
      <c r="BL99"/>
      <c r="BM99"/>
      <c r="BN99"/>
      <c r="BO99"/>
      <c r="BP99"/>
      <c r="BQ99"/>
      <c r="BR99"/>
      <c r="BS99"/>
      <c r="BT99"/>
      <c r="BU99"/>
      <c r="BV99"/>
      <c r="BW99"/>
      <c r="BX99"/>
      <c r="BY99"/>
      <c r="BZ99"/>
      <c r="CA99"/>
    </row>
    <row r="100" spans="3:79" s="67" customFormat="1" ht="12.75">
      <c r="C100" s="375"/>
      <c r="E100" s="375"/>
      <c r="G100" s="375"/>
      <c r="I100" s="375"/>
      <c r="K100" s="375"/>
      <c r="M100" s="375"/>
      <c r="O100" s="375"/>
      <c r="Q100" s="375"/>
      <c r="W100"/>
      <c r="X100"/>
      <c r="Y100" s="229"/>
      <c r="Z100" s="230"/>
      <c r="AA100" s="229"/>
      <c r="AB100" s="229"/>
      <c r="AC100" s="229"/>
      <c r="AD100" s="229"/>
      <c r="AE100" s="229"/>
      <c r="AF100" s="229"/>
      <c r="AG100" s="229"/>
      <c r="AH100" s="229"/>
      <c r="AI100" s="59"/>
      <c r="AJ100" s="59"/>
      <c r="AK100" s="59"/>
      <c r="AL100" s="59"/>
      <c r="AM100" s="59"/>
      <c r="AN100" s="59"/>
      <c r="AO100" s="59"/>
      <c r="AP100" s="59"/>
      <c r="AQ100" s="59"/>
      <c r="AR100" s="59"/>
      <c r="AS100" s="59"/>
      <c r="AT100" s="59"/>
      <c r="AU100" s="59"/>
      <c r="AV100" s="59"/>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row>
    <row r="101" spans="3:79" s="67" customFormat="1" ht="12.75">
      <c r="C101" s="375"/>
      <c r="E101" s="375"/>
      <c r="G101" s="375"/>
      <c r="I101" s="375"/>
      <c r="K101" s="375"/>
      <c r="M101" s="375"/>
      <c r="O101" s="375"/>
      <c r="Q101" s="375"/>
      <c r="W101"/>
      <c r="X101"/>
      <c r="Y101" s="229"/>
      <c r="Z101" s="230"/>
      <c r="AA101" s="229"/>
      <c r="AB101" s="229"/>
      <c r="AC101" s="229"/>
      <c r="AD101" s="229"/>
      <c r="AE101" s="229"/>
      <c r="AF101" s="229"/>
      <c r="AG101" s="229"/>
      <c r="AH101" s="229"/>
      <c r="AI101" s="59"/>
      <c r="AJ101" s="59"/>
      <c r="AK101" s="59"/>
      <c r="AL101" s="59"/>
      <c r="AM101" s="59"/>
      <c r="AN101" s="59"/>
      <c r="AO101" s="59"/>
      <c r="AP101" s="59"/>
      <c r="AQ101" s="59"/>
      <c r="AR101" s="59"/>
      <c r="AS101" s="59"/>
      <c r="AT101" s="59"/>
      <c r="AU101" s="59"/>
      <c r="AV101" s="59"/>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row>
    <row r="102" spans="3:79" s="67" customFormat="1" ht="12.75">
      <c r="C102" s="375"/>
      <c r="E102" s="375"/>
      <c r="G102" s="375"/>
      <c r="I102" s="375"/>
      <c r="K102" s="375"/>
      <c r="M102" s="375"/>
      <c r="O102" s="375"/>
      <c r="Q102" s="375"/>
      <c r="W102"/>
      <c r="X102"/>
      <c r="Y102" s="229"/>
      <c r="Z102" s="230"/>
      <c r="AA102" s="229"/>
      <c r="AB102" s="229"/>
      <c r="AC102" s="229"/>
      <c r="AD102" s="229"/>
      <c r="AE102" s="229"/>
      <c r="AF102" s="229"/>
      <c r="AG102" s="229"/>
      <c r="AH102" s="229"/>
      <c r="AI102" s="59"/>
      <c r="AJ102" s="59"/>
      <c r="AK102" s="59"/>
      <c r="AL102" s="59"/>
      <c r="AM102" s="59"/>
      <c r="AN102" s="59"/>
      <c r="AO102" s="59"/>
      <c r="AP102" s="59"/>
      <c r="AQ102" s="59"/>
      <c r="AR102" s="59"/>
      <c r="AS102" s="59"/>
      <c r="AT102" s="59"/>
      <c r="AU102" s="59"/>
      <c r="AV102" s="59"/>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row>
    <row r="103" spans="3:79" s="67" customFormat="1" ht="12.75">
      <c r="C103" s="375"/>
      <c r="E103" s="375"/>
      <c r="G103" s="375"/>
      <c r="I103" s="375"/>
      <c r="K103" s="375"/>
      <c r="M103" s="375"/>
      <c r="O103" s="375"/>
      <c r="Q103" s="375"/>
      <c r="W103"/>
      <c r="X103"/>
      <c r="Y103" s="229"/>
      <c r="Z103" s="230"/>
      <c r="AA103" s="229"/>
      <c r="AB103" s="229"/>
      <c r="AC103" s="229"/>
      <c r="AD103" s="229"/>
      <c r="AE103" s="229"/>
      <c r="AF103" s="229"/>
      <c r="AG103" s="229"/>
      <c r="AH103" s="229"/>
      <c r="AI103" s="59"/>
      <c r="AJ103" s="59"/>
      <c r="AK103" s="59"/>
      <c r="AL103" s="59"/>
      <c r="AM103" s="59"/>
      <c r="AN103" s="59"/>
      <c r="AO103" s="59"/>
      <c r="AP103" s="59"/>
      <c r="AQ103" s="59"/>
      <c r="AR103" s="59"/>
      <c r="AS103" s="59"/>
      <c r="AT103" s="59"/>
      <c r="AU103" s="59"/>
      <c r="AV103" s="59"/>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row>
    <row r="104" spans="3:79" s="67" customFormat="1" ht="12.75">
      <c r="C104" s="375"/>
      <c r="E104" s="375"/>
      <c r="G104" s="375"/>
      <c r="I104" s="375"/>
      <c r="K104" s="375"/>
      <c r="M104" s="375"/>
      <c r="O104" s="375"/>
      <c r="Q104" s="375"/>
      <c r="W104"/>
      <c r="X104"/>
      <c r="Y104" s="229"/>
      <c r="Z104" s="230"/>
      <c r="AA104" s="229"/>
      <c r="AB104" s="229"/>
      <c r="AC104" s="229"/>
      <c r="AD104" s="229"/>
      <c r="AE104" s="229"/>
      <c r="AF104" s="229"/>
      <c r="AG104" s="229"/>
      <c r="AH104" s="229"/>
      <c r="AI104" s="59"/>
      <c r="AJ104" s="59"/>
      <c r="AK104" s="59"/>
      <c r="AL104" s="59"/>
      <c r="AM104" s="59"/>
      <c r="AN104" s="59"/>
      <c r="AO104" s="59"/>
      <c r="AP104" s="59"/>
      <c r="AQ104" s="59"/>
      <c r="AR104" s="59"/>
      <c r="AS104" s="59"/>
      <c r="AT104" s="59"/>
      <c r="AU104" s="59"/>
      <c r="AV104" s="59"/>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row>
    <row r="105" spans="3:79" s="67" customFormat="1" ht="12.75">
      <c r="C105" s="375"/>
      <c r="E105" s="375"/>
      <c r="G105" s="375"/>
      <c r="I105" s="375"/>
      <c r="K105" s="375"/>
      <c r="M105" s="375"/>
      <c r="O105" s="375"/>
      <c r="Q105" s="375"/>
      <c r="W105"/>
      <c r="X105"/>
      <c r="Y105" s="229"/>
      <c r="Z105" s="230"/>
      <c r="AA105" s="229"/>
      <c r="AB105" s="229"/>
      <c r="AC105" s="229"/>
      <c r="AD105" s="229"/>
      <c r="AE105" s="229"/>
      <c r="AF105" s="229"/>
      <c r="AG105" s="229"/>
      <c r="AH105" s="229"/>
      <c r="AI105" s="59"/>
      <c r="AJ105" s="59"/>
      <c r="AK105" s="59"/>
      <c r="AL105" s="59"/>
      <c r="AM105" s="59"/>
      <c r="AN105" s="59"/>
      <c r="AO105" s="59"/>
      <c r="AP105" s="59"/>
      <c r="AQ105" s="59"/>
      <c r="AR105" s="59"/>
      <c r="AS105" s="59"/>
      <c r="AT105" s="59"/>
      <c r="AU105" s="59"/>
      <c r="AV105" s="59"/>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row>
    <row r="106" spans="3:79" s="67" customFormat="1" ht="12.75">
      <c r="C106" s="375"/>
      <c r="E106" s="375"/>
      <c r="G106" s="375"/>
      <c r="I106" s="375"/>
      <c r="K106" s="375"/>
      <c r="M106" s="375"/>
      <c r="O106" s="375"/>
      <c r="Q106" s="375"/>
      <c r="W106"/>
      <c r="X106"/>
      <c r="Y106" s="229"/>
      <c r="Z106" s="230"/>
      <c r="AA106" s="229"/>
      <c r="AB106" s="229"/>
      <c r="AC106" s="229"/>
      <c r="AD106" s="229"/>
      <c r="AE106" s="229"/>
      <c r="AF106" s="229"/>
      <c r="AG106" s="229"/>
      <c r="AH106" s="229"/>
      <c r="AI106" s="59"/>
      <c r="AJ106" s="59"/>
      <c r="AK106" s="59"/>
      <c r="AL106" s="59"/>
      <c r="AM106" s="59"/>
      <c r="AN106" s="59"/>
      <c r="AO106" s="59"/>
      <c r="AP106" s="59"/>
      <c r="AQ106" s="59"/>
      <c r="AR106" s="59"/>
      <c r="AS106" s="59"/>
      <c r="AT106" s="59"/>
      <c r="AU106" s="59"/>
      <c r="AV106" s="59"/>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row>
    <row r="107" spans="3:79" s="67" customFormat="1" ht="12.75">
      <c r="C107" s="375"/>
      <c r="E107" s="375"/>
      <c r="G107" s="375"/>
      <c r="I107" s="375"/>
      <c r="K107" s="375"/>
      <c r="M107" s="375"/>
      <c r="O107" s="375"/>
      <c r="Q107" s="375"/>
      <c r="W107"/>
      <c r="X107"/>
      <c r="Y107" s="229"/>
      <c r="Z107" s="230"/>
      <c r="AA107" s="229"/>
      <c r="AB107" s="229"/>
      <c r="AC107" s="229"/>
      <c r="AD107" s="229"/>
      <c r="AE107" s="229"/>
      <c r="AF107" s="229"/>
      <c r="AG107" s="229"/>
      <c r="AH107" s="229"/>
      <c r="AI107" s="59"/>
      <c r="AJ107" s="59"/>
      <c r="AK107" s="59"/>
      <c r="AL107" s="59"/>
      <c r="AM107" s="59"/>
      <c r="AN107" s="59"/>
      <c r="AO107" s="59"/>
      <c r="AP107" s="59"/>
      <c r="AQ107" s="59"/>
      <c r="AR107" s="59"/>
      <c r="AS107" s="59"/>
      <c r="AT107" s="59"/>
      <c r="AU107" s="59"/>
      <c r="AV107" s="59"/>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row>
    <row r="108" spans="3:79" s="67" customFormat="1" ht="12.75">
      <c r="C108" s="375"/>
      <c r="E108" s="375"/>
      <c r="G108" s="375"/>
      <c r="I108" s="375"/>
      <c r="K108" s="375"/>
      <c r="M108" s="375"/>
      <c r="O108" s="375"/>
      <c r="Q108" s="375"/>
      <c r="W108"/>
      <c r="X108"/>
      <c r="Y108" s="229"/>
      <c r="Z108" s="230"/>
      <c r="AA108" s="229"/>
      <c r="AB108" s="229"/>
      <c r="AC108" s="229"/>
      <c r="AD108" s="229"/>
      <c r="AE108" s="229"/>
      <c r="AF108" s="229"/>
      <c r="AG108" s="229"/>
      <c r="AH108" s="229"/>
      <c r="AI108" s="59"/>
      <c r="AJ108" s="59"/>
      <c r="AK108" s="59"/>
      <c r="AL108" s="59"/>
      <c r="AM108" s="59"/>
      <c r="AN108" s="59"/>
      <c r="AO108" s="59"/>
      <c r="AP108" s="59"/>
      <c r="AQ108" s="59"/>
      <c r="AR108" s="59"/>
      <c r="AS108" s="59"/>
      <c r="AT108" s="59"/>
      <c r="AU108" s="59"/>
      <c r="AV108" s="59"/>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row>
    <row r="109" spans="3:79" s="67" customFormat="1" ht="12.75">
      <c r="C109" s="375"/>
      <c r="E109" s="375"/>
      <c r="G109" s="375"/>
      <c r="I109" s="375"/>
      <c r="K109" s="375"/>
      <c r="M109" s="375"/>
      <c r="O109" s="375"/>
      <c r="Q109" s="375"/>
      <c r="W109"/>
      <c r="X109"/>
      <c r="Y109" s="229"/>
      <c r="Z109" s="230"/>
      <c r="AA109" s="229"/>
      <c r="AB109" s="229"/>
      <c r="AC109" s="229"/>
      <c r="AD109" s="229"/>
      <c r="AE109" s="229"/>
      <c r="AF109" s="229"/>
      <c r="AG109" s="229"/>
      <c r="AH109" s="229"/>
      <c r="AI109" s="59"/>
      <c r="AJ109" s="59"/>
      <c r="AK109" s="59"/>
      <c r="AL109" s="59"/>
      <c r="AM109" s="59"/>
      <c r="AN109" s="59"/>
      <c r="AO109" s="59"/>
      <c r="AP109" s="59"/>
      <c r="AQ109" s="59"/>
      <c r="AR109" s="59"/>
      <c r="AS109" s="59"/>
      <c r="AT109" s="59"/>
      <c r="AU109" s="59"/>
      <c r="AV109" s="5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row>
    <row r="110" spans="3:79" s="67" customFormat="1" ht="12.75">
      <c r="C110" s="375"/>
      <c r="E110" s="375"/>
      <c r="G110" s="375"/>
      <c r="I110" s="375"/>
      <c r="K110" s="375"/>
      <c r="M110" s="375"/>
      <c r="O110" s="375"/>
      <c r="Q110" s="375"/>
      <c r="W110"/>
      <c r="X110"/>
      <c r="Y110" s="229"/>
      <c r="Z110" s="230"/>
      <c r="AA110" s="229"/>
      <c r="AB110" s="229"/>
      <c r="AC110" s="229"/>
      <c r="AD110" s="229"/>
      <c r="AE110" s="229"/>
      <c r="AF110" s="229"/>
      <c r="AG110" s="229"/>
      <c r="AH110" s="229"/>
      <c r="AI110" s="59"/>
      <c r="AJ110" s="59"/>
      <c r="AK110" s="59"/>
      <c r="AL110" s="59"/>
      <c r="AM110" s="59"/>
      <c r="AN110" s="59"/>
      <c r="AO110" s="59"/>
      <c r="AP110" s="59"/>
      <c r="AQ110" s="59"/>
      <c r="AR110" s="59"/>
      <c r="AS110" s="59"/>
      <c r="AT110" s="59"/>
      <c r="AU110" s="59"/>
      <c r="AV110" s="59"/>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row>
    <row r="111" spans="3:79" s="67" customFormat="1" ht="12.75">
      <c r="C111" s="375"/>
      <c r="E111" s="375"/>
      <c r="G111" s="375"/>
      <c r="I111" s="375"/>
      <c r="K111" s="375"/>
      <c r="M111" s="375"/>
      <c r="O111" s="375"/>
      <c r="Q111" s="375"/>
      <c r="W111"/>
      <c r="X111"/>
      <c r="Y111" s="229"/>
      <c r="Z111" s="230"/>
      <c r="AA111" s="229"/>
      <c r="AB111" s="229"/>
      <c r="AC111" s="229"/>
      <c r="AD111" s="229"/>
      <c r="AE111" s="229"/>
      <c r="AF111" s="229"/>
      <c r="AG111" s="229"/>
      <c r="AH111" s="229"/>
      <c r="AI111" s="59"/>
      <c r="AJ111" s="59"/>
      <c r="AK111" s="59"/>
      <c r="AL111" s="59"/>
      <c r="AM111" s="59"/>
      <c r="AN111" s="59"/>
      <c r="AO111" s="59"/>
      <c r="AP111" s="59"/>
      <c r="AQ111" s="59"/>
      <c r="AR111" s="59"/>
      <c r="AS111" s="59"/>
      <c r="AT111" s="59"/>
      <c r="AU111" s="59"/>
      <c r="AV111" s="59"/>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row>
    <row r="112" spans="3:79" s="67" customFormat="1" ht="12.75">
      <c r="C112" s="375"/>
      <c r="E112" s="375"/>
      <c r="G112" s="375"/>
      <c r="I112" s="375"/>
      <c r="K112" s="375"/>
      <c r="M112" s="375"/>
      <c r="O112" s="375"/>
      <c r="Q112" s="375"/>
      <c r="W112"/>
      <c r="X112"/>
      <c r="Y112" s="229"/>
      <c r="Z112" s="230"/>
      <c r="AA112" s="229"/>
      <c r="AB112" s="229"/>
      <c r="AC112" s="229"/>
      <c r="AD112" s="229"/>
      <c r="AE112" s="229"/>
      <c r="AF112" s="229"/>
      <c r="AG112" s="229"/>
      <c r="AH112" s="229"/>
      <c r="AI112" s="59"/>
      <c r="AJ112" s="59"/>
      <c r="AK112" s="59"/>
      <c r="AL112" s="59"/>
      <c r="AM112" s="59"/>
      <c r="AN112" s="59"/>
      <c r="AO112" s="59"/>
      <c r="AP112" s="59"/>
      <c r="AQ112" s="59"/>
      <c r="AR112" s="59"/>
      <c r="AS112" s="59"/>
      <c r="AT112" s="59"/>
      <c r="AU112" s="59"/>
      <c r="AV112" s="59"/>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row>
    <row r="113" spans="3:79" s="67" customFormat="1" ht="12.75">
      <c r="C113" s="375"/>
      <c r="E113" s="375"/>
      <c r="G113" s="375"/>
      <c r="I113" s="375"/>
      <c r="K113" s="375"/>
      <c r="M113" s="375"/>
      <c r="O113" s="375"/>
      <c r="Q113" s="375"/>
      <c r="W113"/>
      <c r="X113"/>
      <c r="Y113" s="229"/>
      <c r="Z113" s="230"/>
      <c r="AA113" s="229"/>
      <c r="AB113" s="229"/>
      <c r="AC113" s="229"/>
      <c r="AD113" s="229"/>
      <c r="AE113" s="229"/>
      <c r="AF113" s="229"/>
      <c r="AG113" s="229"/>
      <c r="AH113" s="229"/>
      <c r="AI113" s="59"/>
      <c r="AJ113" s="59"/>
      <c r="AK113" s="59"/>
      <c r="AL113" s="59"/>
      <c r="AM113" s="59"/>
      <c r="AN113" s="59"/>
      <c r="AO113" s="59"/>
      <c r="AP113" s="59"/>
      <c r="AQ113" s="59"/>
      <c r="AR113" s="59"/>
      <c r="AS113" s="59"/>
      <c r="AT113" s="59"/>
      <c r="AU113" s="59"/>
      <c r="AV113" s="59"/>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row>
    <row r="114" spans="3:79" s="67" customFormat="1" ht="12.75">
      <c r="C114" s="375"/>
      <c r="E114" s="375"/>
      <c r="G114" s="375"/>
      <c r="I114" s="375"/>
      <c r="K114" s="375"/>
      <c r="M114" s="375"/>
      <c r="O114" s="375"/>
      <c r="Q114" s="375"/>
      <c r="W114"/>
      <c r="X114"/>
      <c r="Y114" s="229"/>
      <c r="Z114" s="230"/>
      <c r="AA114" s="229"/>
      <c r="AB114" s="229"/>
      <c r="AC114" s="229"/>
      <c r="AD114" s="229"/>
      <c r="AE114" s="229"/>
      <c r="AF114" s="229"/>
      <c r="AG114" s="229"/>
      <c r="AH114" s="229"/>
      <c r="AI114" s="59"/>
      <c r="AJ114" s="59"/>
      <c r="AK114" s="59"/>
      <c r="AL114" s="59"/>
      <c r="AM114" s="59"/>
      <c r="AN114" s="59"/>
      <c r="AO114" s="59"/>
      <c r="AP114" s="59"/>
      <c r="AQ114" s="59"/>
      <c r="AR114" s="59"/>
      <c r="AS114" s="59"/>
      <c r="AT114" s="59"/>
      <c r="AU114" s="59"/>
      <c r="AV114" s="59"/>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row>
    <row r="115" spans="3:79" s="67" customFormat="1" ht="12.75">
      <c r="C115" s="375"/>
      <c r="E115" s="375"/>
      <c r="G115" s="375"/>
      <c r="I115" s="375"/>
      <c r="K115" s="375"/>
      <c r="M115" s="375"/>
      <c r="O115" s="375"/>
      <c r="Q115" s="375"/>
      <c r="W115"/>
      <c r="X115"/>
      <c r="Y115" s="229"/>
      <c r="Z115" s="230"/>
      <c r="AA115" s="229"/>
      <c r="AB115" s="229"/>
      <c r="AC115" s="229"/>
      <c r="AD115" s="229"/>
      <c r="AE115" s="229"/>
      <c r="AF115" s="229"/>
      <c r="AG115" s="229"/>
      <c r="AH115" s="229"/>
      <c r="AI115" s="59"/>
      <c r="AJ115" s="59"/>
      <c r="AK115" s="59"/>
      <c r="AL115" s="59"/>
      <c r="AM115" s="59"/>
      <c r="AN115" s="59"/>
      <c r="AO115" s="59"/>
      <c r="AP115" s="59"/>
      <c r="AQ115" s="59"/>
      <c r="AR115" s="59"/>
      <c r="AS115" s="59"/>
      <c r="AT115" s="59"/>
      <c r="AU115" s="59"/>
      <c r="AV115" s="59"/>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row>
    <row r="116" spans="3:79" s="67" customFormat="1" ht="12.75">
      <c r="C116" s="375"/>
      <c r="E116" s="375"/>
      <c r="G116" s="375"/>
      <c r="I116" s="375"/>
      <c r="K116" s="375"/>
      <c r="M116" s="375"/>
      <c r="O116" s="375"/>
      <c r="Q116" s="375"/>
      <c r="W116"/>
      <c r="X116"/>
      <c r="Y116" s="229"/>
      <c r="Z116" s="230"/>
      <c r="AA116" s="229"/>
      <c r="AB116" s="229"/>
      <c r="AC116" s="229"/>
      <c r="AD116" s="229"/>
      <c r="AE116" s="229"/>
      <c r="AF116" s="229"/>
      <c r="AG116" s="229"/>
      <c r="AH116" s="229"/>
      <c r="AI116" s="59"/>
      <c r="AJ116" s="59"/>
      <c r="AK116" s="59"/>
      <c r="AL116" s="59"/>
      <c r="AM116" s="59"/>
      <c r="AN116" s="59"/>
      <c r="AO116" s="59"/>
      <c r="AP116" s="59"/>
      <c r="AQ116" s="59"/>
      <c r="AR116" s="59"/>
      <c r="AS116" s="59"/>
      <c r="AT116" s="59"/>
      <c r="AU116" s="59"/>
      <c r="AV116" s="59"/>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row>
    <row r="117" spans="3:79" s="67" customFormat="1" ht="12.75">
      <c r="C117" s="375"/>
      <c r="E117" s="375"/>
      <c r="G117" s="375"/>
      <c r="I117" s="375"/>
      <c r="K117" s="375"/>
      <c r="M117" s="375"/>
      <c r="O117" s="375"/>
      <c r="Q117" s="375"/>
      <c r="W117"/>
      <c r="X117"/>
      <c r="Y117" s="229"/>
      <c r="Z117" s="230"/>
      <c r="AA117" s="229"/>
      <c r="AB117" s="229"/>
      <c r="AC117" s="229"/>
      <c r="AD117" s="229"/>
      <c r="AE117" s="229"/>
      <c r="AF117" s="229"/>
      <c r="AG117" s="229"/>
      <c r="AH117" s="229"/>
      <c r="AI117" s="59"/>
      <c r="AJ117" s="59"/>
      <c r="AK117" s="59"/>
      <c r="AL117" s="59"/>
      <c r="AM117" s="59"/>
      <c r="AN117" s="59"/>
      <c r="AO117" s="59"/>
      <c r="AP117" s="59"/>
      <c r="AQ117" s="59"/>
      <c r="AR117" s="59"/>
      <c r="AS117" s="59"/>
      <c r="AT117" s="59"/>
      <c r="AU117" s="59"/>
      <c r="AV117" s="59"/>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row>
    <row r="118" spans="3:79" s="67" customFormat="1" ht="12.75">
      <c r="C118" s="375"/>
      <c r="E118" s="375"/>
      <c r="G118" s="375"/>
      <c r="I118" s="375"/>
      <c r="K118" s="375"/>
      <c r="M118" s="375"/>
      <c r="O118" s="375"/>
      <c r="Q118" s="375"/>
      <c r="W118"/>
      <c r="X118"/>
      <c r="Y118" s="229"/>
      <c r="Z118" s="230"/>
      <c r="AA118" s="229"/>
      <c r="AB118" s="229"/>
      <c r="AC118" s="229"/>
      <c r="AD118" s="229"/>
      <c r="AE118" s="229"/>
      <c r="AF118" s="229"/>
      <c r="AG118" s="229"/>
      <c r="AH118" s="229"/>
      <c r="AI118" s="59"/>
      <c r="AJ118" s="59"/>
      <c r="AK118" s="59"/>
      <c r="AL118" s="59"/>
      <c r="AM118" s="59"/>
      <c r="AN118" s="59"/>
      <c r="AO118" s="59"/>
      <c r="AP118" s="59"/>
      <c r="AQ118" s="59"/>
      <c r="AR118" s="59"/>
      <c r="AS118" s="59"/>
      <c r="AT118" s="59"/>
      <c r="AU118" s="59"/>
      <c r="AV118" s="59"/>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row>
    <row r="119" spans="3:79" s="67" customFormat="1" ht="12.75">
      <c r="C119" s="375"/>
      <c r="E119" s="375"/>
      <c r="G119" s="375"/>
      <c r="I119" s="375"/>
      <c r="K119" s="375"/>
      <c r="M119" s="375"/>
      <c r="O119" s="375"/>
      <c r="Q119" s="375"/>
      <c r="W119"/>
      <c r="X119"/>
      <c r="Y119" s="229"/>
      <c r="Z119" s="230"/>
      <c r="AA119" s="229"/>
      <c r="AB119" s="229"/>
      <c r="AC119" s="229"/>
      <c r="AD119" s="229"/>
      <c r="AE119" s="229"/>
      <c r="AF119" s="229"/>
      <c r="AG119" s="229"/>
      <c r="AH119" s="229"/>
      <c r="AI119" s="59"/>
      <c r="AJ119" s="59"/>
      <c r="AK119" s="59"/>
      <c r="AL119" s="59"/>
      <c r="AM119" s="59"/>
      <c r="AN119" s="59"/>
      <c r="AO119" s="59"/>
      <c r="AP119" s="59"/>
      <c r="AQ119" s="59"/>
      <c r="AR119" s="59"/>
      <c r="AS119" s="59"/>
      <c r="AT119" s="59"/>
      <c r="AU119" s="59"/>
      <c r="AV119" s="5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row>
    <row r="120" spans="3:79" s="67" customFormat="1" ht="12.75">
      <c r="C120" s="375"/>
      <c r="E120" s="375"/>
      <c r="G120" s="375"/>
      <c r="I120" s="375"/>
      <c r="K120" s="375"/>
      <c r="M120" s="375"/>
      <c r="O120" s="375"/>
      <c r="Q120" s="375"/>
      <c r="W120"/>
      <c r="X120"/>
      <c r="Y120" s="229"/>
      <c r="Z120" s="230"/>
      <c r="AA120" s="229"/>
      <c r="AB120" s="229"/>
      <c r="AC120" s="229"/>
      <c r="AD120" s="229"/>
      <c r="AE120" s="229"/>
      <c r="AF120" s="229"/>
      <c r="AG120" s="229"/>
      <c r="AH120" s="229"/>
      <c r="AI120" s="59"/>
      <c r="AJ120" s="59"/>
      <c r="AK120" s="59"/>
      <c r="AL120" s="59"/>
      <c r="AM120" s="59"/>
      <c r="AN120" s="59"/>
      <c r="AO120" s="59"/>
      <c r="AP120" s="59"/>
      <c r="AQ120" s="59"/>
      <c r="AR120" s="59"/>
      <c r="AS120" s="59"/>
      <c r="AT120" s="59"/>
      <c r="AU120" s="59"/>
      <c r="AV120" s="59"/>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row>
    <row r="121" spans="3:79" s="67" customFormat="1" ht="12.75">
      <c r="C121" s="375"/>
      <c r="E121" s="375"/>
      <c r="G121" s="375"/>
      <c r="I121" s="375"/>
      <c r="K121" s="375"/>
      <c r="M121" s="375"/>
      <c r="O121" s="375"/>
      <c r="Q121" s="375"/>
      <c r="W121"/>
      <c r="X121"/>
      <c r="Y121" s="229"/>
      <c r="Z121" s="230"/>
      <c r="AA121" s="229"/>
      <c r="AB121" s="229"/>
      <c r="AC121" s="229"/>
      <c r="AD121" s="229"/>
      <c r="AE121" s="229"/>
      <c r="AF121" s="229"/>
      <c r="AG121" s="229"/>
      <c r="AH121" s="229"/>
      <c r="AI121" s="59"/>
      <c r="AJ121" s="59"/>
      <c r="AK121" s="59"/>
      <c r="AL121" s="59"/>
      <c r="AM121" s="59"/>
      <c r="AN121" s="59"/>
      <c r="AO121" s="59"/>
      <c r="AP121" s="59"/>
      <c r="AQ121" s="59"/>
      <c r="AR121" s="59"/>
      <c r="AS121" s="59"/>
      <c r="AT121" s="59"/>
      <c r="AU121" s="59"/>
      <c r="AV121" s="59"/>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row>
    <row r="122" spans="3:79" s="67" customFormat="1" ht="12.75">
      <c r="C122" s="375"/>
      <c r="E122" s="375"/>
      <c r="G122" s="375"/>
      <c r="I122" s="375"/>
      <c r="K122" s="375"/>
      <c r="M122" s="375"/>
      <c r="O122" s="375"/>
      <c r="Q122" s="375"/>
      <c r="W122"/>
      <c r="X122"/>
      <c r="Y122" s="229"/>
      <c r="Z122" s="230"/>
      <c r="AA122" s="229"/>
      <c r="AB122" s="229"/>
      <c r="AC122" s="229"/>
      <c r="AD122" s="229"/>
      <c r="AE122" s="229"/>
      <c r="AF122" s="229"/>
      <c r="AG122" s="229"/>
      <c r="AH122" s="229"/>
      <c r="AI122" s="59"/>
      <c r="AJ122" s="59"/>
      <c r="AK122" s="59"/>
      <c r="AL122" s="59"/>
      <c r="AM122" s="59"/>
      <c r="AN122" s="59"/>
      <c r="AO122" s="59"/>
      <c r="AP122" s="59"/>
      <c r="AQ122" s="59"/>
      <c r="AR122" s="59"/>
      <c r="AS122" s="59"/>
      <c r="AT122" s="59"/>
      <c r="AU122" s="59"/>
      <c r="AV122" s="59"/>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row>
    <row r="123" spans="3:79" s="67" customFormat="1" ht="12.75">
      <c r="C123" s="375"/>
      <c r="E123" s="375"/>
      <c r="G123" s="375"/>
      <c r="I123" s="375"/>
      <c r="K123" s="375"/>
      <c r="M123" s="375"/>
      <c r="O123" s="375"/>
      <c r="Q123" s="375"/>
      <c r="W123"/>
      <c r="X123"/>
      <c r="Y123" s="229"/>
      <c r="Z123" s="230"/>
      <c r="AA123" s="229"/>
      <c r="AB123" s="229"/>
      <c r="AC123" s="229"/>
      <c r="AD123" s="229"/>
      <c r="AE123" s="229"/>
      <c r="AF123" s="229"/>
      <c r="AG123" s="229"/>
      <c r="AH123" s="229"/>
      <c r="AI123" s="59"/>
      <c r="AJ123" s="59"/>
      <c r="AK123" s="59"/>
      <c r="AL123" s="59"/>
      <c r="AM123" s="59"/>
      <c r="AN123" s="59"/>
      <c r="AO123" s="59"/>
      <c r="AP123" s="59"/>
      <c r="AQ123" s="59"/>
      <c r="AR123" s="59"/>
      <c r="AS123" s="59"/>
      <c r="AT123" s="59"/>
      <c r="AU123" s="59"/>
      <c r="AV123" s="59"/>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row>
    <row r="124" spans="3:79" s="67" customFormat="1" ht="12.75">
      <c r="C124" s="375"/>
      <c r="E124" s="375"/>
      <c r="G124" s="375"/>
      <c r="I124" s="375"/>
      <c r="K124" s="375"/>
      <c r="M124" s="375"/>
      <c r="O124" s="375"/>
      <c r="Q124" s="375"/>
      <c r="W124"/>
      <c r="X124"/>
      <c r="Y124" s="229"/>
      <c r="Z124" s="230"/>
      <c r="AA124" s="229"/>
      <c r="AB124" s="229"/>
      <c r="AC124" s="229"/>
      <c r="AD124" s="229"/>
      <c r="AE124" s="229"/>
      <c r="AF124" s="229"/>
      <c r="AG124" s="229"/>
      <c r="AH124" s="229"/>
      <c r="AI124" s="59"/>
      <c r="AJ124" s="59"/>
      <c r="AK124" s="59"/>
      <c r="AL124" s="59"/>
      <c r="AM124" s="59"/>
      <c r="AN124" s="59"/>
      <c r="AO124" s="59"/>
      <c r="AP124" s="59"/>
      <c r="AQ124" s="59"/>
      <c r="AR124" s="59"/>
      <c r="AS124" s="59"/>
      <c r="AT124" s="59"/>
      <c r="AU124" s="59"/>
      <c r="AV124" s="59"/>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row>
    <row r="125" spans="3:79" s="67" customFormat="1" ht="12.75">
      <c r="C125" s="375"/>
      <c r="E125" s="375"/>
      <c r="G125" s="375"/>
      <c r="I125" s="375"/>
      <c r="K125" s="375"/>
      <c r="M125" s="375"/>
      <c r="O125" s="375"/>
      <c r="Q125" s="375"/>
      <c r="W125"/>
      <c r="X125"/>
      <c r="Y125" s="229"/>
      <c r="Z125" s="230"/>
      <c r="AA125" s="229"/>
      <c r="AB125" s="229"/>
      <c r="AC125" s="229"/>
      <c r="AD125" s="229"/>
      <c r="AE125" s="229"/>
      <c r="AF125" s="229"/>
      <c r="AG125" s="229"/>
      <c r="AH125" s="229"/>
      <c r="AI125" s="59"/>
      <c r="AJ125" s="59"/>
      <c r="AK125" s="59"/>
      <c r="AL125" s="59"/>
      <c r="AM125" s="59"/>
      <c r="AN125" s="59"/>
      <c r="AO125" s="59"/>
      <c r="AP125" s="59"/>
      <c r="AQ125" s="59"/>
      <c r="AR125" s="59"/>
      <c r="AS125" s="59"/>
      <c r="AT125" s="59"/>
      <c r="AU125" s="59"/>
      <c r="AV125" s="59"/>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row>
    <row r="126" spans="3:79" s="67" customFormat="1" ht="12.75">
      <c r="C126" s="375"/>
      <c r="E126" s="375"/>
      <c r="G126" s="375"/>
      <c r="I126" s="375"/>
      <c r="K126" s="375"/>
      <c r="M126" s="375"/>
      <c r="O126" s="375"/>
      <c r="Q126" s="375"/>
      <c r="W126"/>
      <c r="X126"/>
      <c r="Y126" s="229"/>
      <c r="Z126" s="230"/>
      <c r="AA126" s="229"/>
      <c r="AB126" s="229"/>
      <c r="AC126" s="229"/>
      <c r="AD126" s="229"/>
      <c r="AE126" s="229"/>
      <c r="AF126" s="229"/>
      <c r="AG126" s="229"/>
      <c r="AH126" s="229"/>
      <c r="AI126" s="59"/>
      <c r="AJ126" s="59"/>
      <c r="AK126" s="59"/>
      <c r="AL126" s="59"/>
      <c r="AM126" s="59"/>
      <c r="AN126" s="59"/>
      <c r="AO126" s="59"/>
      <c r="AP126" s="59"/>
      <c r="AQ126" s="59"/>
      <c r="AR126" s="59"/>
      <c r="AS126" s="59"/>
      <c r="AT126" s="59"/>
      <c r="AU126" s="59"/>
      <c r="AV126" s="59"/>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row>
    <row r="127" spans="3:79" s="67" customFormat="1" ht="12.75">
      <c r="C127" s="375"/>
      <c r="E127" s="375"/>
      <c r="G127" s="375"/>
      <c r="I127" s="375"/>
      <c r="K127" s="375"/>
      <c r="M127" s="375"/>
      <c r="O127" s="375"/>
      <c r="Q127" s="375"/>
      <c r="W127"/>
      <c r="X127"/>
      <c r="Y127" s="229"/>
      <c r="Z127" s="230"/>
      <c r="AA127" s="229"/>
      <c r="AB127" s="229"/>
      <c r="AC127" s="229"/>
      <c r="AD127" s="229"/>
      <c r="AE127" s="229"/>
      <c r="AF127" s="229"/>
      <c r="AG127" s="229"/>
      <c r="AH127" s="229"/>
      <c r="AI127" s="59"/>
      <c r="AJ127" s="59"/>
      <c r="AK127" s="59"/>
      <c r="AL127" s="59"/>
      <c r="AM127" s="59"/>
      <c r="AN127" s="59"/>
      <c r="AO127" s="59"/>
      <c r="AP127" s="59"/>
      <c r="AQ127" s="59"/>
      <c r="AR127" s="59"/>
      <c r="AS127" s="59"/>
      <c r="AT127" s="59"/>
      <c r="AU127" s="59"/>
      <c r="AV127" s="59"/>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row>
    <row r="128" spans="3:79" s="67" customFormat="1" ht="12.75">
      <c r="C128" s="375"/>
      <c r="E128" s="375"/>
      <c r="G128" s="375"/>
      <c r="I128" s="375"/>
      <c r="K128" s="375"/>
      <c r="M128" s="375"/>
      <c r="O128" s="375"/>
      <c r="Q128" s="375"/>
      <c r="W128"/>
      <c r="X128"/>
      <c r="Y128" s="229"/>
      <c r="Z128" s="230"/>
      <c r="AA128" s="229"/>
      <c r="AB128" s="229"/>
      <c r="AC128" s="229"/>
      <c r="AD128" s="229"/>
      <c r="AE128" s="229"/>
      <c r="AF128" s="229"/>
      <c r="AG128" s="229"/>
      <c r="AH128" s="229"/>
      <c r="AI128" s="59"/>
      <c r="AJ128" s="59"/>
      <c r="AK128" s="59"/>
      <c r="AL128" s="59"/>
      <c r="AM128" s="59"/>
      <c r="AN128" s="59"/>
      <c r="AO128" s="59"/>
      <c r="AP128" s="59"/>
      <c r="AQ128" s="59"/>
      <c r="AR128" s="59"/>
      <c r="AS128" s="59"/>
      <c r="AT128" s="59"/>
      <c r="AU128" s="59"/>
      <c r="AV128" s="59"/>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row>
    <row r="129" spans="3:79" s="67" customFormat="1" ht="12.75">
      <c r="C129" s="375"/>
      <c r="E129" s="375"/>
      <c r="G129" s="375"/>
      <c r="I129" s="375"/>
      <c r="K129" s="375"/>
      <c r="M129" s="375"/>
      <c r="O129" s="375"/>
      <c r="Q129" s="375"/>
      <c r="W129"/>
      <c r="X129"/>
      <c r="Y129" s="229"/>
      <c r="Z129" s="230"/>
      <c r="AA129" s="229"/>
      <c r="AB129" s="229"/>
      <c r="AC129" s="229"/>
      <c r="AD129" s="229"/>
      <c r="AE129" s="229"/>
      <c r="AF129" s="229"/>
      <c r="AG129" s="229"/>
      <c r="AH129" s="229"/>
      <c r="AI129" s="59"/>
      <c r="AJ129" s="59"/>
      <c r="AK129" s="59"/>
      <c r="AL129" s="59"/>
      <c r="AM129" s="59"/>
      <c r="AN129" s="59"/>
      <c r="AO129" s="59"/>
      <c r="AP129" s="59"/>
      <c r="AQ129" s="59"/>
      <c r="AR129" s="59"/>
      <c r="AS129" s="59"/>
      <c r="AT129" s="59"/>
      <c r="AU129" s="59"/>
      <c r="AV129" s="5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row>
    <row r="130" spans="3:79" s="67" customFormat="1" ht="12.75">
      <c r="C130" s="375"/>
      <c r="E130" s="375"/>
      <c r="G130" s="375"/>
      <c r="I130" s="375"/>
      <c r="K130" s="375"/>
      <c r="M130" s="375"/>
      <c r="O130" s="375"/>
      <c r="Q130" s="375"/>
      <c r="W130"/>
      <c r="X130"/>
      <c r="Y130" s="229"/>
      <c r="Z130" s="230"/>
      <c r="AA130" s="229"/>
      <c r="AB130" s="229"/>
      <c r="AC130" s="229"/>
      <c r="AD130" s="229"/>
      <c r="AE130" s="229"/>
      <c r="AF130" s="229"/>
      <c r="AG130" s="229"/>
      <c r="AH130" s="229"/>
      <c r="AI130" s="59"/>
      <c r="AJ130" s="59"/>
      <c r="AK130" s="59"/>
      <c r="AL130" s="59"/>
      <c r="AM130" s="59"/>
      <c r="AN130" s="59"/>
      <c r="AO130" s="59"/>
      <c r="AP130" s="59"/>
      <c r="AQ130" s="59"/>
      <c r="AR130" s="59"/>
      <c r="AS130" s="59"/>
      <c r="AT130" s="59"/>
      <c r="AU130" s="59"/>
      <c r="AV130" s="59"/>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row>
    <row r="131" spans="3:79" s="67" customFormat="1" ht="12.75">
      <c r="C131" s="375"/>
      <c r="E131" s="375"/>
      <c r="G131" s="375"/>
      <c r="I131" s="375"/>
      <c r="K131" s="375"/>
      <c r="M131" s="375"/>
      <c r="O131" s="375"/>
      <c r="Q131" s="375"/>
      <c r="W131"/>
      <c r="X131"/>
      <c r="Y131" s="229"/>
      <c r="Z131" s="230"/>
      <c r="AA131" s="229"/>
      <c r="AB131" s="229"/>
      <c r="AC131" s="229"/>
      <c r="AD131" s="229"/>
      <c r="AE131" s="229"/>
      <c r="AF131" s="229"/>
      <c r="AG131" s="229"/>
      <c r="AH131" s="229"/>
      <c r="AI131" s="59"/>
      <c r="AJ131" s="59"/>
      <c r="AK131" s="59"/>
      <c r="AL131" s="59"/>
      <c r="AM131" s="59"/>
      <c r="AN131" s="59"/>
      <c r="AO131" s="59"/>
      <c r="AP131" s="59"/>
      <c r="AQ131" s="59"/>
      <c r="AR131" s="59"/>
      <c r="AS131" s="59"/>
      <c r="AT131" s="59"/>
      <c r="AU131" s="59"/>
      <c r="AV131" s="59"/>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row>
    <row r="132" spans="3:79" s="67" customFormat="1" ht="12.75">
      <c r="C132" s="375"/>
      <c r="E132" s="375"/>
      <c r="G132" s="375"/>
      <c r="I132" s="375"/>
      <c r="K132" s="375"/>
      <c r="M132" s="375"/>
      <c r="O132" s="375"/>
      <c r="Q132" s="375"/>
      <c r="W132"/>
      <c r="X132"/>
      <c r="Y132" s="229"/>
      <c r="Z132" s="230"/>
      <c r="AA132" s="229"/>
      <c r="AB132" s="229"/>
      <c r="AC132" s="229"/>
      <c r="AD132" s="229"/>
      <c r="AE132" s="229"/>
      <c r="AF132" s="229"/>
      <c r="AG132" s="229"/>
      <c r="AH132" s="229"/>
      <c r="AI132" s="59"/>
      <c r="AJ132" s="59"/>
      <c r="AK132" s="59"/>
      <c r="AL132" s="59"/>
      <c r="AM132" s="59"/>
      <c r="AN132" s="59"/>
      <c r="AO132" s="59"/>
      <c r="AP132" s="59"/>
      <c r="AQ132" s="59"/>
      <c r="AR132" s="59"/>
      <c r="AS132" s="59"/>
      <c r="AT132" s="59"/>
      <c r="AU132" s="59"/>
      <c r="AV132" s="59"/>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row>
    <row r="133" spans="3:79" s="67" customFormat="1" ht="12.75">
      <c r="C133" s="375"/>
      <c r="E133" s="375"/>
      <c r="G133" s="375"/>
      <c r="I133" s="375"/>
      <c r="K133" s="375"/>
      <c r="M133" s="375"/>
      <c r="O133" s="375"/>
      <c r="Q133" s="375"/>
      <c r="W133"/>
      <c r="X133"/>
      <c r="Y133" s="229"/>
      <c r="Z133" s="230"/>
      <c r="AA133" s="229"/>
      <c r="AB133" s="229"/>
      <c r="AC133" s="229"/>
      <c r="AD133" s="229"/>
      <c r="AE133" s="229"/>
      <c r="AF133" s="229"/>
      <c r="AG133" s="229"/>
      <c r="AH133" s="229"/>
      <c r="AI133" s="59"/>
      <c r="AJ133" s="59"/>
      <c r="AK133" s="59"/>
      <c r="AL133" s="59"/>
      <c r="AM133" s="59"/>
      <c r="AN133" s="59"/>
      <c r="AO133" s="59"/>
      <c r="AP133" s="59"/>
      <c r="AQ133" s="59"/>
      <c r="AR133" s="59"/>
      <c r="AS133" s="59"/>
      <c r="AT133" s="59"/>
      <c r="AU133" s="59"/>
      <c r="AV133" s="59"/>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row>
    <row r="134" spans="3:79" s="67" customFormat="1" ht="12.75">
      <c r="C134" s="375"/>
      <c r="E134" s="375"/>
      <c r="G134" s="375"/>
      <c r="I134" s="375"/>
      <c r="K134" s="375"/>
      <c r="M134" s="375"/>
      <c r="O134" s="375"/>
      <c r="Q134" s="375"/>
      <c r="W134"/>
      <c r="X134"/>
      <c r="Y134" s="229"/>
      <c r="Z134" s="230"/>
      <c r="AA134" s="229"/>
      <c r="AB134" s="229"/>
      <c r="AC134" s="229"/>
      <c r="AD134" s="229"/>
      <c r="AE134" s="229"/>
      <c r="AF134" s="229"/>
      <c r="AG134" s="229"/>
      <c r="AH134" s="229"/>
      <c r="AI134" s="59"/>
      <c r="AJ134" s="59"/>
      <c r="AK134" s="59"/>
      <c r="AL134" s="59"/>
      <c r="AM134" s="59"/>
      <c r="AN134" s="59"/>
      <c r="AO134" s="59"/>
      <c r="AP134" s="59"/>
      <c r="AQ134" s="59"/>
      <c r="AR134" s="59"/>
      <c r="AS134" s="59"/>
      <c r="AT134" s="59"/>
      <c r="AU134" s="59"/>
      <c r="AV134" s="59"/>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row>
    <row r="135" spans="3:79" s="67" customFormat="1" ht="12.75">
      <c r="C135" s="375"/>
      <c r="E135" s="375"/>
      <c r="G135" s="375"/>
      <c r="I135" s="375"/>
      <c r="K135" s="375"/>
      <c r="M135" s="375"/>
      <c r="O135" s="375"/>
      <c r="Q135" s="375"/>
      <c r="W135"/>
      <c r="X135"/>
      <c r="Y135" s="229"/>
      <c r="Z135" s="230"/>
      <c r="AA135" s="229"/>
      <c r="AB135" s="229"/>
      <c r="AC135" s="229"/>
      <c r="AD135" s="229"/>
      <c r="AE135" s="229"/>
      <c r="AF135" s="229"/>
      <c r="AG135" s="229"/>
      <c r="AH135" s="229"/>
      <c r="AI135" s="59"/>
      <c r="AJ135" s="59"/>
      <c r="AK135" s="59"/>
      <c r="AL135" s="59"/>
      <c r="AM135" s="59"/>
      <c r="AN135" s="59"/>
      <c r="AO135" s="59"/>
      <c r="AP135" s="59"/>
      <c r="AQ135" s="59"/>
      <c r="AR135" s="59"/>
      <c r="AS135" s="59"/>
      <c r="AT135" s="59"/>
      <c r="AU135" s="59"/>
      <c r="AV135" s="59"/>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row>
    <row r="136" spans="3:79" s="67" customFormat="1" ht="12.75">
      <c r="C136" s="375"/>
      <c r="E136" s="375"/>
      <c r="G136" s="375"/>
      <c r="I136" s="375"/>
      <c r="K136" s="375"/>
      <c r="M136" s="375"/>
      <c r="O136" s="375"/>
      <c r="Q136" s="375"/>
      <c r="W136"/>
      <c r="X136"/>
      <c r="Y136" s="229"/>
      <c r="Z136" s="230"/>
      <c r="AA136" s="229"/>
      <c r="AB136" s="229"/>
      <c r="AC136" s="229"/>
      <c r="AD136" s="229"/>
      <c r="AE136" s="229"/>
      <c r="AF136" s="229"/>
      <c r="AG136" s="229"/>
      <c r="AH136" s="229"/>
      <c r="AI136" s="59"/>
      <c r="AJ136" s="59"/>
      <c r="AK136" s="59"/>
      <c r="AL136" s="59"/>
      <c r="AM136" s="59"/>
      <c r="AN136" s="59"/>
      <c r="AO136" s="59"/>
      <c r="AP136" s="59"/>
      <c r="AQ136" s="59"/>
      <c r="AR136" s="59"/>
      <c r="AS136" s="59"/>
      <c r="AT136" s="59"/>
      <c r="AU136" s="59"/>
      <c r="AV136" s="59"/>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row>
    <row r="137" spans="3:79" s="67" customFormat="1" ht="12.75">
      <c r="C137" s="375"/>
      <c r="E137" s="375"/>
      <c r="G137" s="375"/>
      <c r="I137" s="375"/>
      <c r="K137" s="375"/>
      <c r="M137" s="375"/>
      <c r="O137" s="375"/>
      <c r="Q137" s="375"/>
      <c r="W137"/>
      <c r="X137"/>
      <c r="Y137" s="229"/>
      <c r="Z137" s="230"/>
      <c r="AA137" s="229"/>
      <c r="AB137" s="229"/>
      <c r="AC137" s="229"/>
      <c r="AD137" s="229"/>
      <c r="AE137" s="229"/>
      <c r="AF137" s="229"/>
      <c r="AG137" s="229"/>
      <c r="AH137" s="229"/>
      <c r="AI137" s="59"/>
      <c r="AJ137" s="59"/>
      <c r="AK137" s="59"/>
      <c r="AL137" s="59"/>
      <c r="AM137" s="59"/>
      <c r="AN137" s="59"/>
      <c r="AO137" s="59"/>
      <c r="AP137" s="59"/>
      <c r="AQ137" s="59"/>
      <c r="AR137" s="59"/>
      <c r="AS137" s="59"/>
      <c r="AT137" s="59"/>
      <c r="AU137" s="59"/>
      <c r="AV137" s="59"/>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row>
    <row r="138" spans="3:79" s="67" customFormat="1" ht="12.75">
      <c r="C138" s="375"/>
      <c r="E138" s="375"/>
      <c r="G138" s="375"/>
      <c r="I138" s="375"/>
      <c r="K138" s="375"/>
      <c r="M138" s="375"/>
      <c r="O138" s="375"/>
      <c r="Q138" s="375"/>
      <c r="W138"/>
      <c r="X138"/>
      <c r="Y138" s="229"/>
      <c r="Z138" s="230"/>
      <c r="AA138" s="229"/>
      <c r="AB138" s="229"/>
      <c r="AC138" s="229"/>
      <c r="AD138" s="229"/>
      <c r="AE138" s="229"/>
      <c r="AF138" s="229"/>
      <c r="AG138" s="229"/>
      <c r="AH138" s="229"/>
      <c r="AI138" s="59"/>
      <c r="AJ138" s="59"/>
      <c r="AK138" s="59"/>
      <c r="AL138" s="59"/>
      <c r="AM138" s="59"/>
      <c r="AN138" s="59"/>
      <c r="AO138" s="59"/>
      <c r="AP138" s="59"/>
      <c r="AQ138" s="59"/>
      <c r="AR138" s="59"/>
      <c r="AS138" s="59"/>
      <c r="AT138" s="59"/>
      <c r="AU138" s="59"/>
      <c r="AV138" s="59"/>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row>
    <row r="139" spans="1:79" s="67" customFormat="1" ht="21.75">
      <c r="A139" s="130"/>
      <c r="B139" s="130"/>
      <c r="C139" s="376"/>
      <c r="D139" s="130"/>
      <c r="E139" s="376"/>
      <c r="F139" s="130"/>
      <c r="G139" s="376"/>
      <c r="H139" s="130"/>
      <c r="I139" s="376"/>
      <c r="J139" s="130"/>
      <c r="K139" s="376"/>
      <c r="L139" s="130"/>
      <c r="M139" s="376"/>
      <c r="N139" s="130"/>
      <c r="O139" s="376"/>
      <c r="P139" s="130"/>
      <c r="Q139" s="376"/>
      <c r="R139" s="130"/>
      <c r="S139" s="130"/>
      <c r="T139" s="130"/>
      <c r="U139" s="130"/>
      <c r="W139"/>
      <c r="X139"/>
      <c r="Y139" s="229"/>
      <c r="Z139" s="230"/>
      <c r="AA139" s="229"/>
      <c r="AB139" s="229"/>
      <c r="AC139" s="229"/>
      <c r="AD139" s="229"/>
      <c r="AE139" s="229"/>
      <c r="AF139" s="229"/>
      <c r="AG139" s="229"/>
      <c r="AH139" s="229"/>
      <c r="AI139" s="59"/>
      <c r="AJ139" s="59"/>
      <c r="AK139" s="59"/>
      <c r="AL139" s="59"/>
      <c r="AM139" s="59"/>
      <c r="AN139" s="59"/>
      <c r="AO139" s="59"/>
      <c r="AP139" s="59"/>
      <c r="AQ139" s="59"/>
      <c r="AR139" s="59"/>
      <c r="AS139" s="59"/>
      <c r="AT139" s="59"/>
      <c r="AU139" s="59"/>
      <c r="AV139" s="5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row>
    <row r="140" spans="1:79" s="67" customFormat="1" ht="21.75">
      <c r="A140" s="130"/>
      <c r="B140" s="130"/>
      <c r="C140" s="376"/>
      <c r="D140" s="130"/>
      <c r="E140" s="376"/>
      <c r="F140" s="130"/>
      <c r="G140" s="376"/>
      <c r="H140" s="130"/>
      <c r="I140" s="376"/>
      <c r="J140" s="130"/>
      <c r="K140" s="376"/>
      <c r="L140" s="130"/>
      <c r="M140" s="376"/>
      <c r="N140" s="130"/>
      <c r="O140" s="376"/>
      <c r="P140" s="130"/>
      <c r="Q140" s="376"/>
      <c r="R140" s="130"/>
      <c r="S140" s="130"/>
      <c r="T140" s="130"/>
      <c r="U140" s="130"/>
      <c r="W140"/>
      <c r="X140"/>
      <c r="Y140" s="229"/>
      <c r="Z140" s="230"/>
      <c r="AA140" s="229"/>
      <c r="AB140" s="229"/>
      <c r="AC140" s="229"/>
      <c r="AD140" s="229"/>
      <c r="AE140" s="229"/>
      <c r="AF140" s="229"/>
      <c r="AG140" s="229"/>
      <c r="AH140" s="229"/>
      <c r="AI140" s="59"/>
      <c r="AJ140" s="59"/>
      <c r="AK140" s="59"/>
      <c r="AL140" s="59"/>
      <c r="AM140" s="59"/>
      <c r="AN140" s="59"/>
      <c r="AO140" s="59"/>
      <c r="AP140" s="59"/>
      <c r="AQ140" s="59"/>
      <c r="AR140" s="59"/>
      <c r="AS140" s="59"/>
      <c r="AT140" s="59"/>
      <c r="AU140" s="59"/>
      <c r="AV140" s="59"/>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row>
    <row r="141" spans="1:79" s="67" customFormat="1" ht="21.75">
      <c r="A141" s="130"/>
      <c r="B141" s="130"/>
      <c r="C141" s="376"/>
      <c r="D141" s="130"/>
      <c r="E141" s="376"/>
      <c r="F141" s="130"/>
      <c r="G141" s="376"/>
      <c r="H141" s="130"/>
      <c r="I141" s="376"/>
      <c r="J141" s="130"/>
      <c r="K141" s="376"/>
      <c r="L141" s="130"/>
      <c r="M141" s="376"/>
      <c r="N141" s="130"/>
      <c r="O141" s="376"/>
      <c r="P141" s="130"/>
      <c r="Q141" s="376"/>
      <c r="R141" s="130"/>
      <c r="S141" s="130"/>
      <c r="T141" s="130"/>
      <c r="U141" s="130"/>
      <c r="W141"/>
      <c r="X141"/>
      <c r="Y141" s="229"/>
      <c r="Z141" s="230"/>
      <c r="AA141" s="229"/>
      <c r="AB141" s="229"/>
      <c r="AC141" s="229"/>
      <c r="AD141" s="229"/>
      <c r="AE141" s="229"/>
      <c r="AF141" s="229"/>
      <c r="AG141" s="229"/>
      <c r="AH141" s="229"/>
      <c r="AI141" s="59"/>
      <c r="AJ141" s="59"/>
      <c r="AK141" s="59"/>
      <c r="AL141" s="59"/>
      <c r="AM141" s="59"/>
      <c r="AN141" s="59"/>
      <c r="AO141" s="59"/>
      <c r="AP141" s="59"/>
      <c r="AQ141" s="59"/>
      <c r="AR141" s="59"/>
      <c r="AS141" s="59"/>
      <c r="AT141" s="59"/>
      <c r="AU141" s="59"/>
      <c r="AV141" s="59"/>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row>
  </sheetData>
  <sheetProtection/>
  <mergeCells count="11">
    <mergeCell ref="N2:O2"/>
    <mergeCell ref="A2:A3"/>
    <mergeCell ref="B2:C2"/>
    <mergeCell ref="D2:E2"/>
    <mergeCell ref="F2:G2"/>
    <mergeCell ref="R2:S2"/>
    <mergeCell ref="T2:U2"/>
    <mergeCell ref="H2:I2"/>
    <mergeCell ref="L2:M2"/>
    <mergeCell ref="P2:Q2"/>
    <mergeCell ref="J2:K2"/>
  </mergeCells>
  <printOptions horizontalCentered="1"/>
  <pageMargins left="0" right="0" top="0" bottom="0.05" header="0.39" footer="0.4"/>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tabColor indexed="13"/>
  </sheetPr>
  <dimension ref="A1:H243"/>
  <sheetViews>
    <sheetView zoomScalePageLayoutView="0" workbookViewId="0" topLeftCell="A1">
      <selection activeCell="A1" sqref="A1:IV16384"/>
    </sheetView>
  </sheetViews>
  <sheetFormatPr defaultColWidth="9.140625" defaultRowHeight="12.75"/>
  <cols>
    <col min="1" max="1" width="13.28125" style="1034" customWidth="1"/>
    <col min="2" max="2" width="3.00390625" style="1034" bestFit="1" customWidth="1"/>
    <col min="3" max="3" width="43.7109375" style="1043" customWidth="1"/>
    <col min="4" max="4" width="62.57421875" style="1036" customWidth="1"/>
    <col min="5" max="5" width="5.8515625" style="1034" customWidth="1"/>
    <col min="6" max="6" width="10.7109375" style="1036" customWidth="1"/>
    <col min="7" max="7" width="9.140625" style="95" customWidth="1"/>
    <col min="8" max="8" width="11.7109375" style="95" customWidth="1"/>
    <col min="9" max="16384" width="9.140625" style="1036" customWidth="1"/>
  </cols>
  <sheetData>
    <row r="1" spans="1:6" ht="24.75" customHeight="1" thickBot="1">
      <c r="A1" s="226" t="s">
        <v>507</v>
      </c>
      <c r="C1" s="1033"/>
      <c r="D1" s="1035"/>
      <c r="E1" s="1074"/>
      <c r="F1" s="21" t="s">
        <v>0</v>
      </c>
    </row>
    <row r="2" spans="1:8" s="1025" customFormat="1" ht="34.5" customHeight="1" thickBot="1">
      <c r="A2" s="1049" t="s">
        <v>140</v>
      </c>
      <c r="B2" s="1050"/>
      <c r="C2" s="1051" t="s">
        <v>138</v>
      </c>
      <c r="D2" s="1049" t="s">
        <v>141</v>
      </c>
      <c r="E2" s="1049" t="s">
        <v>10</v>
      </c>
      <c r="F2" s="1052" t="s">
        <v>9</v>
      </c>
      <c r="H2" s="1026"/>
    </row>
    <row r="3" spans="1:8" s="236" customFormat="1" ht="61.5" customHeight="1">
      <c r="A3" s="1053" t="s">
        <v>71</v>
      </c>
      <c r="B3" s="284">
        <v>1</v>
      </c>
      <c r="C3" s="1054" t="s">
        <v>323</v>
      </c>
      <c r="D3" s="1055" t="s">
        <v>324</v>
      </c>
      <c r="E3" s="1056">
        <v>19</v>
      </c>
      <c r="F3" s="1057">
        <v>3025.9</v>
      </c>
      <c r="H3" s="235"/>
    </row>
    <row r="4" spans="1:8" s="236" customFormat="1" ht="45.75" customHeight="1">
      <c r="A4" s="269"/>
      <c r="B4" s="284">
        <v>2</v>
      </c>
      <c r="C4" s="1054" t="s">
        <v>293</v>
      </c>
      <c r="D4" s="1055" t="s">
        <v>325</v>
      </c>
      <c r="E4" s="1056">
        <v>20</v>
      </c>
      <c r="F4" s="1057">
        <v>3102.1</v>
      </c>
      <c r="H4" s="235"/>
    </row>
    <row r="5" spans="1:8" s="1025" customFormat="1" ht="21" customHeight="1">
      <c r="A5" s="1027"/>
      <c r="B5" s="1028"/>
      <c r="C5" s="303" t="s">
        <v>211</v>
      </c>
      <c r="D5" s="1029"/>
      <c r="E5" s="303">
        <f>SUM(E3:E4)</f>
        <v>39</v>
      </c>
      <c r="F5" s="381">
        <f>SUM(F3:F4)</f>
        <v>6128</v>
      </c>
      <c r="H5" s="1026"/>
    </row>
    <row r="6" spans="1:8" s="9" customFormat="1" ht="63">
      <c r="A6" s="435" t="s">
        <v>77</v>
      </c>
      <c r="B6" s="403">
        <v>3</v>
      </c>
      <c r="C6" s="1054" t="s">
        <v>292</v>
      </c>
      <c r="D6" s="403" t="s">
        <v>326</v>
      </c>
      <c r="E6" s="1058">
        <v>20</v>
      </c>
      <c r="F6" s="1059">
        <v>2434.6</v>
      </c>
      <c r="H6" s="95"/>
    </row>
    <row r="7" spans="1:8" s="9" customFormat="1" ht="63">
      <c r="A7" s="173"/>
      <c r="B7" s="284">
        <v>4</v>
      </c>
      <c r="C7" s="1054" t="s">
        <v>327</v>
      </c>
      <c r="D7" s="284" t="s">
        <v>328</v>
      </c>
      <c r="E7" s="1060">
        <v>20</v>
      </c>
      <c r="F7" s="1057">
        <v>1928.4</v>
      </c>
      <c r="H7" s="95"/>
    </row>
    <row r="8" spans="1:8" s="9" customFormat="1" ht="24" customHeight="1">
      <c r="A8" s="173"/>
      <c r="B8" s="284">
        <v>5</v>
      </c>
      <c r="C8" s="1054" t="s">
        <v>243</v>
      </c>
      <c r="D8" s="284" t="s">
        <v>329</v>
      </c>
      <c r="E8" s="1060">
        <v>8</v>
      </c>
      <c r="F8" s="1057">
        <v>692.4</v>
      </c>
      <c r="H8" s="95"/>
    </row>
    <row r="9" spans="1:8" s="9" customFormat="1" ht="42">
      <c r="A9" s="173"/>
      <c r="B9" s="284">
        <v>6</v>
      </c>
      <c r="C9" s="1054" t="s">
        <v>330</v>
      </c>
      <c r="D9" s="284" t="s">
        <v>331</v>
      </c>
      <c r="E9" s="1060">
        <v>15</v>
      </c>
      <c r="F9" s="1057">
        <v>1525.4</v>
      </c>
      <c r="H9" s="95"/>
    </row>
    <row r="10" spans="1:8" s="1030" customFormat="1" ht="21.75" customHeight="1">
      <c r="A10" s="305"/>
      <c r="B10" s="1031"/>
      <c r="C10" s="304" t="s">
        <v>211</v>
      </c>
      <c r="D10" s="305"/>
      <c r="E10" s="304">
        <f>SUM(E6:E9)</f>
        <v>63</v>
      </c>
      <c r="F10" s="383">
        <f>SUM(F6:F9)</f>
        <v>6580.799999999999</v>
      </c>
      <c r="H10" s="44"/>
    </row>
    <row r="11" spans="1:8" s="285" customFormat="1" ht="62.25" customHeight="1">
      <c r="A11" s="435" t="s">
        <v>78</v>
      </c>
      <c r="B11" s="403">
        <v>7</v>
      </c>
      <c r="C11" s="1054" t="s">
        <v>242</v>
      </c>
      <c r="D11" s="284" t="s">
        <v>332</v>
      </c>
      <c r="E11" s="1058">
        <v>19</v>
      </c>
      <c r="F11" s="1059">
        <v>2872.3</v>
      </c>
      <c r="H11" s="286"/>
    </row>
    <row r="12" spans="1:8" s="1062" customFormat="1" ht="24.75" customHeight="1">
      <c r="A12" s="307"/>
      <c r="B12" s="1061"/>
      <c r="C12" s="306" t="s">
        <v>211</v>
      </c>
      <c r="D12" s="307"/>
      <c r="E12" s="308">
        <f>SUM(E11:E11)</f>
        <v>19</v>
      </c>
      <c r="F12" s="384">
        <f>SUM(F11:F11)</f>
        <v>2872.3</v>
      </c>
      <c r="H12" s="1063"/>
    </row>
    <row r="13" spans="1:8" s="285" customFormat="1" ht="42">
      <c r="A13" s="435" t="s">
        <v>79</v>
      </c>
      <c r="B13" s="403">
        <v>8</v>
      </c>
      <c r="C13" s="1065" t="s">
        <v>333</v>
      </c>
      <c r="D13" s="403" t="s">
        <v>334</v>
      </c>
      <c r="E13" s="1058">
        <v>18</v>
      </c>
      <c r="F13" s="1059">
        <v>2042.1</v>
      </c>
      <c r="H13" s="286"/>
    </row>
    <row r="14" spans="1:8" s="174" customFormat="1" ht="63">
      <c r="A14" s="387"/>
      <c r="B14" s="284">
        <v>9</v>
      </c>
      <c r="C14" s="1054" t="s">
        <v>335</v>
      </c>
      <c r="D14" s="284" t="s">
        <v>336</v>
      </c>
      <c r="E14" s="1060">
        <v>19</v>
      </c>
      <c r="F14" s="1057">
        <v>1949.3</v>
      </c>
      <c r="H14" s="237"/>
    </row>
    <row r="15" spans="1:8" s="174" customFormat="1" ht="63">
      <c r="A15" s="387"/>
      <c r="B15" s="284">
        <v>10</v>
      </c>
      <c r="C15" s="1054" t="s">
        <v>337</v>
      </c>
      <c r="D15" s="284" t="s">
        <v>338</v>
      </c>
      <c r="E15" s="1060">
        <v>16</v>
      </c>
      <c r="F15" s="1057">
        <v>1565.2</v>
      </c>
      <c r="H15" s="237"/>
    </row>
    <row r="16" spans="1:8" s="174" customFormat="1" ht="42">
      <c r="A16" s="387"/>
      <c r="B16" s="284">
        <v>11</v>
      </c>
      <c r="C16" s="1054" t="s">
        <v>339</v>
      </c>
      <c r="D16" s="284" t="s">
        <v>340</v>
      </c>
      <c r="E16" s="1060">
        <v>8</v>
      </c>
      <c r="F16" s="1057">
        <v>932</v>
      </c>
      <c r="H16" s="237"/>
    </row>
    <row r="17" spans="1:8" s="174" customFormat="1" ht="39" customHeight="1">
      <c r="A17" s="387"/>
      <c r="B17" s="284">
        <v>12</v>
      </c>
      <c r="C17" s="1054" t="s">
        <v>341</v>
      </c>
      <c r="D17" s="284" t="s">
        <v>342</v>
      </c>
      <c r="E17" s="1060">
        <v>17</v>
      </c>
      <c r="F17" s="1057">
        <v>1875.8</v>
      </c>
      <c r="H17" s="237"/>
    </row>
    <row r="18" spans="1:8" s="1032" customFormat="1" ht="24.75" customHeight="1">
      <c r="A18" s="318"/>
      <c r="B18" s="1061"/>
      <c r="C18" s="306" t="s">
        <v>211</v>
      </c>
      <c r="D18" s="307"/>
      <c r="E18" s="1075">
        <f>SUM(E13:E17)</f>
        <v>78</v>
      </c>
      <c r="F18" s="384">
        <f>SUM(F13:F17)</f>
        <v>8364.4</v>
      </c>
      <c r="H18" s="1066"/>
    </row>
    <row r="19" spans="1:8" s="9" customFormat="1" ht="42">
      <c r="A19" s="1064" t="s">
        <v>218</v>
      </c>
      <c r="B19" s="403">
        <v>13</v>
      </c>
      <c r="C19" s="1054" t="s">
        <v>343</v>
      </c>
      <c r="D19" s="403" t="s">
        <v>344</v>
      </c>
      <c r="E19" s="1058">
        <v>10</v>
      </c>
      <c r="F19" s="1059">
        <v>1073</v>
      </c>
      <c r="H19" s="95"/>
    </row>
    <row r="20" spans="1:8" s="1032" customFormat="1" ht="24.75" customHeight="1">
      <c r="A20" s="318"/>
      <c r="B20" s="1061"/>
      <c r="C20" s="306" t="s">
        <v>211</v>
      </c>
      <c r="D20" s="307"/>
      <c r="E20" s="308">
        <f>SUM(E19:E19)</f>
        <v>10</v>
      </c>
      <c r="F20" s="385">
        <f>SUM(F19:F19)</f>
        <v>1073</v>
      </c>
      <c r="H20" s="1066"/>
    </row>
    <row r="21" spans="1:8" s="142" customFormat="1" ht="63">
      <c r="A21" s="435" t="s">
        <v>81</v>
      </c>
      <c r="B21" s="403">
        <v>14</v>
      </c>
      <c r="C21" s="1054" t="s">
        <v>244</v>
      </c>
      <c r="D21" s="284" t="s">
        <v>345</v>
      </c>
      <c r="E21" s="1058">
        <v>15</v>
      </c>
      <c r="F21" s="1059">
        <v>3120.1</v>
      </c>
      <c r="H21" s="95"/>
    </row>
    <row r="22" spans="1:8" s="1032" customFormat="1" ht="19.5" customHeight="1" thickBot="1">
      <c r="A22" s="309"/>
      <c r="B22" s="1067"/>
      <c r="C22" s="1068" t="s">
        <v>211</v>
      </c>
      <c r="D22" s="1069"/>
      <c r="E22" s="1068">
        <f>SUM(E21:E21)</f>
        <v>15</v>
      </c>
      <c r="F22" s="1070">
        <f>SUM(F21:F21)</f>
        <v>3120.1</v>
      </c>
      <c r="H22" s="1066"/>
    </row>
    <row r="23" spans="1:8" s="288" customFormat="1" ht="18.75" customHeight="1" thickBot="1">
      <c r="A23" s="152"/>
      <c r="B23" s="1071"/>
      <c r="C23" s="1051" t="s">
        <v>61</v>
      </c>
      <c r="D23" s="1072"/>
      <c r="E23" s="1076">
        <f>SUM(E3:E22)/2</f>
        <v>224</v>
      </c>
      <c r="F23" s="386">
        <f>SUM(F3:F22)/2</f>
        <v>28138.600000000002</v>
      </c>
      <c r="H23" s="1073"/>
    </row>
    <row r="24" spans="1:8" s="142" customFormat="1" ht="19.5" customHeight="1">
      <c r="A24" s="174"/>
      <c r="B24" s="1037"/>
      <c r="C24" s="241"/>
      <c r="D24" s="172"/>
      <c r="E24" s="173"/>
      <c r="F24" s="1038"/>
      <c r="H24" s="95"/>
    </row>
    <row r="25" spans="1:8" s="142" customFormat="1" ht="19.5" customHeight="1">
      <c r="A25" s="69"/>
      <c r="B25" s="1039"/>
      <c r="C25" s="241"/>
      <c r="D25" s="172"/>
      <c r="E25" s="173"/>
      <c r="F25" s="1040"/>
      <c r="H25" s="95"/>
    </row>
    <row r="26" spans="1:8" s="9" customFormat="1" ht="18.75" customHeight="1">
      <c r="A26" s="134"/>
      <c r="B26" s="1041"/>
      <c r="C26" s="240"/>
      <c r="D26" s="271"/>
      <c r="E26" s="272"/>
      <c r="F26" s="1042"/>
      <c r="H26" s="95"/>
    </row>
    <row r="27" spans="1:8" s="9" customFormat="1" ht="18.75" customHeight="1">
      <c r="A27" s="134"/>
      <c r="B27" s="1041"/>
      <c r="C27" s="240"/>
      <c r="D27" s="172"/>
      <c r="E27" s="173"/>
      <c r="F27" s="1040"/>
      <c r="H27" s="95"/>
    </row>
    <row r="28" spans="1:8" s="9" customFormat="1" ht="18.75" customHeight="1">
      <c r="A28" s="134"/>
      <c r="B28" s="1041"/>
      <c r="C28" s="240"/>
      <c r="D28" s="271"/>
      <c r="E28" s="272"/>
      <c r="F28" s="1042"/>
      <c r="H28" s="95"/>
    </row>
    <row r="29" spans="1:8" s="9" customFormat="1" ht="18.75" customHeight="1">
      <c r="A29" s="134"/>
      <c r="B29" s="1041"/>
      <c r="C29" s="240"/>
      <c r="D29" s="172"/>
      <c r="E29" s="272"/>
      <c r="F29" s="1040"/>
      <c r="H29" s="95"/>
    </row>
    <row r="30" spans="1:8" s="9" customFormat="1" ht="18.75" customHeight="1">
      <c r="A30" s="134"/>
      <c r="B30" s="1041"/>
      <c r="C30" s="240"/>
      <c r="D30" s="172"/>
      <c r="E30" s="173"/>
      <c r="F30" s="1040"/>
      <c r="H30" s="95"/>
    </row>
    <row r="31" spans="1:8" s="9" customFormat="1" ht="18.75" customHeight="1">
      <c r="A31" s="134"/>
      <c r="B31" s="1041"/>
      <c r="C31" s="240"/>
      <c r="D31" s="172"/>
      <c r="E31" s="173"/>
      <c r="F31" s="1040"/>
      <c r="H31" s="95"/>
    </row>
    <row r="32" spans="1:8" s="142" customFormat="1" ht="19.5" customHeight="1">
      <c r="A32" s="134"/>
      <c r="B32" s="1041"/>
      <c r="C32" s="239"/>
      <c r="D32" s="172"/>
      <c r="E32" s="173"/>
      <c r="F32" s="1040"/>
      <c r="H32" s="95"/>
    </row>
    <row r="33" spans="1:8" s="142" customFormat="1" ht="19.5" customHeight="1">
      <c r="A33" s="134"/>
      <c r="B33" s="1041"/>
      <c r="C33" s="239"/>
      <c r="D33" s="172"/>
      <c r="E33" s="173"/>
      <c r="F33" s="1040"/>
      <c r="H33" s="95"/>
    </row>
    <row r="36" spans="1:8" s="174" customFormat="1" ht="21.75" customHeight="1">
      <c r="A36" s="175"/>
      <c r="B36" s="175"/>
      <c r="E36" s="175"/>
      <c r="F36" s="1044"/>
      <c r="H36" s="237"/>
    </row>
    <row r="37" spans="1:8" s="142" customFormat="1" ht="18" customHeight="1">
      <c r="A37" s="175"/>
      <c r="B37" s="175"/>
      <c r="C37" s="1045"/>
      <c r="D37" s="174"/>
      <c r="E37" s="175"/>
      <c r="F37" s="113"/>
      <c r="H37" s="95"/>
    </row>
    <row r="38" spans="3:5" s="95" customFormat="1" ht="19.5" customHeight="1">
      <c r="C38" s="1046"/>
      <c r="E38" s="1077"/>
    </row>
    <row r="39" spans="3:5" s="95" customFormat="1" ht="15">
      <c r="C39" s="1046"/>
      <c r="E39" s="1077"/>
    </row>
    <row r="40" spans="3:5" s="95" customFormat="1" ht="15">
      <c r="C40" s="1046"/>
      <c r="E40" s="1077"/>
    </row>
    <row r="41" spans="3:5" s="95" customFormat="1" ht="15">
      <c r="C41" s="1046"/>
      <c r="E41" s="1077"/>
    </row>
    <row r="42" spans="3:5" s="95" customFormat="1" ht="15">
      <c r="C42" s="1046"/>
      <c r="E42" s="1077"/>
    </row>
    <row r="43" spans="3:5" s="95" customFormat="1" ht="15">
      <c r="C43" s="1046"/>
      <c r="E43" s="1077"/>
    </row>
    <row r="44" spans="3:5" s="95" customFormat="1" ht="15">
      <c r="C44" s="1046"/>
      <c r="E44" s="1077"/>
    </row>
    <row r="45" spans="3:5" s="95" customFormat="1" ht="15">
      <c r="C45" s="1046"/>
      <c r="E45" s="1077"/>
    </row>
    <row r="46" spans="3:5" s="95" customFormat="1" ht="15">
      <c r="C46" s="1046"/>
      <c r="E46" s="1077"/>
    </row>
    <row r="47" spans="3:5" s="95" customFormat="1" ht="15">
      <c r="C47" s="1046"/>
      <c r="E47" s="1077"/>
    </row>
    <row r="48" spans="3:5" s="95" customFormat="1" ht="15">
      <c r="C48" s="1046"/>
      <c r="E48" s="1077"/>
    </row>
    <row r="49" spans="3:5" s="95" customFormat="1" ht="15">
      <c r="C49" s="1046"/>
      <c r="E49" s="1077"/>
    </row>
    <row r="50" spans="3:5" s="95" customFormat="1" ht="15">
      <c r="C50" s="1046"/>
      <c r="E50" s="1077"/>
    </row>
    <row r="51" spans="3:5" s="95" customFormat="1" ht="15">
      <c r="C51" s="1046"/>
      <c r="E51" s="1077"/>
    </row>
    <row r="52" spans="3:5" s="95" customFormat="1" ht="15">
      <c r="C52" s="1046"/>
      <c r="E52" s="1077"/>
    </row>
    <row r="53" spans="3:5" s="95" customFormat="1" ht="15">
      <c r="C53" s="1046"/>
      <c r="E53" s="1077"/>
    </row>
    <row r="54" spans="3:5" s="95" customFormat="1" ht="15">
      <c r="C54" s="1046"/>
      <c r="E54" s="1077"/>
    </row>
    <row r="55" spans="3:5" s="95" customFormat="1" ht="15">
      <c r="C55" s="1046"/>
      <c r="E55" s="1077"/>
    </row>
    <row r="56" spans="3:5" s="95" customFormat="1" ht="15">
      <c r="C56" s="1046"/>
      <c r="E56" s="1077"/>
    </row>
    <row r="57" spans="3:5" s="95" customFormat="1" ht="15">
      <c r="C57" s="1046"/>
      <c r="E57" s="1077"/>
    </row>
    <row r="58" spans="3:5" s="95" customFormat="1" ht="15">
      <c r="C58" s="1046"/>
      <c r="E58" s="1077"/>
    </row>
    <row r="59" spans="3:5" s="95" customFormat="1" ht="15">
      <c r="C59" s="1046"/>
      <c r="E59" s="1077"/>
    </row>
    <row r="60" spans="3:5" s="95" customFormat="1" ht="15">
      <c r="C60" s="1046"/>
      <c r="E60" s="1077"/>
    </row>
    <row r="61" spans="3:5" s="95" customFormat="1" ht="15">
      <c r="C61" s="1046"/>
      <c r="E61" s="1077"/>
    </row>
    <row r="62" spans="3:5" s="95" customFormat="1" ht="15">
      <c r="C62" s="1046"/>
      <c r="E62" s="1077"/>
    </row>
    <row r="63" spans="3:5" s="95" customFormat="1" ht="15">
      <c r="C63" s="1046"/>
      <c r="E63" s="1077"/>
    </row>
    <row r="64" spans="3:5" s="95" customFormat="1" ht="15">
      <c r="C64" s="1046"/>
      <c r="E64" s="1077"/>
    </row>
    <row r="65" spans="3:5" s="95" customFormat="1" ht="15">
      <c r="C65" s="1046"/>
      <c r="E65" s="1077"/>
    </row>
    <row r="66" spans="3:5" s="95" customFormat="1" ht="15">
      <c r="C66" s="1046"/>
      <c r="E66" s="1077"/>
    </row>
    <row r="67" spans="3:5" s="95" customFormat="1" ht="15">
      <c r="C67" s="1046"/>
      <c r="E67" s="1077"/>
    </row>
    <row r="68" spans="3:5" s="95" customFormat="1" ht="15">
      <c r="C68" s="1046"/>
      <c r="E68" s="1077"/>
    </row>
    <row r="69" spans="3:5" s="95" customFormat="1" ht="15">
      <c r="C69" s="1046"/>
      <c r="E69" s="1077"/>
    </row>
    <row r="70" spans="3:5" s="95" customFormat="1" ht="15">
      <c r="C70" s="1046"/>
      <c r="E70" s="1077"/>
    </row>
    <row r="71" spans="3:5" s="95" customFormat="1" ht="15">
      <c r="C71" s="1046"/>
      <c r="E71" s="1077"/>
    </row>
    <row r="72" spans="3:5" s="95" customFormat="1" ht="15">
      <c r="C72" s="1046"/>
      <c r="E72" s="1077"/>
    </row>
    <row r="73" spans="3:5" s="95" customFormat="1" ht="15">
      <c r="C73" s="1046"/>
      <c r="E73" s="1077"/>
    </row>
    <row r="74" spans="3:5" s="95" customFormat="1" ht="15">
      <c r="C74" s="1046"/>
      <c r="E74" s="1077"/>
    </row>
    <row r="75" spans="3:5" s="95" customFormat="1" ht="15">
      <c r="C75" s="1046"/>
      <c r="E75" s="1077"/>
    </row>
    <row r="76" spans="3:5" s="95" customFormat="1" ht="15">
      <c r="C76" s="1046"/>
      <c r="E76" s="1077"/>
    </row>
    <row r="77" spans="3:5" s="95" customFormat="1" ht="15">
      <c r="C77" s="1046"/>
      <c r="E77" s="1077"/>
    </row>
    <row r="78" spans="3:5" s="95" customFormat="1" ht="15">
      <c r="C78" s="1046"/>
      <c r="E78" s="1077"/>
    </row>
    <row r="79" spans="3:5" s="95" customFormat="1" ht="15">
      <c r="C79" s="1046"/>
      <c r="E79" s="1077"/>
    </row>
    <row r="80" spans="3:5" s="95" customFormat="1" ht="15">
      <c r="C80" s="1046"/>
      <c r="E80" s="1077"/>
    </row>
    <row r="81" spans="3:5" s="95" customFormat="1" ht="18.75" customHeight="1">
      <c r="C81" s="1046"/>
      <c r="E81" s="1077"/>
    </row>
    <row r="82" spans="3:5" s="95" customFormat="1" ht="18" customHeight="1">
      <c r="C82" s="1046"/>
      <c r="E82" s="1077"/>
    </row>
    <row r="83" spans="3:5" s="95" customFormat="1" ht="18" customHeight="1">
      <c r="C83" s="1046"/>
      <c r="E83" s="1077"/>
    </row>
    <row r="84" spans="3:5" s="95" customFormat="1" ht="18.75" customHeight="1">
      <c r="C84" s="1046"/>
      <c r="E84" s="1077"/>
    </row>
    <row r="85" spans="3:5" s="95" customFormat="1" ht="18.75" customHeight="1">
      <c r="C85" s="1046"/>
      <c r="E85" s="1077"/>
    </row>
    <row r="86" spans="3:5" s="95" customFormat="1" ht="17.25" customHeight="1">
      <c r="C86" s="1046"/>
      <c r="E86" s="1077"/>
    </row>
    <row r="87" spans="3:5" s="95" customFormat="1" ht="19.5" customHeight="1">
      <c r="C87" s="1046"/>
      <c r="E87" s="1077"/>
    </row>
    <row r="88" spans="3:5" s="95" customFormat="1" ht="19.5" customHeight="1">
      <c r="C88" s="1046"/>
      <c r="E88" s="1077"/>
    </row>
    <row r="89" spans="3:5" s="95" customFormat="1" ht="15">
      <c r="C89" s="1046"/>
      <c r="E89" s="1077"/>
    </row>
    <row r="90" spans="3:5" s="95" customFormat="1" ht="18.75" customHeight="1">
      <c r="C90" s="1046"/>
      <c r="E90" s="1077"/>
    </row>
    <row r="91" spans="3:5" s="95" customFormat="1" ht="18.75" customHeight="1">
      <c r="C91" s="1046"/>
      <c r="E91" s="1077"/>
    </row>
    <row r="92" spans="3:5" s="95" customFormat="1" ht="18.75" customHeight="1">
      <c r="C92" s="1046"/>
      <c r="E92" s="1077"/>
    </row>
    <row r="93" spans="3:5" s="95" customFormat="1" ht="18.75" customHeight="1">
      <c r="C93" s="1046"/>
      <c r="E93" s="1077"/>
    </row>
    <row r="94" spans="3:5" s="95" customFormat="1" ht="19.5" customHeight="1">
      <c r="C94" s="1046"/>
      <c r="E94" s="1077"/>
    </row>
    <row r="95" spans="3:5" s="95" customFormat="1" ht="15">
      <c r="C95" s="1046"/>
      <c r="E95" s="1077"/>
    </row>
    <row r="96" spans="3:5" s="95" customFormat="1" ht="15">
      <c r="C96" s="1046"/>
      <c r="E96" s="1077"/>
    </row>
    <row r="97" spans="3:5" s="95" customFormat="1" ht="15">
      <c r="C97" s="1046"/>
      <c r="E97" s="1077"/>
    </row>
    <row r="98" spans="3:5" s="95" customFormat="1" ht="15">
      <c r="C98" s="1046"/>
      <c r="E98" s="1077"/>
    </row>
    <row r="99" spans="3:5" s="95" customFormat="1" ht="15">
      <c r="C99" s="1046"/>
      <c r="E99" s="1077"/>
    </row>
    <row r="100" spans="3:5" s="95" customFormat="1" ht="15">
      <c r="C100" s="1046"/>
      <c r="E100" s="1077"/>
    </row>
    <row r="101" spans="3:5" s="95" customFormat="1" ht="15">
      <c r="C101" s="1046"/>
      <c r="E101" s="1077"/>
    </row>
    <row r="102" spans="3:5" s="95" customFormat="1" ht="15">
      <c r="C102" s="1046"/>
      <c r="E102" s="1077"/>
    </row>
    <row r="103" spans="3:5" s="95" customFormat="1" ht="15">
      <c r="C103" s="1046"/>
      <c r="E103" s="1077"/>
    </row>
    <row r="104" spans="3:5" s="95" customFormat="1" ht="15">
      <c r="C104" s="1046"/>
      <c r="E104" s="1077"/>
    </row>
    <row r="105" spans="3:5" s="95" customFormat="1" ht="15">
      <c r="C105" s="1046"/>
      <c r="E105" s="1077"/>
    </row>
    <row r="106" spans="3:5" s="95" customFormat="1" ht="15">
      <c r="C106" s="1046"/>
      <c r="E106" s="1077"/>
    </row>
    <row r="107" spans="3:5" s="95" customFormat="1" ht="15">
      <c r="C107" s="1046"/>
      <c r="E107" s="1077"/>
    </row>
    <row r="108" spans="3:5" s="95" customFormat="1" ht="15">
      <c r="C108" s="1046"/>
      <c r="E108" s="1077"/>
    </row>
    <row r="109" spans="3:5" s="95" customFormat="1" ht="15">
      <c r="C109" s="1046"/>
      <c r="E109" s="1077"/>
    </row>
    <row r="110" spans="3:5" s="95" customFormat="1" ht="15">
      <c r="C110" s="1046"/>
      <c r="E110" s="1077"/>
    </row>
    <row r="111" spans="3:5" s="95" customFormat="1" ht="15">
      <c r="C111" s="1046"/>
      <c r="E111" s="1077"/>
    </row>
    <row r="112" spans="1:8" s="9" customFormat="1" ht="18.75">
      <c r="A112" s="1047"/>
      <c r="B112" s="1047"/>
      <c r="C112" s="1048"/>
      <c r="E112" s="1047"/>
      <c r="H112" s="95"/>
    </row>
    <row r="113" spans="1:8" s="9" customFormat="1" ht="18.75">
      <c r="A113" s="1047"/>
      <c r="B113" s="1047"/>
      <c r="C113" s="1048"/>
      <c r="E113" s="1047"/>
      <c r="H113" s="95"/>
    </row>
    <row r="114" spans="1:8" s="9" customFormat="1" ht="18.75">
      <c r="A114" s="1047"/>
      <c r="B114" s="1047"/>
      <c r="C114" s="1048"/>
      <c r="E114" s="1047"/>
      <c r="H114" s="95"/>
    </row>
    <row r="115" spans="1:8" s="9" customFormat="1" ht="18.75">
      <c r="A115" s="1047"/>
      <c r="B115" s="1047"/>
      <c r="C115" s="1048"/>
      <c r="E115" s="1047"/>
      <c r="H115" s="95"/>
    </row>
    <row r="116" spans="1:8" s="9" customFormat="1" ht="18.75">
      <c r="A116" s="1047"/>
      <c r="B116" s="1047"/>
      <c r="C116" s="1048"/>
      <c r="E116" s="1047"/>
      <c r="H116" s="95"/>
    </row>
    <row r="117" spans="1:8" s="9" customFormat="1" ht="18.75">
      <c r="A117" s="1047"/>
      <c r="B117" s="1047"/>
      <c r="C117" s="1048"/>
      <c r="E117" s="1047"/>
      <c r="H117" s="95"/>
    </row>
    <row r="118" spans="1:8" s="9" customFormat="1" ht="18.75">
      <c r="A118" s="1047"/>
      <c r="B118" s="1047"/>
      <c r="C118" s="1048"/>
      <c r="E118" s="1047"/>
      <c r="H118" s="95"/>
    </row>
    <row r="119" spans="1:8" s="9" customFormat="1" ht="18.75">
      <c r="A119" s="1047"/>
      <c r="B119" s="1047"/>
      <c r="C119" s="1048"/>
      <c r="E119" s="1047"/>
      <c r="H119" s="95"/>
    </row>
    <row r="120" spans="1:8" s="9" customFormat="1" ht="18.75">
      <c r="A120" s="1047"/>
      <c r="B120" s="1047"/>
      <c r="C120" s="1048"/>
      <c r="E120" s="1047"/>
      <c r="H120" s="95"/>
    </row>
    <row r="121" spans="1:8" s="9" customFormat="1" ht="18.75">
      <c r="A121" s="1047"/>
      <c r="B121" s="1047"/>
      <c r="C121" s="1048"/>
      <c r="E121" s="1047"/>
      <c r="H121" s="95"/>
    </row>
    <row r="122" spans="1:8" s="9" customFormat="1" ht="18.75">
      <c r="A122" s="1047"/>
      <c r="B122" s="1047"/>
      <c r="C122" s="1048"/>
      <c r="E122" s="1047"/>
      <c r="H122" s="95"/>
    </row>
    <row r="123" spans="1:8" s="9" customFormat="1" ht="18.75">
      <c r="A123" s="1047"/>
      <c r="B123" s="1047"/>
      <c r="C123" s="1048"/>
      <c r="E123" s="1047"/>
      <c r="H123" s="95"/>
    </row>
    <row r="124" spans="1:8" s="9" customFormat="1" ht="18.75">
      <c r="A124" s="1047"/>
      <c r="B124" s="1047"/>
      <c r="C124" s="1048"/>
      <c r="E124" s="1047"/>
      <c r="H124" s="95"/>
    </row>
    <row r="125" spans="1:8" s="9" customFormat="1" ht="18.75">
      <c r="A125" s="1047"/>
      <c r="B125" s="1047"/>
      <c r="C125" s="1048"/>
      <c r="E125" s="1047"/>
      <c r="H125" s="95"/>
    </row>
    <row r="126" spans="1:8" s="9" customFormat="1" ht="18.75">
      <c r="A126" s="1047"/>
      <c r="B126" s="1047"/>
      <c r="C126" s="1048"/>
      <c r="E126" s="1047"/>
      <c r="H126" s="95"/>
    </row>
    <row r="127" spans="1:8" s="9" customFormat="1" ht="18.75">
      <c r="A127" s="1047"/>
      <c r="B127" s="1047"/>
      <c r="C127" s="1048"/>
      <c r="E127" s="1047"/>
      <c r="H127" s="95"/>
    </row>
    <row r="128" spans="1:8" s="9" customFormat="1" ht="18.75">
      <c r="A128" s="1047"/>
      <c r="B128" s="1047"/>
      <c r="C128" s="1048"/>
      <c r="E128" s="1047"/>
      <c r="H128" s="95"/>
    </row>
    <row r="129" spans="1:8" s="9" customFormat="1" ht="18.75">
      <c r="A129" s="1047"/>
      <c r="B129" s="1047"/>
      <c r="C129" s="1048"/>
      <c r="E129" s="1047"/>
      <c r="H129" s="95"/>
    </row>
    <row r="130" spans="1:8" s="9" customFormat="1" ht="18.75">
      <c r="A130" s="1047"/>
      <c r="B130" s="1047"/>
      <c r="C130" s="1048"/>
      <c r="E130" s="1047"/>
      <c r="H130" s="95"/>
    </row>
    <row r="131" spans="1:8" s="9" customFormat="1" ht="18.75">
      <c r="A131" s="1047"/>
      <c r="B131" s="1047"/>
      <c r="C131" s="1048"/>
      <c r="E131" s="1047"/>
      <c r="H131" s="95"/>
    </row>
    <row r="132" spans="1:8" s="9" customFormat="1" ht="18.75">
      <c r="A132" s="1047"/>
      <c r="B132" s="1047"/>
      <c r="C132" s="1048"/>
      <c r="E132" s="1047"/>
      <c r="H132" s="95"/>
    </row>
    <row r="133" spans="1:8" s="9" customFormat="1" ht="18.75">
      <c r="A133" s="1047"/>
      <c r="B133" s="1047"/>
      <c r="C133" s="1048"/>
      <c r="E133" s="1047"/>
      <c r="H133" s="95"/>
    </row>
    <row r="134" spans="1:8" s="9" customFormat="1" ht="18.75">
      <c r="A134" s="1047"/>
      <c r="B134" s="1047"/>
      <c r="C134" s="1048"/>
      <c r="E134" s="1047"/>
      <c r="H134" s="95"/>
    </row>
    <row r="135" spans="1:8" s="9" customFormat="1" ht="18.75">
      <c r="A135" s="1047"/>
      <c r="B135" s="1047"/>
      <c r="C135" s="1048"/>
      <c r="E135" s="1047"/>
      <c r="H135" s="95"/>
    </row>
    <row r="136" spans="1:8" s="9" customFormat="1" ht="18.75">
      <c r="A136" s="1047"/>
      <c r="B136" s="1047"/>
      <c r="C136" s="1048"/>
      <c r="E136" s="1047"/>
      <c r="H136" s="95"/>
    </row>
    <row r="137" spans="1:8" s="9" customFormat="1" ht="18.75">
      <c r="A137" s="1047"/>
      <c r="B137" s="1047"/>
      <c r="C137" s="1048"/>
      <c r="E137" s="1047"/>
      <c r="H137" s="95"/>
    </row>
    <row r="138" spans="1:8" s="9" customFormat="1" ht="18.75">
      <c r="A138" s="1047"/>
      <c r="B138" s="1047"/>
      <c r="C138" s="1048"/>
      <c r="E138" s="1047"/>
      <c r="H138" s="95"/>
    </row>
    <row r="139" spans="1:8" s="9" customFormat="1" ht="18.75">
      <c r="A139" s="1047"/>
      <c r="B139" s="1047"/>
      <c r="C139" s="1048"/>
      <c r="E139" s="1047"/>
      <c r="H139" s="95"/>
    </row>
    <row r="140" spans="1:8" s="9" customFormat="1" ht="18.75">
      <c r="A140" s="1047"/>
      <c r="B140" s="1047"/>
      <c r="C140" s="1048"/>
      <c r="E140" s="1047"/>
      <c r="H140" s="95"/>
    </row>
    <row r="141" spans="1:8" s="9" customFormat="1" ht="18.75">
      <c r="A141" s="1047"/>
      <c r="B141" s="1047"/>
      <c r="C141" s="1048"/>
      <c r="E141" s="1047"/>
      <c r="H141" s="95"/>
    </row>
    <row r="142" spans="1:8" s="9" customFormat="1" ht="18.75">
      <c r="A142" s="1047"/>
      <c r="B142" s="1047"/>
      <c r="C142" s="1048"/>
      <c r="E142" s="1047"/>
      <c r="H142" s="95"/>
    </row>
    <row r="143" spans="1:8" s="9" customFormat="1" ht="18.75">
      <c r="A143" s="1047"/>
      <c r="B143" s="1047"/>
      <c r="C143" s="1048"/>
      <c r="E143" s="1047"/>
      <c r="H143" s="95"/>
    </row>
    <row r="144" spans="1:8" s="9" customFormat="1" ht="18.75">
      <c r="A144" s="1047"/>
      <c r="B144" s="1047"/>
      <c r="C144" s="1048"/>
      <c r="E144" s="1047"/>
      <c r="H144" s="95"/>
    </row>
    <row r="145" spans="1:8" s="9" customFormat="1" ht="18.75">
      <c r="A145" s="1047"/>
      <c r="B145" s="1047"/>
      <c r="C145" s="1048"/>
      <c r="E145" s="1047"/>
      <c r="H145" s="95"/>
    </row>
    <row r="146" spans="1:8" s="9" customFormat="1" ht="18.75">
      <c r="A146" s="1047"/>
      <c r="B146" s="1047"/>
      <c r="C146" s="1048"/>
      <c r="E146" s="1047"/>
      <c r="H146" s="95"/>
    </row>
    <row r="147" spans="1:8" s="9" customFormat="1" ht="18.75">
      <c r="A147" s="1047"/>
      <c r="B147" s="1047"/>
      <c r="C147" s="1048"/>
      <c r="E147" s="1047"/>
      <c r="H147" s="95"/>
    </row>
    <row r="148" spans="1:8" s="9" customFormat="1" ht="18.75">
      <c r="A148" s="1047"/>
      <c r="B148" s="1047"/>
      <c r="C148" s="1048"/>
      <c r="E148" s="1047"/>
      <c r="H148" s="95"/>
    </row>
    <row r="149" spans="1:8" s="9" customFormat="1" ht="18.75">
      <c r="A149" s="1047"/>
      <c r="B149" s="1047"/>
      <c r="C149" s="1048"/>
      <c r="E149" s="1047"/>
      <c r="H149" s="95"/>
    </row>
    <row r="150" spans="1:8" s="9" customFormat="1" ht="18.75">
      <c r="A150" s="1047"/>
      <c r="B150" s="1047"/>
      <c r="C150" s="1048"/>
      <c r="E150" s="1047"/>
      <c r="H150" s="95"/>
    </row>
    <row r="151" spans="1:8" s="9" customFormat="1" ht="18.75">
      <c r="A151" s="1047"/>
      <c r="B151" s="1047"/>
      <c r="C151" s="1048"/>
      <c r="E151" s="1047"/>
      <c r="H151" s="95"/>
    </row>
    <row r="152" spans="1:8" s="9" customFormat="1" ht="18.75">
      <c r="A152" s="1047"/>
      <c r="B152" s="1047"/>
      <c r="C152" s="1048"/>
      <c r="E152" s="1047"/>
      <c r="H152" s="95"/>
    </row>
    <row r="153" spans="1:8" s="9" customFormat="1" ht="18.75">
      <c r="A153" s="1047"/>
      <c r="B153" s="1047"/>
      <c r="C153" s="1048"/>
      <c r="E153" s="1047"/>
      <c r="H153" s="95"/>
    </row>
    <row r="154" spans="1:8" s="9" customFormat="1" ht="18.75">
      <c r="A154" s="1047"/>
      <c r="B154" s="1047"/>
      <c r="C154" s="1048"/>
      <c r="E154" s="1047"/>
      <c r="H154" s="95"/>
    </row>
    <row r="155" spans="1:8" s="9" customFormat="1" ht="18.75">
      <c r="A155" s="1047"/>
      <c r="B155" s="1047"/>
      <c r="C155" s="1048"/>
      <c r="E155" s="1047"/>
      <c r="H155" s="95"/>
    </row>
    <row r="156" spans="1:8" s="9" customFormat="1" ht="18.75">
      <c r="A156" s="1047"/>
      <c r="B156" s="1047"/>
      <c r="C156" s="1048"/>
      <c r="E156" s="1047"/>
      <c r="H156" s="95"/>
    </row>
    <row r="157" spans="1:8" s="9" customFormat="1" ht="18.75">
      <c r="A157" s="1047"/>
      <c r="B157" s="1047"/>
      <c r="C157" s="1048"/>
      <c r="E157" s="1047"/>
      <c r="H157" s="95"/>
    </row>
    <row r="158" spans="1:8" s="9" customFormat="1" ht="18.75">
      <c r="A158" s="1047"/>
      <c r="B158" s="1047"/>
      <c r="C158" s="1048"/>
      <c r="E158" s="1047"/>
      <c r="H158" s="95"/>
    </row>
    <row r="159" spans="1:8" s="9" customFormat="1" ht="18.75">
      <c r="A159" s="1047"/>
      <c r="B159" s="1047"/>
      <c r="C159" s="1048"/>
      <c r="E159" s="1047"/>
      <c r="H159" s="95"/>
    </row>
    <row r="160" spans="1:8" s="9" customFormat="1" ht="18.75">
      <c r="A160" s="1047"/>
      <c r="B160" s="1047"/>
      <c r="C160" s="1048"/>
      <c r="E160" s="1047"/>
      <c r="H160" s="95"/>
    </row>
    <row r="161" spans="1:8" s="9" customFormat="1" ht="18.75">
      <c r="A161" s="1047"/>
      <c r="B161" s="1047"/>
      <c r="C161" s="1048"/>
      <c r="E161" s="1047"/>
      <c r="H161" s="95"/>
    </row>
    <row r="162" spans="1:8" s="9" customFormat="1" ht="18.75">
      <c r="A162" s="1047"/>
      <c r="B162" s="1047"/>
      <c r="C162" s="1048"/>
      <c r="E162" s="1047"/>
      <c r="H162" s="95"/>
    </row>
    <row r="163" spans="1:8" s="9" customFormat="1" ht="18.75">
      <c r="A163" s="1047"/>
      <c r="B163" s="1047"/>
      <c r="C163" s="1048"/>
      <c r="E163" s="1047"/>
      <c r="H163" s="95"/>
    </row>
    <row r="164" spans="1:8" s="9" customFormat="1" ht="18.75">
      <c r="A164" s="1047"/>
      <c r="B164" s="1047"/>
      <c r="C164" s="1048"/>
      <c r="E164" s="1047"/>
      <c r="H164" s="95"/>
    </row>
    <row r="165" spans="1:8" s="9" customFormat="1" ht="18.75">
      <c r="A165" s="1047"/>
      <c r="B165" s="1047"/>
      <c r="C165" s="1048"/>
      <c r="E165" s="1047"/>
      <c r="H165" s="95"/>
    </row>
    <row r="166" spans="1:8" s="9" customFormat="1" ht="18.75">
      <c r="A166" s="1047"/>
      <c r="B166" s="1047"/>
      <c r="C166" s="1048"/>
      <c r="E166" s="1047"/>
      <c r="H166" s="95"/>
    </row>
    <row r="167" spans="1:8" s="9" customFormat="1" ht="18.75">
      <c r="A167" s="1047"/>
      <c r="B167" s="1047"/>
      <c r="C167" s="1048"/>
      <c r="E167" s="1047"/>
      <c r="H167" s="95"/>
    </row>
    <row r="168" spans="1:8" s="9" customFormat="1" ht="18.75">
      <c r="A168" s="1047"/>
      <c r="B168" s="1047"/>
      <c r="C168" s="1048"/>
      <c r="E168" s="1047"/>
      <c r="H168" s="95"/>
    </row>
    <row r="169" spans="1:8" s="9" customFormat="1" ht="18.75">
      <c r="A169" s="1047"/>
      <c r="B169" s="1047"/>
      <c r="C169" s="1048"/>
      <c r="E169" s="1047"/>
      <c r="H169" s="95"/>
    </row>
    <row r="170" spans="1:8" s="9" customFormat="1" ht="18.75">
      <c r="A170" s="1047"/>
      <c r="B170" s="1047"/>
      <c r="C170" s="1048"/>
      <c r="E170" s="1047"/>
      <c r="H170" s="95"/>
    </row>
    <row r="171" spans="1:8" s="9" customFormat="1" ht="18.75">
      <c r="A171" s="1047"/>
      <c r="B171" s="1047"/>
      <c r="C171" s="1048"/>
      <c r="E171" s="1047"/>
      <c r="H171" s="95"/>
    </row>
    <row r="172" spans="1:8" s="9" customFormat="1" ht="18.75">
      <c r="A172" s="1047"/>
      <c r="B172" s="1047"/>
      <c r="C172" s="1048"/>
      <c r="E172" s="1047"/>
      <c r="H172" s="95"/>
    </row>
    <row r="173" spans="1:8" s="9" customFormat="1" ht="18.75">
      <c r="A173" s="1047"/>
      <c r="B173" s="1047"/>
      <c r="C173" s="1048"/>
      <c r="E173" s="1047"/>
      <c r="H173" s="95"/>
    </row>
    <row r="174" spans="1:8" s="9" customFormat="1" ht="18.75">
      <c r="A174" s="1047"/>
      <c r="B174" s="1047"/>
      <c r="C174" s="1048"/>
      <c r="E174" s="1047"/>
      <c r="H174" s="95"/>
    </row>
    <row r="175" spans="1:8" s="9" customFormat="1" ht="18.75">
      <c r="A175" s="1047"/>
      <c r="B175" s="1047"/>
      <c r="C175" s="1048"/>
      <c r="E175" s="1047"/>
      <c r="H175" s="95"/>
    </row>
    <row r="176" spans="1:8" s="9" customFormat="1" ht="18.75">
      <c r="A176" s="1047"/>
      <c r="B176" s="1047"/>
      <c r="C176" s="1048"/>
      <c r="E176" s="1047"/>
      <c r="H176" s="95"/>
    </row>
    <row r="177" spans="1:8" s="9" customFormat="1" ht="18.75">
      <c r="A177" s="1047"/>
      <c r="B177" s="1047"/>
      <c r="C177" s="1048"/>
      <c r="E177" s="1047"/>
      <c r="H177" s="95"/>
    </row>
    <row r="178" spans="1:8" s="9" customFormat="1" ht="18.75">
      <c r="A178" s="1047"/>
      <c r="B178" s="1047"/>
      <c r="C178" s="1048"/>
      <c r="E178" s="1047"/>
      <c r="H178" s="95"/>
    </row>
    <row r="179" spans="1:8" s="9" customFormat="1" ht="18.75">
      <c r="A179" s="1047"/>
      <c r="B179" s="1047"/>
      <c r="C179" s="1048"/>
      <c r="E179" s="1047"/>
      <c r="H179" s="95"/>
    </row>
    <row r="180" spans="1:8" s="9" customFormat="1" ht="18.75">
      <c r="A180" s="1047"/>
      <c r="B180" s="1047"/>
      <c r="C180" s="1048"/>
      <c r="E180" s="1047"/>
      <c r="H180" s="95"/>
    </row>
    <row r="181" spans="1:8" s="9" customFormat="1" ht="18.75">
      <c r="A181" s="1047"/>
      <c r="B181" s="1047"/>
      <c r="C181" s="1048"/>
      <c r="E181" s="1047"/>
      <c r="H181" s="95"/>
    </row>
    <row r="182" spans="1:8" s="9" customFormat="1" ht="18.75">
      <c r="A182" s="1047"/>
      <c r="B182" s="1047"/>
      <c r="C182" s="1048"/>
      <c r="E182" s="1047"/>
      <c r="H182" s="95"/>
    </row>
    <row r="183" spans="1:8" s="9" customFormat="1" ht="18.75">
      <c r="A183" s="1047"/>
      <c r="B183" s="1047"/>
      <c r="C183" s="1048"/>
      <c r="E183" s="1047"/>
      <c r="H183" s="95"/>
    </row>
    <row r="184" spans="1:8" s="9" customFormat="1" ht="18.75">
      <c r="A184" s="1047"/>
      <c r="B184" s="1047"/>
      <c r="C184" s="1048"/>
      <c r="E184" s="1047"/>
      <c r="H184" s="95"/>
    </row>
    <row r="185" spans="1:8" s="9" customFormat="1" ht="18.75">
      <c r="A185" s="1047"/>
      <c r="B185" s="1047"/>
      <c r="C185" s="1048"/>
      <c r="E185" s="1047"/>
      <c r="H185" s="95"/>
    </row>
    <row r="186" spans="1:8" s="9" customFormat="1" ht="18.75">
      <c r="A186" s="1034"/>
      <c r="B186" s="1034"/>
      <c r="C186" s="1043"/>
      <c r="D186" s="1036"/>
      <c r="E186" s="1034"/>
      <c r="F186" s="1036"/>
      <c r="H186" s="95"/>
    </row>
    <row r="187" spans="1:8" s="9" customFormat="1" ht="18.75">
      <c r="A187" s="1034"/>
      <c r="B187" s="1034"/>
      <c r="C187" s="1043"/>
      <c r="D187" s="1036"/>
      <c r="E187" s="1034"/>
      <c r="F187" s="1036"/>
      <c r="H187" s="95"/>
    </row>
    <row r="188" spans="1:8" s="9" customFormat="1" ht="18.75">
      <c r="A188" s="1034"/>
      <c r="B188" s="1034"/>
      <c r="C188" s="1043"/>
      <c r="D188" s="1036"/>
      <c r="E188" s="1034"/>
      <c r="F188" s="1036"/>
      <c r="H188" s="95"/>
    </row>
    <row r="189" spans="1:8" s="9" customFormat="1" ht="18.75">
      <c r="A189" s="1034"/>
      <c r="B189" s="1034"/>
      <c r="C189" s="1043"/>
      <c r="D189" s="1036"/>
      <c r="E189" s="1034"/>
      <c r="F189" s="1036"/>
      <c r="H189" s="95"/>
    </row>
    <row r="190" spans="1:8" s="9" customFormat="1" ht="18.75">
      <c r="A190" s="1034"/>
      <c r="B190" s="1034"/>
      <c r="C190" s="1043"/>
      <c r="D190" s="1036"/>
      <c r="E190" s="1034"/>
      <c r="F190" s="1036"/>
      <c r="H190" s="95"/>
    </row>
    <row r="191" spans="1:8" s="9" customFormat="1" ht="18.75">
      <c r="A191" s="1034"/>
      <c r="B191" s="1034"/>
      <c r="C191" s="1043"/>
      <c r="D191" s="1036"/>
      <c r="E191" s="1034"/>
      <c r="F191" s="1036"/>
      <c r="H191" s="95"/>
    </row>
    <row r="192" spans="1:8" s="9" customFormat="1" ht="18.75">
      <c r="A192" s="1034"/>
      <c r="B192" s="1034"/>
      <c r="C192" s="1043"/>
      <c r="D192" s="1036"/>
      <c r="E192" s="1034"/>
      <c r="F192" s="1036"/>
      <c r="H192" s="95"/>
    </row>
    <row r="193" spans="1:8" s="9" customFormat="1" ht="18.75">
      <c r="A193" s="1034"/>
      <c r="B193" s="1034"/>
      <c r="C193" s="1043"/>
      <c r="D193" s="1036"/>
      <c r="E193" s="1034"/>
      <c r="F193" s="1036"/>
      <c r="H193" s="95"/>
    </row>
    <row r="194" spans="1:8" s="9" customFormat="1" ht="18.75">
      <c r="A194" s="1034"/>
      <c r="B194" s="1034"/>
      <c r="C194" s="1043"/>
      <c r="D194" s="1036"/>
      <c r="E194" s="1034"/>
      <c r="F194" s="1036"/>
      <c r="H194" s="95"/>
    </row>
    <row r="195" spans="1:8" s="9" customFormat="1" ht="18.75">
      <c r="A195" s="1034"/>
      <c r="B195" s="1034"/>
      <c r="C195" s="1043"/>
      <c r="D195" s="1036"/>
      <c r="E195" s="1034"/>
      <c r="F195" s="1036"/>
      <c r="H195" s="95"/>
    </row>
    <row r="196" spans="1:8" s="9" customFormat="1" ht="18.75">
      <c r="A196" s="1034"/>
      <c r="B196" s="1034"/>
      <c r="C196" s="1043"/>
      <c r="D196" s="1036"/>
      <c r="E196" s="1034"/>
      <c r="F196" s="1036"/>
      <c r="H196" s="95"/>
    </row>
    <row r="197" spans="1:8" s="9" customFormat="1" ht="18.75">
      <c r="A197" s="1034"/>
      <c r="B197" s="1034"/>
      <c r="C197" s="1043"/>
      <c r="D197" s="1036"/>
      <c r="E197" s="1034"/>
      <c r="F197" s="1036"/>
      <c r="H197" s="95"/>
    </row>
    <row r="198" spans="1:8" s="9" customFormat="1" ht="18.75">
      <c r="A198" s="1034"/>
      <c r="B198" s="1034"/>
      <c r="C198" s="1043"/>
      <c r="D198" s="1036"/>
      <c r="E198" s="1034"/>
      <c r="F198" s="1036"/>
      <c r="H198" s="95"/>
    </row>
    <row r="199" spans="1:8" s="9" customFormat="1" ht="18.75">
      <c r="A199" s="1034"/>
      <c r="B199" s="1034"/>
      <c r="C199" s="1043"/>
      <c r="D199" s="1036"/>
      <c r="E199" s="1034"/>
      <c r="F199" s="1036"/>
      <c r="H199" s="95"/>
    </row>
    <row r="200" spans="1:8" s="9" customFormat="1" ht="18.75">
      <c r="A200" s="1034"/>
      <c r="B200" s="1034"/>
      <c r="C200" s="1043"/>
      <c r="D200" s="1036"/>
      <c r="E200" s="1034"/>
      <c r="F200" s="1036"/>
      <c r="H200" s="95"/>
    </row>
    <row r="201" spans="1:8" s="9" customFormat="1" ht="18.75">
      <c r="A201" s="1034"/>
      <c r="B201" s="1034"/>
      <c r="C201" s="1043"/>
      <c r="D201" s="1036"/>
      <c r="E201" s="1034"/>
      <c r="F201" s="1036"/>
      <c r="H201" s="95"/>
    </row>
    <row r="202" spans="1:8" s="9" customFormat="1" ht="18.75">
      <c r="A202" s="1034"/>
      <c r="B202" s="1034"/>
      <c r="C202" s="1043"/>
      <c r="D202" s="1036"/>
      <c r="E202" s="1034"/>
      <c r="F202" s="1036"/>
      <c r="H202" s="95"/>
    </row>
    <row r="203" spans="1:8" s="9" customFormat="1" ht="18.75">
      <c r="A203" s="1034"/>
      <c r="B203" s="1034"/>
      <c r="C203" s="1043"/>
      <c r="D203" s="1036"/>
      <c r="E203" s="1034"/>
      <c r="F203" s="1036"/>
      <c r="H203" s="95"/>
    </row>
    <row r="204" spans="1:8" s="9" customFormat="1" ht="18.75">
      <c r="A204" s="1034"/>
      <c r="B204" s="1034"/>
      <c r="C204" s="1043"/>
      <c r="D204" s="1036"/>
      <c r="E204" s="1034"/>
      <c r="F204" s="1036"/>
      <c r="H204" s="95"/>
    </row>
    <row r="205" spans="1:8" s="9" customFormat="1" ht="18.75">
      <c r="A205" s="1034"/>
      <c r="B205" s="1034"/>
      <c r="C205" s="1043"/>
      <c r="D205" s="1036"/>
      <c r="E205" s="1034"/>
      <c r="F205" s="1036"/>
      <c r="H205" s="95"/>
    </row>
    <row r="206" spans="1:8" s="9" customFormat="1" ht="18.75">
      <c r="A206" s="1034"/>
      <c r="B206" s="1034"/>
      <c r="C206" s="1043"/>
      <c r="D206" s="1036"/>
      <c r="E206" s="1034"/>
      <c r="F206" s="1036"/>
      <c r="H206" s="95"/>
    </row>
    <row r="207" spans="1:8" s="9" customFormat="1" ht="18.75">
      <c r="A207" s="1034"/>
      <c r="B207" s="1034"/>
      <c r="C207" s="1043"/>
      <c r="D207" s="1036"/>
      <c r="E207" s="1034"/>
      <c r="F207" s="1036"/>
      <c r="H207" s="95"/>
    </row>
    <row r="208" spans="1:8" s="9" customFormat="1" ht="18.75">
      <c r="A208" s="1034"/>
      <c r="B208" s="1034"/>
      <c r="C208" s="1043"/>
      <c r="D208" s="1036"/>
      <c r="E208" s="1034"/>
      <c r="F208" s="1036"/>
      <c r="H208" s="95"/>
    </row>
    <row r="209" spans="1:8" s="9" customFormat="1" ht="18.75">
      <c r="A209" s="1034"/>
      <c r="B209" s="1034"/>
      <c r="C209" s="1043"/>
      <c r="D209" s="1036"/>
      <c r="E209" s="1034"/>
      <c r="F209" s="1036"/>
      <c r="H209" s="95"/>
    </row>
    <row r="210" spans="1:8" s="9" customFormat="1" ht="18.75">
      <c r="A210" s="1034"/>
      <c r="B210" s="1034"/>
      <c r="C210" s="1043"/>
      <c r="D210" s="1036"/>
      <c r="E210" s="1034"/>
      <c r="F210" s="1036"/>
      <c r="H210" s="95"/>
    </row>
    <row r="211" spans="1:8" s="9" customFormat="1" ht="18.75">
      <c r="A211" s="1034"/>
      <c r="B211" s="1034"/>
      <c r="C211" s="1043"/>
      <c r="D211" s="1036"/>
      <c r="E211" s="1034"/>
      <c r="F211" s="1036"/>
      <c r="H211" s="95"/>
    </row>
    <row r="212" spans="1:8" s="9" customFormat="1" ht="18.75">
      <c r="A212" s="1034"/>
      <c r="B212" s="1034"/>
      <c r="C212" s="1043"/>
      <c r="D212" s="1036"/>
      <c r="E212" s="1034"/>
      <c r="F212" s="1036"/>
      <c r="H212" s="95"/>
    </row>
    <row r="213" spans="1:8" s="9" customFormat="1" ht="18.75">
      <c r="A213" s="1034"/>
      <c r="B213" s="1034"/>
      <c r="C213" s="1043"/>
      <c r="D213" s="1036"/>
      <c r="E213" s="1034"/>
      <c r="F213" s="1036"/>
      <c r="H213" s="95"/>
    </row>
    <row r="214" spans="1:8" s="9" customFormat="1" ht="18.75">
      <c r="A214" s="1034"/>
      <c r="B214" s="1034"/>
      <c r="C214" s="1043"/>
      <c r="D214" s="1036"/>
      <c r="E214" s="1034"/>
      <c r="F214" s="1036"/>
      <c r="H214" s="95"/>
    </row>
    <row r="215" spans="1:8" s="9" customFormat="1" ht="18.75">
      <c r="A215" s="1034"/>
      <c r="B215" s="1034"/>
      <c r="C215" s="1043"/>
      <c r="D215" s="1036"/>
      <c r="E215" s="1034"/>
      <c r="F215" s="1036"/>
      <c r="H215" s="95"/>
    </row>
    <row r="216" spans="1:8" s="9" customFormat="1" ht="18.75">
      <c r="A216" s="1034"/>
      <c r="B216" s="1034"/>
      <c r="C216" s="1043"/>
      <c r="D216" s="1036"/>
      <c r="E216" s="1034"/>
      <c r="F216" s="1036"/>
      <c r="H216" s="95"/>
    </row>
    <row r="217" spans="1:8" s="9" customFormat="1" ht="18.75">
      <c r="A217" s="1034"/>
      <c r="B217" s="1034"/>
      <c r="C217" s="1043"/>
      <c r="D217" s="1036"/>
      <c r="E217" s="1034"/>
      <c r="F217" s="1036"/>
      <c r="H217" s="95"/>
    </row>
    <row r="218" spans="1:8" s="9" customFormat="1" ht="18.75">
      <c r="A218" s="1034"/>
      <c r="B218" s="1034"/>
      <c r="C218" s="1043"/>
      <c r="D218" s="1036"/>
      <c r="E218" s="1034"/>
      <c r="F218" s="1036"/>
      <c r="H218" s="95"/>
    </row>
    <row r="219" spans="1:8" s="9" customFormat="1" ht="18.75">
      <c r="A219" s="1034"/>
      <c r="B219" s="1034"/>
      <c r="C219" s="1043"/>
      <c r="D219" s="1036"/>
      <c r="E219" s="1034"/>
      <c r="F219" s="1036"/>
      <c r="H219" s="95"/>
    </row>
    <row r="220" spans="1:8" s="9" customFormat="1" ht="18.75">
      <c r="A220" s="1034"/>
      <c r="B220" s="1034"/>
      <c r="C220" s="1043"/>
      <c r="D220" s="1036"/>
      <c r="E220" s="1034"/>
      <c r="F220" s="1036"/>
      <c r="H220" s="95"/>
    </row>
    <row r="221" spans="1:8" s="9" customFormat="1" ht="18.75">
      <c r="A221" s="1034"/>
      <c r="B221" s="1034"/>
      <c r="C221" s="1043"/>
      <c r="D221" s="1036"/>
      <c r="E221" s="1034"/>
      <c r="F221" s="1036"/>
      <c r="H221" s="95"/>
    </row>
    <row r="222" spans="1:8" s="9" customFormat="1" ht="18.75">
      <c r="A222" s="1034"/>
      <c r="B222" s="1034"/>
      <c r="C222" s="1043"/>
      <c r="D222" s="1036"/>
      <c r="E222" s="1034"/>
      <c r="F222" s="1036"/>
      <c r="H222" s="95"/>
    </row>
    <row r="223" spans="1:8" s="9" customFormat="1" ht="18.75">
      <c r="A223" s="1034"/>
      <c r="B223" s="1034"/>
      <c r="C223" s="1043"/>
      <c r="D223" s="1036"/>
      <c r="E223" s="1034"/>
      <c r="F223" s="1036"/>
      <c r="H223" s="95"/>
    </row>
    <row r="224" spans="1:8" s="9" customFormat="1" ht="18.75">
      <c r="A224" s="1034"/>
      <c r="B224" s="1034"/>
      <c r="C224" s="1043"/>
      <c r="D224" s="1036"/>
      <c r="E224" s="1034"/>
      <c r="F224" s="1036"/>
      <c r="H224" s="95"/>
    </row>
    <row r="225" spans="1:8" s="9" customFormat="1" ht="18.75">
      <c r="A225" s="1034"/>
      <c r="B225" s="1034"/>
      <c r="C225" s="1043"/>
      <c r="D225" s="1036"/>
      <c r="E225" s="1034"/>
      <c r="F225" s="1036"/>
      <c r="H225" s="95"/>
    </row>
    <row r="226" spans="1:8" s="9" customFormat="1" ht="18.75">
      <c r="A226" s="1034"/>
      <c r="B226" s="1034"/>
      <c r="C226" s="1043"/>
      <c r="D226" s="1036"/>
      <c r="E226" s="1034"/>
      <c r="F226" s="1036"/>
      <c r="H226" s="95"/>
    </row>
    <row r="227" spans="1:8" s="9" customFormat="1" ht="18.75">
      <c r="A227" s="1034"/>
      <c r="B227" s="1034"/>
      <c r="C227" s="1043"/>
      <c r="D227" s="1036"/>
      <c r="E227" s="1034"/>
      <c r="F227" s="1036"/>
      <c r="H227" s="95"/>
    </row>
    <row r="228" spans="1:8" s="9" customFormat="1" ht="18.75">
      <c r="A228" s="1034"/>
      <c r="B228" s="1034"/>
      <c r="C228" s="1043"/>
      <c r="D228" s="1036"/>
      <c r="E228" s="1034"/>
      <c r="F228" s="1036"/>
      <c r="H228" s="95"/>
    </row>
    <row r="229" spans="1:8" s="9" customFormat="1" ht="18.75">
      <c r="A229" s="1034"/>
      <c r="B229" s="1034"/>
      <c r="C229" s="1043"/>
      <c r="D229" s="1036"/>
      <c r="E229" s="1034"/>
      <c r="F229" s="1036"/>
      <c r="H229" s="95"/>
    </row>
    <row r="230" spans="1:8" s="9" customFormat="1" ht="18.75">
      <c r="A230" s="1034"/>
      <c r="B230" s="1034"/>
      <c r="C230" s="1043"/>
      <c r="D230" s="1036"/>
      <c r="E230" s="1034"/>
      <c r="F230" s="1036"/>
      <c r="H230" s="95"/>
    </row>
    <row r="231" spans="1:8" s="9" customFormat="1" ht="18.75">
      <c r="A231" s="1034"/>
      <c r="B231" s="1034"/>
      <c r="C231" s="1043"/>
      <c r="D231" s="1036"/>
      <c r="E231" s="1034"/>
      <c r="F231" s="1036"/>
      <c r="H231" s="95"/>
    </row>
    <row r="232" spans="1:8" s="9" customFormat="1" ht="18.75">
      <c r="A232" s="1034"/>
      <c r="B232" s="1034"/>
      <c r="C232" s="1043"/>
      <c r="D232" s="1036"/>
      <c r="E232" s="1034"/>
      <c r="F232" s="1036"/>
      <c r="H232" s="95"/>
    </row>
    <row r="233" spans="1:8" s="9" customFormat="1" ht="18.75">
      <c r="A233" s="1034"/>
      <c r="B233" s="1034"/>
      <c r="C233" s="1043"/>
      <c r="D233" s="1036"/>
      <c r="E233" s="1034"/>
      <c r="F233" s="1036"/>
      <c r="H233" s="95"/>
    </row>
    <row r="234" spans="1:8" s="9" customFormat="1" ht="18.75">
      <c r="A234" s="1034"/>
      <c r="B234" s="1034"/>
      <c r="C234" s="1043"/>
      <c r="D234" s="1036"/>
      <c r="E234" s="1034"/>
      <c r="F234" s="1036"/>
      <c r="H234" s="95"/>
    </row>
    <row r="235" spans="1:8" s="9" customFormat="1" ht="18.75">
      <c r="A235" s="1034"/>
      <c r="B235" s="1034"/>
      <c r="C235" s="1043"/>
      <c r="D235" s="1036"/>
      <c r="E235" s="1034"/>
      <c r="F235" s="1036"/>
      <c r="H235" s="95"/>
    </row>
    <row r="236" spans="1:8" s="9" customFormat="1" ht="18.75">
      <c r="A236" s="1034"/>
      <c r="B236" s="1034"/>
      <c r="C236" s="1043"/>
      <c r="D236" s="1036"/>
      <c r="E236" s="1034"/>
      <c r="F236" s="1036"/>
      <c r="H236" s="95"/>
    </row>
    <row r="237" spans="1:8" s="9" customFormat="1" ht="18.75">
      <c r="A237" s="1034"/>
      <c r="B237" s="1034"/>
      <c r="C237" s="1043"/>
      <c r="D237" s="1036"/>
      <c r="E237" s="1034"/>
      <c r="F237" s="1036"/>
      <c r="H237" s="95"/>
    </row>
    <row r="238" spans="1:8" s="9" customFormat="1" ht="18.75">
      <c r="A238" s="1034"/>
      <c r="B238" s="1034"/>
      <c r="C238" s="1043"/>
      <c r="D238" s="1036"/>
      <c r="E238" s="1034"/>
      <c r="F238" s="1036"/>
      <c r="H238" s="95"/>
    </row>
    <row r="239" spans="1:8" s="9" customFormat="1" ht="18.75">
      <c r="A239" s="1034"/>
      <c r="B239" s="1034"/>
      <c r="C239" s="1043"/>
      <c r="D239" s="1036"/>
      <c r="E239" s="1034"/>
      <c r="F239" s="1036"/>
      <c r="H239" s="95"/>
    </row>
    <row r="240" spans="1:8" s="9" customFormat="1" ht="18.75">
      <c r="A240" s="1034"/>
      <c r="B240" s="1034"/>
      <c r="C240" s="1043"/>
      <c r="D240" s="1036"/>
      <c r="E240" s="1034"/>
      <c r="F240" s="1036"/>
      <c r="H240" s="95"/>
    </row>
    <row r="241" spans="1:8" s="9" customFormat="1" ht="18.75">
      <c r="A241" s="1034"/>
      <c r="B241" s="1034"/>
      <c r="C241" s="1043"/>
      <c r="D241" s="1036"/>
      <c r="E241" s="1034"/>
      <c r="F241" s="1036"/>
      <c r="H241" s="95"/>
    </row>
    <row r="242" spans="1:8" s="9" customFormat="1" ht="18.75">
      <c r="A242" s="1034"/>
      <c r="B242" s="1034"/>
      <c r="C242" s="1043"/>
      <c r="D242" s="1036"/>
      <c r="E242" s="1034"/>
      <c r="F242" s="1036"/>
      <c r="H242" s="95"/>
    </row>
    <row r="243" ht="18.75">
      <c r="G243" s="1036"/>
    </row>
  </sheetData>
  <sheetProtection/>
  <printOptions/>
  <pageMargins left="0.44" right="0.32" top="0.43" bottom="0.38" header="0.5"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13"/>
  </sheetPr>
  <dimension ref="A1:BE122"/>
  <sheetViews>
    <sheetView zoomScalePageLayoutView="0" workbookViewId="0" topLeftCell="A1">
      <pane xSplit="1" ySplit="3" topLeftCell="N46" activePane="bottomRight" state="frozen"/>
      <selection pane="topLeft" activeCell="A1" sqref="A1"/>
      <selection pane="topRight" activeCell="B1" sqref="B1"/>
      <selection pane="bottomLeft" activeCell="A4" sqref="A4"/>
      <selection pane="bottomRight" activeCell="P54" sqref="P54"/>
    </sheetView>
  </sheetViews>
  <sheetFormatPr defaultColWidth="9.140625" defaultRowHeight="15.75" customHeight="1"/>
  <cols>
    <col min="1" max="1" width="30.28125" style="9" customWidth="1"/>
    <col min="2" max="2" width="6.421875" style="9" customWidth="1"/>
    <col min="3" max="3" width="8.421875" style="478" customWidth="1"/>
    <col min="4" max="4" width="5.7109375" style="9" customWidth="1"/>
    <col min="5" max="5" width="7.7109375" style="478" customWidth="1"/>
    <col min="6" max="6" width="6.140625" style="9" customWidth="1"/>
    <col min="7" max="7" width="8.140625" style="478" customWidth="1"/>
    <col min="8" max="8" width="6.140625" style="9" customWidth="1"/>
    <col min="9" max="9" width="8.00390625" style="478" customWidth="1"/>
    <col min="10" max="10" width="6.140625" style="9" customWidth="1"/>
    <col min="11" max="11" width="7.7109375" style="478" customWidth="1"/>
    <col min="12" max="12" width="6.28125" style="9" customWidth="1"/>
    <col min="13" max="13" width="8.00390625" style="478" customWidth="1"/>
    <col min="14" max="14" width="6.00390625" style="9" customWidth="1"/>
    <col min="15" max="15" width="8.28125" style="478" customWidth="1"/>
    <col min="16" max="16" width="5.57421875" style="9" customWidth="1"/>
    <col min="17" max="17" width="8.57421875" style="469" customWidth="1"/>
    <col min="18" max="18" width="6.00390625" style="111" customWidth="1"/>
    <col min="19" max="19" width="7.140625" style="469" customWidth="1"/>
    <col min="20" max="20" width="6.00390625" style="9" customWidth="1"/>
    <col min="21" max="21" width="7.421875" style="478" customWidth="1"/>
    <col min="22" max="22" width="7.7109375" style="9" customWidth="1"/>
    <col min="23" max="23" width="8.28125" style="478" customWidth="1"/>
    <col min="24" max="24" width="5.7109375" style="9" customWidth="1"/>
    <col min="25" max="25" width="8.140625" style="478" customWidth="1"/>
    <col min="26" max="26" width="5.8515625" style="9" customWidth="1"/>
    <col min="27" max="27" width="9.140625" style="478" customWidth="1"/>
    <col min="28" max="28" width="11.00390625" style="0" customWidth="1"/>
    <col min="29" max="29" width="5.421875" style="0" customWidth="1"/>
    <col min="30" max="30" width="9.421875" style="0" customWidth="1"/>
    <col min="31" max="31" width="5.8515625" style="0" customWidth="1"/>
    <col min="32" max="32" width="16.28125" style="0" customWidth="1"/>
    <col min="33" max="33" width="5.00390625" style="0" customWidth="1"/>
    <col min="34" max="34" width="8.00390625" style="0" customWidth="1"/>
    <col min="35" max="35" width="4.7109375" style="0" customWidth="1"/>
    <col min="36" max="36" width="7.57421875" style="0" customWidth="1"/>
    <col min="37" max="37" width="4.421875" style="0" customWidth="1"/>
    <col min="38" max="38" width="7.00390625" style="0" customWidth="1"/>
    <col min="39" max="39" width="4.8515625" style="0" customWidth="1"/>
    <col min="40" max="40" width="7.140625" style="0" customWidth="1"/>
    <col min="41" max="41" width="4.8515625" style="0" customWidth="1"/>
    <col min="42" max="42" width="7.28125" style="0" customWidth="1"/>
    <col min="43" max="43" width="4.421875" style="0" customWidth="1"/>
    <col min="44" max="44" width="7.00390625" style="0" customWidth="1"/>
    <col min="45" max="45" width="4.57421875" style="0" customWidth="1"/>
    <col min="47" max="47" width="4.57421875" style="0" customWidth="1"/>
    <col min="48" max="48" width="7.7109375" style="0" customWidth="1"/>
    <col min="49" max="49" width="4.7109375" style="0" customWidth="1"/>
    <col min="50" max="50" width="6.57421875" style="0" customWidth="1"/>
    <col min="51" max="51" width="5.28125" style="0" customWidth="1"/>
    <col min="54" max="54" width="5.57421875" style="0" customWidth="1"/>
    <col min="58" max="16384" width="9.140625" style="9" customWidth="1"/>
  </cols>
  <sheetData>
    <row r="1" spans="1:27" ht="27.75" customHeight="1" thickBot="1">
      <c r="A1" s="227"/>
      <c r="C1" s="469"/>
      <c r="D1" s="111"/>
      <c r="E1" s="469"/>
      <c r="F1" s="111"/>
      <c r="G1" s="469"/>
      <c r="L1" s="111"/>
      <c r="M1" s="469"/>
      <c r="T1" s="111"/>
      <c r="X1" s="142"/>
      <c r="Y1" s="485"/>
      <c r="Z1" s="142"/>
      <c r="AA1" s="486" t="s">
        <v>145</v>
      </c>
    </row>
    <row r="2" spans="1:27" ht="74.25" customHeight="1" thickBot="1">
      <c r="A2" s="1289" t="s">
        <v>1</v>
      </c>
      <c r="B2" s="1291" t="s">
        <v>71</v>
      </c>
      <c r="C2" s="1291"/>
      <c r="D2" s="1291" t="s">
        <v>73</v>
      </c>
      <c r="E2" s="1291"/>
      <c r="F2" s="1292" t="s">
        <v>85</v>
      </c>
      <c r="G2" s="1292"/>
      <c r="H2" s="1292" t="s">
        <v>163</v>
      </c>
      <c r="I2" s="1292"/>
      <c r="J2" s="1292" t="s">
        <v>74</v>
      </c>
      <c r="K2" s="1292"/>
      <c r="L2" s="1294" t="s">
        <v>77</v>
      </c>
      <c r="M2" s="1294"/>
      <c r="N2" s="1292" t="s">
        <v>78</v>
      </c>
      <c r="O2" s="1292"/>
      <c r="P2" s="1295" t="s">
        <v>79</v>
      </c>
      <c r="Q2" s="1295"/>
      <c r="R2" s="1294" t="s">
        <v>80</v>
      </c>
      <c r="S2" s="1294"/>
      <c r="T2" s="1294" t="s">
        <v>81</v>
      </c>
      <c r="U2" s="1294"/>
      <c r="V2" s="1294" t="s">
        <v>213</v>
      </c>
      <c r="W2" s="1294"/>
      <c r="X2" s="1294" t="s">
        <v>83</v>
      </c>
      <c r="Y2" s="1294"/>
      <c r="Z2" s="1293" t="s">
        <v>66</v>
      </c>
      <c r="AA2" s="1293"/>
    </row>
    <row r="3" spans="1:57" s="143" customFormat="1" ht="28.5" customHeight="1" thickBot="1">
      <c r="A3" s="1290"/>
      <c r="B3" s="154" t="s">
        <v>10</v>
      </c>
      <c r="C3" s="470" t="s">
        <v>9</v>
      </c>
      <c r="D3" s="154" t="s">
        <v>10</v>
      </c>
      <c r="E3" s="470" t="s">
        <v>9</v>
      </c>
      <c r="F3" s="154" t="s">
        <v>10</v>
      </c>
      <c r="G3" s="470" t="s">
        <v>9</v>
      </c>
      <c r="H3" s="154" t="s">
        <v>10</v>
      </c>
      <c r="I3" s="479" t="s">
        <v>9</v>
      </c>
      <c r="J3" s="154" t="s">
        <v>10</v>
      </c>
      <c r="K3" s="479" t="s">
        <v>9</v>
      </c>
      <c r="L3" s="154" t="s">
        <v>10</v>
      </c>
      <c r="M3" s="479" t="s">
        <v>9</v>
      </c>
      <c r="N3" s="154" t="s">
        <v>10</v>
      </c>
      <c r="O3" s="479" t="s">
        <v>9</v>
      </c>
      <c r="P3" s="154" t="s">
        <v>10</v>
      </c>
      <c r="Q3" s="479" t="s">
        <v>9</v>
      </c>
      <c r="R3" s="154" t="s">
        <v>10</v>
      </c>
      <c r="S3" s="479" t="s">
        <v>9</v>
      </c>
      <c r="T3" s="154" t="s">
        <v>10</v>
      </c>
      <c r="U3" s="479" t="s">
        <v>9</v>
      </c>
      <c r="V3" s="154" t="s">
        <v>10</v>
      </c>
      <c r="W3" s="479" t="s">
        <v>9</v>
      </c>
      <c r="X3" s="154" t="s">
        <v>10</v>
      </c>
      <c r="Y3" s="479" t="s">
        <v>9</v>
      </c>
      <c r="Z3" s="154" t="s">
        <v>10</v>
      </c>
      <c r="AA3" s="470" t="s">
        <v>9</v>
      </c>
      <c r="AB3"/>
      <c r="AC3"/>
      <c r="AD3"/>
      <c r="AE3"/>
      <c r="AF3"/>
      <c r="AG3"/>
      <c r="AH3"/>
      <c r="AI3"/>
      <c r="AJ3"/>
      <c r="AK3"/>
      <c r="AL3"/>
      <c r="AM3"/>
      <c r="AN3"/>
      <c r="AO3"/>
      <c r="AP3"/>
      <c r="AQ3"/>
      <c r="AR3"/>
      <c r="AS3"/>
      <c r="AT3"/>
      <c r="AU3"/>
      <c r="AV3"/>
      <c r="AW3"/>
      <c r="AX3"/>
      <c r="AY3"/>
      <c r="AZ3"/>
      <c r="BA3"/>
      <c r="BB3"/>
      <c r="BC3"/>
      <c r="BD3"/>
      <c r="BE3"/>
    </row>
    <row r="4" spans="1:57" s="143" customFormat="1" ht="23.25" customHeight="1">
      <c r="A4" s="144" t="s">
        <v>146</v>
      </c>
      <c r="B4" s="145"/>
      <c r="C4" s="471"/>
      <c r="D4" s="145"/>
      <c r="E4" s="471"/>
      <c r="F4" s="145"/>
      <c r="G4" s="471"/>
      <c r="H4" s="145"/>
      <c r="I4" s="480"/>
      <c r="J4" s="145"/>
      <c r="K4" s="480"/>
      <c r="L4" s="146"/>
      <c r="M4" s="480"/>
      <c r="N4" s="145"/>
      <c r="O4" s="480"/>
      <c r="P4" s="145"/>
      <c r="Q4" s="480"/>
      <c r="R4" s="146"/>
      <c r="S4" s="480"/>
      <c r="T4" s="145"/>
      <c r="U4" s="480"/>
      <c r="V4" s="146"/>
      <c r="W4" s="480"/>
      <c r="X4" s="146"/>
      <c r="Y4" s="480"/>
      <c r="Z4" s="144"/>
      <c r="AA4" s="487"/>
      <c r="AB4"/>
      <c r="AC4"/>
      <c r="AD4"/>
      <c r="AE4"/>
      <c r="AF4"/>
      <c r="AG4"/>
      <c r="AH4"/>
      <c r="AI4"/>
      <c r="AJ4"/>
      <c r="AK4"/>
      <c r="AL4"/>
      <c r="AM4"/>
      <c r="AN4"/>
      <c r="AO4"/>
      <c r="AP4"/>
      <c r="AQ4"/>
      <c r="AR4"/>
      <c r="AS4"/>
      <c r="AT4"/>
      <c r="AU4"/>
      <c r="AV4"/>
      <c r="AW4"/>
      <c r="AX4"/>
      <c r="AY4"/>
      <c r="AZ4"/>
      <c r="BA4"/>
      <c r="BB4"/>
      <c r="BC4"/>
      <c r="BD4"/>
      <c r="BE4"/>
    </row>
    <row r="5" spans="1:57" s="143" customFormat="1" ht="19.5" customHeight="1">
      <c r="A5" s="147" t="s">
        <v>87</v>
      </c>
      <c r="B5" s="205">
        <v>5</v>
      </c>
      <c r="C5" s="472">
        <v>236.3</v>
      </c>
      <c r="D5" s="205">
        <v>4</v>
      </c>
      <c r="E5" s="472">
        <v>109.1</v>
      </c>
      <c r="F5" s="205">
        <v>4</v>
      </c>
      <c r="G5" s="472">
        <v>126.6</v>
      </c>
      <c r="H5" s="205">
        <v>2</v>
      </c>
      <c r="I5" s="472">
        <v>181</v>
      </c>
      <c r="J5" s="205"/>
      <c r="K5" s="472"/>
      <c r="L5" s="205">
        <v>7</v>
      </c>
      <c r="M5" s="472">
        <v>139.1</v>
      </c>
      <c r="N5" s="205"/>
      <c r="O5" s="472"/>
      <c r="P5" s="205"/>
      <c r="Q5" s="472"/>
      <c r="R5" s="205"/>
      <c r="S5" s="472"/>
      <c r="T5" s="205">
        <v>3</v>
      </c>
      <c r="U5" s="472">
        <v>87.2</v>
      </c>
      <c r="V5" s="205">
        <v>15</v>
      </c>
      <c r="W5" s="472">
        <v>271.3</v>
      </c>
      <c r="X5" s="205">
        <v>31</v>
      </c>
      <c r="Y5" s="472">
        <v>170.5</v>
      </c>
      <c r="Z5" s="207">
        <f>SUM(B5,D5,N5,J5,R5,V5,F5,H5,L5,P5,T5,X5)</f>
        <v>71</v>
      </c>
      <c r="AA5" s="488">
        <f>SUM(C5,E5,S5,O5,K5,W5,G5,I5,M5,Q5,U5,Y5)</f>
        <v>1321.1000000000001</v>
      </c>
      <c r="AB5"/>
      <c r="AC5"/>
      <c r="AD5"/>
      <c r="AE5"/>
      <c r="AF5"/>
      <c r="AG5"/>
      <c r="AH5"/>
      <c r="AI5"/>
      <c r="AJ5"/>
      <c r="AK5"/>
      <c r="AL5"/>
      <c r="AM5"/>
      <c r="AN5"/>
      <c r="AO5"/>
      <c r="AP5"/>
      <c r="AQ5"/>
      <c r="AR5"/>
      <c r="AS5"/>
      <c r="AT5"/>
      <c r="AU5"/>
      <c r="AV5"/>
      <c r="AW5"/>
      <c r="AX5"/>
      <c r="AY5"/>
      <c r="AZ5"/>
      <c r="BA5"/>
      <c r="BB5"/>
      <c r="BC5"/>
      <c r="BD5"/>
      <c r="BE5"/>
    </row>
    <row r="6" spans="1:57" s="143" customFormat="1" ht="19.5" customHeight="1">
      <c r="A6" s="147" t="s">
        <v>88</v>
      </c>
      <c r="B6" s="205">
        <v>32</v>
      </c>
      <c r="C6" s="472">
        <f>201.7+809.2</f>
        <v>1010.9000000000001</v>
      </c>
      <c r="D6" s="205">
        <v>5</v>
      </c>
      <c r="E6" s="472">
        <v>114.3</v>
      </c>
      <c r="F6" s="205">
        <v>7</v>
      </c>
      <c r="G6" s="472">
        <v>231.1</v>
      </c>
      <c r="H6" s="205">
        <v>3</v>
      </c>
      <c r="I6" s="472">
        <v>271.5</v>
      </c>
      <c r="J6" s="205"/>
      <c r="K6" s="472"/>
      <c r="L6" s="205">
        <v>22</v>
      </c>
      <c r="M6" s="472">
        <v>712.1</v>
      </c>
      <c r="N6" s="205"/>
      <c r="O6" s="472"/>
      <c r="P6" s="205">
        <v>4</v>
      </c>
      <c r="Q6" s="472">
        <v>283.9</v>
      </c>
      <c r="R6" s="205"/>
      <c r="S6" s="472"/>
      <c r="T6" s="205"/>
      <c r="U6" s="472"/>
      <c r="V6" s="205">
        <v>14</v>
      </c>
      <c r="W6" s="472">
        <v>336</v>
      </c>
      <c r="X6" s="205">
        <v>44</v>
      </c>
      <c r="Y6" s="472">
        <v>367.1</v>
      </c>
      <c r="Z6" s="207">
        <f>SUM(B6,D6,N6,J6,R6,V6,F6,H6,L6,P6,T6,X6)</f>
        <v>131</v>
      </c>
      <c r="AA6" s="488">
        <f>SUM(C6,E6,S6,O6,K6,W6,G6,I6,M6,Q6,U6,Y6)</f>
        <v>3326.9</v>
      </c>
      <c r="AB6"/>
      <c r="AC6"/>
      <c r="AD6"/>
      <c r="AE6"/>
      <c r="AF6"/>
      <c r="AG6"/>
      <c r="AH6"/>
      <c r="AI6"/>
      <c r="AJ6"/>
      <c r="AK6"/>
      <c r="AL6"/>
      <c r="AM6"/>
      <c r="AN6"/>
      <c r="AO6"/>
      <c r="AP6"/>
      <c r="AQ6"/>
      <c r="AR6"/>
      <c r="AS6"/>
      <c r="AT6"/>
      <c r="AU6"/>
      <c r="AV6"/>
      <c r="AW6"/>
      <c r="AX6"/>
      <c r="AY6"/>
      <c r="AZ6"/>
      <c r="BA6"/>
      <c r="BB6"/>
      <c r="BC6"/>
      <c r="BD6"/>
      <c r="BE6"/>
    </row>
    <row r="7" spans="1:57" s="143" customFormat="1" ht="19.5" customHeight="1">
      <c r="A7" s="147" t="s">
        <v>89</v>
      </c>
      <c r="B7" s="205">
        <v>13</v>
      </c>
      <c r="C7" s="472">
        <f>878.6+414</f>
        <v>1292.6</v>
      </c>
      <c r="D7" s="205"/>
      <c r="E7" s="472"/>
      <c r="F7" s="205">
        <v>11</v>
      </c>
      <c r="G7" s="472">
        <v>359.2</v>
      </c>
      <c r="H7" s="205">
        <v>3</v>
      </c>
      <c r="I7" s="472">
        <v>271.5</v>
      </c>
      <c r="J7" s="205">
        <v>5</v>
      </c>
      <c r="K7" s="472">
        <v>54.3</v>
      </c>
      <c r="L7" s="205">
        <v>17</v>
      </c>
      <c r="M7" s="472">
        <v>552.3</v>
      </c>
      <c r="N7" s="205"/>
      <c r="O7" s="472"/>
      <c r="P7" s="205">
        <v>2</v>
      </c>
      <c r="Q7" s="472">
        <v>74.2</v>
      </c>
      <c r="R7" s="205"/>
      <c r="S7" s="472">
        <v>251.4</v>
      </c>
      <c r="T7" s="205"/>
      <c r="U7" s="472"/>
      <c r="V7" s="205">
        <v>12</v>
      </c>
      <c r="W7" s="472">
        <v>316</v>
      </c>
      <c r="X7" s="205">
        <v>6</v>
      </c>
      <c r="Y7" s="472">
        <v>116.4</v>
      </c>
      <c r="Z7" s="207">
        <f>SUM(B7,D7,N7,J7,R7,V7,F7,H7,L7,P7,T7,X7)</f>
        <v>69</v>
      </c>
      <c r="AA7" s="488">
        <f>SUM(C7,E7,S7,O7,K7,W7,G7,I7,M7,Q7,U7,Y7)</f>
        <v>3287.9</v>
      </c>
      <c r="AB7"/>
      <c r="AC7"/>
      <c r="AD7"/>
      <c r="AE7"/>
      <c r="AF7"/>
      <c r="AG7"/>
      <c r="AH7"/>
      <c r="AI7"/>
      <c r="AJ7"/>
      <c r="AK7"/>
      <c r="AL7"/>
      <c r="AM7"/>
      <c r="AN7"/>
      <c r="AO7"/>
      <c r="AP7"/>
      <c r="AQ7"/>
      <c r="AR7"/>
      <c r="AS7"/>
      <c r="AT7"/>
      <c r="AU7"/>
      <c r="AV7"/>
      <c r="AW7"/>
      <c r="AX7"/>
      <c r="AY7"/>
      <c r="AZ7"/>
      <c r="BA7"/>
      <c r="BB7"/>
      <c r="BC7"/>
      <c r="BD7"/>
      <c r="BE7"/>
    </row>
    <row r="8" spans="1:57" s="143" customFormat="1" ht="19.5" customHeight="1">
      <c r="A8" s="149" t="s">
        <v>90</v>
      </c>
      <c r="B8" s="490">
        <v>12</v>
      </c>
      <c r="C8" s="491">
        <v>688.6</v>
      </c>
      <c r="D8" s="490">
        <v>4</v>
      </c>
      <c r="E8" s="491">
        <v>111.8</v>
      </c>
      <c r="F8" s="490">
        <v>9</v>
      </c>
      <c r="G8" s="491">
        <v>296.1</v>
      </c>
      <c r="H8" s="490">
        <v>8</v>
      </c>
      <c r="I8" s="491">
        <v>1024.8</v>
      </c>
      <c r="J8" s="490"/>
      <c r="K8" s="491"/>
      <c r="L8" s="490">
        <v>14</v>
      </c>
      <c r="M8" s="491">
        <v>264.2</v>
      </c>
      <c r="N8" s="490">
        <v>2</v>
      </c>
      <c r="O8" s="491">
        <v>77.6</v>
      </c>
      <c r="P8" s="490">
        <v>1</v>
      </c>
      <c r="Q8" s="491">
        <v>65.4</v>
      </c>
      <c r="R8" s="490"/>
      <c r="S8" s="491"/>
      <c r="T8" s="490"/>
      <c r="U8" s="491"/>
      <c r="V8" s="490">
        <v>13</v>
      </c>
      <c r="W8" s="491">
        <v>356</v>
      </c>
      <c r="X8" s="490">
        <v>57</v>
      </c>
      <c r="Y8" s="491">
        <v>355.2</v>
      </c>
      <c r="Z8" s="492">
        <f>SUM(B8,D8,N8,J8,R8,V8,F8,H8,L8,P8,T8,X8)</f>
        <v>120</v>
      </c>
      <c r="AA8" s="493">
        <f>SUM(C8,E8,S8,O8,K8,W8,G8,I8,M8,Q8,U8,Y8)</f>
        <v>3239.6999999999994</v>
      </c>
      <c r="AB8"/>
      <c r="AC8"/>
      <c r="AD8"/>
      <c r="AE8"/>
      <c r="AF8"/>
      <c r="AG8"/>
      <c r="AH8"/>
      <c r="AI8"/>
      <c r="AJ8"/>
      <c r="AK8"/>
      <c r="AL8"/>
      <c r="AM8"/>
      <c r="AN8"/>
      <c r="AO8"/>
      <c r="AP8"/>
      <c r="AQ8"/>
      <c r="AR8"/>
      <c r="AS8"/>
      <c r="AT8"/>
      <c r="AU8"/>
      <c r="AV8"/>
      <c r="AW8"/>
      <c r="AX8"/>
      <c r="AY8"/>
      <c r="AZ8"/>
      <c r="BA8"/>
      <c r="BB8"/>
      <c r="BC8"/>
      <c r="BD8"/>
      <c r="BE8"/>
    </row>
    <row r="9" spans="1:57" s="143" customFormat="1" ht="23.25" customHeight="1">
      <c r="A9" s="148" t="s">
        <v>16</v>
      </c>
      <c r="B9" s="210"/>
      <c r="C9" s="473"/>
      <c r="D9" s="210"/>
      <c r="E9" s="473"/>
      <c r="F9" s="210"/>
      <c r="G9" s="473"/>
      <c r="H9" s="211"/>
      <c r="I9" s="473"/>
      <c r="J9" s="211"/>
      <c r="K9" s="473"/>
      <c r="L9" s="212"/>
      <c r="M9" s="483"/>
      <c r="N9" s="211"/>
      <c r="O9" s="473"/>
      <c r="P9" s="211"/>
      <c r="Q9" s="473"/>
      <c r="R9" s="210"/>
      <c r="S9" s="473"/>
      <c r="T9" s="211"/>
      <c r="U9" s="473"/>
      <c r="V9" s="210"/>
      <c r="W9" s="473"/>
      <c r="X9" s="210"/>
      <c r="Y9" s="473"/>
      <c r="Z9" s="208"/>
      <c r="AA9" s="489"/>
      <c r="AB9"/>
      <c r="AC9"/>
      <c r="AD9"/>
      <c r="AE9"/>
      <c r="AF9"/>
      <c r="AG9"/>
      <c r="AH9"/>
      <c r="AI9"/>
      <c r="AJ9"/>
      <c r="AK9"/>
      <c r="AL9"/>
      <c r="AM9"/>
      <c r="AN9"/>
      <c r="AO9"/>
      <c r="AP9"/>
      <c r="AQ9"/>
      <c r="AR9"/>
      <c r="AS9"/>
      <c r="AT9"/>
      <c r="AU9"/>
      <c r="AV9"/>
      <c r="AW9"/>
      <c r="AX9"/>
      <c r="AY9"/>
      <c r="AZ9"/>
      <c r="BA9"/>
      <c r="BB9"/>
      <c r="BC9"/>
      <c r="BD9"/>
      <c r="BE9"/>
    </row>
    <row r="10" spans="1:57" s="143" customFormat="1" ht="19.5" customHeight="1">
      <c r="A10" s="147" t="s">
        <v>96</v>
      </c>
      <c r="B10" s="205">
        <v>4</v>
      </c>
      <c r="C10" s="472">
        <v>188.8</v>
      </c>
      <c r="D10" s="205">
        <v>4</v>
      </c>
      <c r="E10" s="472">
        <v>168.5</v>
      </c>
      <c r="F10" s="205">
        <v>2</v>
      </c>
      <c r="G10" s="472">
        <v>62.2</v>
      </c>
      <c r="H10" s="205">
        <v>2</v>
      </c>
      <c r="I10" s="472">
        <v>181</v>
      </c>
      <c r="J10" s="205"/>
      <c r="K10" s="472"/>
      <c r="L10" s="205">
        <v>5</v>
      </c>
      <c r="M10" s="472">
        <v>277.8</v>
      </c>
      <c r="N10" s="205"/>
      <c r="O10" s="472"/>
      <c r="P10" s="205">
        <v>1</v>
      </c>
      <c r="Q10" s="472">
        <v>86</v>
      </c>
      <c r="R10" s="205"/>
      <c r="S10" s="472"/>
      <c r="T10" s="205"/>
      <c r="U10" s="472"/>
      <c r="V10" s="205"/>
      <c r="W10" s="472"/>
      <c r="X10" s="205">
        <v>2</v>
      </c>
      <c r="Y10" s="472">
        <v>52.7</v>
      </c>
      <c r="Z10" s="207">
        <f>SUM(B10,D10,N10,J10,R10,V10,F10,H10,L10,P10,T10,X10)</f>
        <v>20</v>
      </c>
      <c r="AA10" s="488">
        <f>SUM(C10,E10,S10,O10,K10,W10,G10,I10,M10,Q10,U10,Y10)</f>
        <v>1017</v>
      </c>
      <c r="AB10"/>
      <c r="AC10"/>
      <c r="AD10"/>
      <c r="AE10"/>
      <c r="AF10"/>
      <c r="AG10"/>
      <c r="AH10"/>
      <c r="AI10"/>
      <c r="AJ10"/>
      <c r="AK10"/>
      <c r="AL10"/>
      <c r="AM10"/>
      <c r="AN10"/>
      <c r="AO10"/>
      <c r="AP10"/>
      <c r="AQ10"/>
      <c r="AR10"/>
      <c r="AS10"/>
      <c r="AT10"/>
      <c r="AU10"/>
      <c r="AV10"/>
      <c r="AW10"/>
      <c r="AX10"/>
      <c r="AY10"/>
      <c r="AZ10"/>
      <c r="BA10"/>
      <c r="BB10"/>
      <c r="BC10"/>
      <c r="BD10"/>
      <c r="BE10"/>
    </row>
    <row r="11" spans="1:57" s="143" customFormat="1" ht="19.5" customHeight="1">
      <c r="A11" s="147" t="s">
        <v>124</v>
      </c>
      <c r="B11" s="205"/>
      <c r="C11" s="472"/>
      <c r="D11" s="205"/>
      <c r="E11" s="472"/>
      <c r="F11" s="205"/>
      <c r="G11" s="472"/>
      <c r="H11" s="205">
        <v>1</v>
      </c>
      <c r="I11" s="472">
        <v>90.5</v>
      </c>
      <c r="J11" s="205"/>
      <c r="K11" s="472"/>
      <c r="L11" s="205">
        <v>5</v>
      </c>
      <c r="M11" s="472">
        <v>290.7</v>
      </c>
      <c r="N11" s="205"/>
      <c r="O11" s="472"/>
      <c r="P11" s="205">
        <v>1</v>
      </c>
      <c r="Q11" s="472">
        <v>85.6</v>
      </c>
      <c r="R11" s="205"/>
      <c r="S11" s="472"/>
      <c r="T11" s="205"/>
      <c r="U11" s="472"/>
      <c r="V11" s="205"/>
      <c r="W11" s="472"/>
      <c r="X11" s="205"/>
      <c r="Y11" s="472"/>
      <c r="Z11" s="207">
        <f>SUM(B11,D11,N11,J11,R11,V11,F11,H11,L11,P11,T11,X11)</f>
        <v>7</v>
      </c>
      <c r="AA11" s="488">
        <f>SUM(C11,E11,S11,O11,K11,W11,G11,I11,M11,Q11,U11,Y11)</f>
        <v>466.79999999999995</v>
      </c>
      <c r="AB11"/>
      <c r="AC11"/>
      <c r="AD11"/>
      <c r="AE11"/>
      <c r="AF11"/>
      <c r="AG11"/>
      <c r="AH11"/>
      <c r="AI11"/>
      <c r="AJ11"/>
      <c r="AK11"/>
      <c r="AL11"/>
      <c r="AM11"/>
      <c r="AN11"/>
      <c r="AO11"/>
      <c r="AP11"/>
      <c r="AQ11"/>
      <c r="AR11"/>
      <c r="AS11"/>
      <c r="AT11"/>
      <c r="AU11"/>
      <c r="AV11"/>
      <c r="AW11"/>
      <c r="AX11"/>
      <c r="AY11"/>
      <c r="AZ11"/>
      <c r="BA11"/>
      <c r="BB11"/>
      <c r="BC11"/>
      <c r="BD11"/>
      <c r="BE11"/>
    </row>
    <row r="12" spans="1:57" s="143" customFormat="1" ht="19.5" customHeight="1">
      <c r="A12" s="147" t="s">
        <v>97</v>
      </c>
      <c r="B12" s="205">
        <v>5</v>
      </c>
      <c r="C12" s="472">
        <v>236</v>
      </c>
      <c r="D12" s="205">
        <v>2</v>
      </c>
      <c r="E12" s="472">
        <v>77.1</v>
      </c>
      <c r="F12" s="205"/>
      <c r="G12" s="472"/>
      <c r="H12" s="205"/>
      <c r="I12" s="472"/>
      <c r="J12" s="205"/>
      <c r="K12" s="472"/>
      <c r="L12" s="205">
        <v>1</v>
      </c>
      <c r="M12" s="472">
        <v>5.8</v>
      </c>
      <c r="N12" s="205"/>
      <c r="O12" s="472"/>
      <c r="P12" s="205">
        <v>2</v>
      </c>
      <c r="Q12" s="472">
        <v>94.2</v>
      </c>
      <c r="R12" s="205"/>
      <c r="S12" s="472"/>
      <c r="T12" s="205"/>
      <c r="U12" s="472"/>
      <c r="V12" s="205"/>
      <c r="W12" s="472"/>
      <c r="X12" s="205">
        <v>6</v>
      </c>
      <c r="Y12" s="472">
        <v>116.4</v>
      </c>
      <c r="Z12" s="207">
        <f>SUM(B12,D12,N12,J12,R12,V12,F12,H12,L12,P12,T12,X12)</f>
        <v>16</v>
      </c>
      <c r="AA12" s="488">
        <f>SUM(C12,E12,S12,O12,K12,W12,G12,I12,M12,Q12,U12,Y12)</f>
        <v>529.5</v>
      </c>
      <c r="AB12"/>
      <c r="AC12"/>
      <c r="AD12"/>
      <c r="AE12"/>
      <c r="AF12"/>
      <c r="AG12"/>
      <c r="AH12"/>
      <c r="AI12"/>
      <c r="AJ12"/>
      <c r="AK12"/>
      <c r="AL12"/>
      <c r="AM12"/>
      <c r="AN12"/>
      <c r="AO12"/>
      <c r="AP12"/>
      <c r="AQ12"/>
      <c r="AR12"/>
      <c r="AS12"/>
      <c r="AT12"/>
      <c r="AU12"/>
      <c r="AV12"/>
      <c r="AW12"/>
      <c r="AX12"/>
      <c r="AY12"/>
      <c r="AZ12"/>
      <c r="BA12"/>
      <c r="BB12"/>
      <c r="BC12"/>
      <c r="BD12"/>
      <c r="BE12"/>
    </row>
    <row r="13" spans="1:57" s="143" customFormat="1" ht="19.5" customHeight="1">
      <c r="A13" s="147" t="s">
        <v>214</v>
      </c>
      <c r="B13" s="205"/>
      <c r="C13" s="472"/>
      <c r="D13" s="205"/>
      <c r="E13" s="472"/>
      <c r="F13" s="205"/>
      <c r="G13" s="472"/>
      <c r="H13" s="205"/>
      <c r="I13" s="472"/>
      <c r="J13" s="205"/>
      <c r="K13" s="472"/>
      <c r="L13" s="205">
        <v>2</v>
      </c>
      <c r="M13" s="472">
        <v>169.4</v>
      </c>
      <c r="N13" s="205"/>
      <c r="O13" s="472"/>
      <c r="P13" s="205"/>
      <c r="Q13" s="472"/>
      <c r="R13" s="205"/>
      <c r="S13" s="472"/>
      <c r="T13" s="205"/>
      <c r="U13" s="472"/>
      <c r="V13" s="205"/>
      <c r="W13" s="472"/>
      <c r="X13" s="205"/>
      <c r="Y13" s="472"/>
      <c r="Z13" s="207">
        <f>SUM(B13,D13,N13,J13,R13,V13,F13,H13,L13,P13,T13,X13)</f>
        <v>2</v>
      </c>
      <c r="AA13" s="488">
        <f>SUM(C13,E13,S13,O13,K13,W13,G13,I13,M13,Q13,U13,Y13)</f>
        <v>169.4</v>
      </c>
      <c r="AB13"/>
      <c r="AC13"/>
      <c r="AD13"/>
      <c r="AE13"/>
      <c r="AF13"/>
      <c r="AG13"/>
      <c r="AH13"/>
      <c r="AI13"/>
      <c r="AJ13"/>
      <c r="AK13"/>
      <c r="AL13"/>
      <c r="AM13"/>
      <c r="AN13"/>
      <c r="AO13"/>
      <c r="AP13"/>
      <c r="AQ13"/>
      <c r="AR13"/>
      <c r="AS13"/>
      <c r="AT13"/>
      <c r="AU13"/>
      <c r="AV13"/>
      <c r="AW13"/>
      <c r="AX13"/>
      <c r="AY13"/>
      <c r="AZ13"/>
      <c r="BA13"/>
      <c r="BB13"/>
      <c r="BC13"/>
      <c r="BD13"/>
      <c r="BE13"/>
    </row>
    <row r="14" spans="1:57" s="143" customFormat="1" ht="19.5" customHeight="1">
      <c r="A14" s="18" t="s">
        <v>92</v>
      </c>
      <c r="B14" s="490"/>
      <c r="C14" s="491"/>
      <c r="D14" s="490"/>
      <c r="E14" s="491"/>
      <c r="F14" s="490"/>
      <c r="G14" s="491"/>
      <c r="H14" s="490"/>
      <c r="I14" s="491"/>
      <c r="J14" s="490"/>
      <c r="K14" s="491"/>
      <c r="L14" s="490">
        <v>4</v>
      </c>
      <c r="M14" s="491">
        <v>394</v>
      </c>
      <c r="N14" s="490"/>
      <c r="O14" s="491"/>
      <c r="P14" s="490">
        <v>2</v>
      </c>
      <c r="Q14" s="491">
        <v>125.4</v>
      </c>
      <c r="R14" s="490"/>
      <c r="S14" s="491"/>
      <c r="T14" s="490"/>
      <c r="U14" s="491"/>
      <c r="V14" s="490"/>
      <c r="W14" s="491"/>
      <c r="X14" s="490"/>
      <c r="Y14" s="491"/>
      <c r="Z14" s="492">
        <f>SUM(B14,D14,N14,J14,R14,V14,F14,H14,L14,P14,T14,X14)</f>
        <v>6</v>
      </c>
      <c r="AA14" s="493">
        <f>SUM(C14,E14,S14,O14,K14,W14,G14,I14,M14,Q14,U14,Y14)</f>
        <v>519.4</v>
      </c>
      <c r="AB14"/>
      <c r="AC14"/>
      <c r="AD14"/>
      <c r="AE14"/>
      <c r="AF14"/>
      <c r="AG14"/>
      <c r="AH14"/>
      <c r="AI14"/>
      <c r="AJ14"/>
      <c r="AK14"/>
      <c r="AL14"/>
      <c r="AM14"/>
      <c r="AN14"/>
      <c r="AO14"/>
      <c r="AP14"/>
      <c r="AQ14"/>
      <c r="AR14"/>
      <c r="AS14"/>
      <c r="AT14"/>
      <c r="AU14"/>
      <c r="AV14"/>
      <c r="AW14"/>
      <c r="AX14"/>
      <c r="AY14"/>
      <c r="AZ14"/>
      <c r="BA14"/>
      <c r="BB14"/>
      <c r="BC14"/>
      <c r="BD14"/>
      <c r="BE14"/>
    </row>
    <row r="15" spans="1:57" s="143" customFormat="1" ht="23.25" customHeight="1">
      <c r="A15" s="148" t="s">
        <v>21</v>
      </c>
      <c r="B15" s="210"/>
      <c r="C15" s="473"/>
      <c r="D15" s="210"/>
      <c r="E15" s="473"/>
      <c r="F15" s="210"/>
      <c r="G15" s="473"/>
      <c r="H15" s="213"/>
      <c r="I15" s="481"/>
      <c r="J15" s="213"/>
      <c r="K15" s="481"/>
      <c r="L15" s="210"/>
      <c r="M15" s="473"/>
      <c r="N15" s="213"/>
      <c r="O15" s="481"/>
      <c r="P15" s="211"/>
      <c r="Q15" s="473"/>
      <c r="R15" s="210"/>
      <c r="S15" s="473"/>
      <c r="T15" s="211"/>
      <c r="U15" s="473"/>
      <c r="V15" s="210"/>
      <c r="W15" s="473"/>
      <c r="X15" s="210"/>
      <c r="Y15" s="473"/>
      <c r="Z15" s="208"/>
      <c r="AA15" s="489"/>
      <c r="AB15"/>
      <c r="AC15"/>
      <c r="AD15"/>
      <c r="AE15"/>
      <c r="AF15"/>
      <c r="AG15"/>
      <c r="AH15"/>
      <c r="AI15"/>
      <c r="AJ15"/>
      <c r="AK15"/>
      <c r="AL15"/>
      <c r="AM15"/>
      <c r="AN15"/>
      <c r="AO15"/>
      <c r="AP15"/>
      <c r="AQ15"/>
      <c r="AR15"/>
      <c r="AS15"/>
      <c r="AT15"/>
      <c r="AU15"/>
      <c r="AV15"/>
      <c r="AW15"/>
      <c r="AX15"/>
      <c r="AY15"/>
      <c r="AZ15"/>
      <c r="BA15"/>
      <c r="BB15"/>
      <c r="BC15"/>
      <c r="BD15"/>
      <c r="BE15"/>
    </row>
    <row r="16" spans="1:57" s="143" customFormat="1" ht="20.25" customHeight="1">
      <c r="A16" s="147" t="s">
        <v>95</v>
      </c>
      <c r="B16" s="205">
        <v>7</v>
      </c>
      <c r="C16" s="472">
        <v>562.1</v>
      </c>
      <c r="D16" s="205"/>
      <c r="E16" s="472"/>
      <c r="F16" s="205"/>
      <c r="G16" s="472"/>
      <c r="H16" s="205"/>
      <c r="I16" s="472"/>
      <c r="J16" s="205"/>
      <c r="K16" s="472"/>
      <c r="L16" s="205"/>
      <c r="M16" s="472"/>
      <c r="N16" s="205"/>
      <c r="O16" s="472"/>
      <c r="P16" s="205"/>
      <c r="Q16" s="472"/>
      <c r="R16" s="205"/>
      <c r="S16" s="472"/>
      <c r="T16" s="205"/>
      <c r="U16" s="472"/>
      <c r="V16" s="205">
        <v>4</v>
      </c>
      <c r="W16" s="472">
        <v>78</v>
      </c>
      <c r="X16" s="205"/>
      <c r="Y16" s="472"/>
      <c r="Z16" s="207">
        <f>SUM(B16,D16,N16,J16,R16,V16,F16,H16,L16,P16,T16,X16)</f>
        <v>11</v>
      </c>
      <c r="AA16" s="488">
        <f>SUM(C16,E16,S16,O16,K16,W16,G16,I16,M16,Q16,U16,Y16)</f>
        <v>640.1</v>
      </c>
      <c r="AB16"/>
      <c r="AC16"/>
      <c r="AD16"/>
      <c r="AE16"/>
      <c r="AF16"/>
      <c r="AG16"/>
      <c r="AH16"/>
      <c r="AI16"/>
      <c r="AJ16"/>
      <c r="AK16"/>
      <c r="AL16"/>
      <c r="AM16"/>
      <c r="AN16"/>
      <c r="AO16"/>
      <c r="AP16"/>
      <c r="AQ16"/>
      <c r="AR16"/>
      <c r="AS16"/>
      <c r="AT16"/>
      <c r="AU16"/>
      <c r="AV16"/>
      <c r="AW16"/>
      <c r="AX16"/>
      <c r="AY16"/>
      <c r="AZ16"/>
      <c r="BA16"/>
      <c r="BB16"/>
      <c r="BC16"/>
      <c r="BD16"/>
      <c r="BE16"/>
    </row>
    <row r="17" spans="1:57" s="143" customFormat="1" ht="20.25" customHeight="1">
      <c r="A17" s="149" t="s">
        <v>91</v>
      </c>
      <c r="B17" s="490"/>
      <c r="C17" s="491"/>
      <c r="D17" s="490"/>
      <c r="E17" s="491"/>
      <c r="F17" s="490"/>
      <c r="G17" s="491"/>
      <c r="H17" s="490">
        <v>2</v>
      </c>
      <c r="I17" s="491">
        <v>181</v>
      </c>
      <c r="J17" s="490"/>
      <c r="K17" s="491"/>
      <c r="L17" s="490"/>
      <c r="M17" s="491"/>
      <c r="N17" s="490"/>
      <c r="O17" s="491"/>
      <c r="P17" s="490">
        <v>2</v>
      </c>
      <c r="Q17" s="491">
        <v>149.4</v>
      </c>
      <c r="R17" s="490"/>
      <c r="S17" s="491"/>
      <c r="T17" s="490"/>
      <c r="U17" s="491"/>
      <c r="V17" s="490"/>
      <c r="W17" s="491"/>
      <c r="X17" s="490">
        <v>3</v>
      </c>
      <c r="Y17" s="491">
        <v>16.5</v>
      </c>
      <c r="Z17" s="492">
        <f>SUM(B17,D17,N17,J17,R17,V17,F17,H17,L17,P17,T17,X17)</f>
        <v>7</v>
      </c>
      <c r="AA17" s="493">
        <f>SUM(C17,E17,S17,O17,K17,W17,G17,I17,M17,Q17,U17,Y17)</f>
        <v>346.9</v>
      </c>
      <c r="AB17"/>
      <c r="AC17"/>
      <c r="AD17"/>
      <c r="AE17"/>
      <c r="AF17"/>
      <c r="AG17"/>
      <c r="AH17"/>
      <c r="AI17"/>
      <c r="AJ17"/>
      <c r="AK17"/>
      <c r="AL17"/>
      <c r="AM17"/>
      <c r="AN17"/>
      <c r="AO17"/>
      <c r="AP17"/>
      <c r="AQ17"/>
      <c r="AR17"/>
      <c r="AS17"/>
      <c r="AT17"/>
      <c r="AU17"/>
      <c r="AV17"/>
      <c r="AW17"/>
      <c r="AX17"/>
      <c r="AY17"/>
      <c r="AZ17"/>
      <c r="BA17"/>
      <c r="BB17"/>
      <c r="BC17"/>
      <c r="BD17"/>
      <c r="BE17"/>
    </row>
    <row r="18" spans="1:57" s="143" customFormat="1" ht="23.25" customHeight="1">
      <c r="A18" s="150" t="s">
        <v>24</v>
      </c>
      <c r="B18" s="204"/>
      <c r="C18" s="474"/>
      <c r="D18" s="204"/>
      <c r="E18" s="474"/>
      <c r="F18" s="204"/>
      <c r="G18" s="474"/>
      <c r="H18" s="206"/>
      <c r="I18" s="472"/>
      <c r="J18" s="206"/>
      <c r="K18" s="472"/>
      <c r="L18" s="204"/>
      <c r="M18" s="474"/>
      <c r="N18" s="206"/>
      <c r="O18" s="472"/>
      <c r="P18" s="209"/>
      <c r="Q18" s="474"/>
      <c r="R18" s="204"/>
      <c r="S18" s="474"/>
      <c r="T18" s="209"/>
      <c r="U18" s="474"/>
      <c r="V18" s="204"/>
      <c r="W18" s="474"/>
      <c r="X18" s="204"/>
      <c r="Y18" s="474"/>
      <c r="Z18" s="207"/>
      <c r="AA18" s="488"/>
      <c r="AB18"/>
      <c r="AC18"/>
      <c r="AD18"/>
      <c r="AE18"/>
      <c r="AF18"/>
      <c r="AG18"/>
      <c r="AH18"/>
      <c r="AI18"/>
      <c r="AJ18"/>
      <c r="AK18"/>
      <c r="AL18"/>
      <c r="AM18"/>
      <c r="AN18"/>
      <c r="AO18"/>
      <c r="AP18"/>
      <c r="AQ18"/>
      <c r="AR18"/>
      <c r="AS18"/>
      <c r="AT18"/>
      <c r="AU18"/>
      <c r="AV18"/>
      <c r="AW18"/>
      <c r="AX18"/>
      <c r="AY18"/>
      <c r="AZ18"/>
      <c r="BA18"/>
      <c r="BB18"/>
      <c r="BC18"/>
      <c r="BD18"/>
      <c r="BE18"/>
    </row>
    <row r="19" spans="1:57" s="143" customFormat="1" ht="20.25" customHeight="1">
      <c r="A19" s="147" t="s">
        <v>98</v>
      </c>
      <c r="B19" s="205"/>
      <c r="C19" s="472"/>
      <c r="D19" s="205"/>
      <c r="E19" s="472"/>
      <c r="F19" s="205"/>
      <c r="G19" s="472"/>
      <c r="H19" s="205"/>
      <c r="I19" s="472"/>
      <c r="J19" s="205"/>
      <c r="K19" s="472"/>
      <c r="L19" s="205">
        <v>2</v>
      </c>
      <c r="M19" s="472">
        <v>198.8</v>
      </c>
      <c r="N19" s="205"/>
      <c r="O19" s="472"/>
      <c r="P19" s="205">
        <v>1</v>
      </c>
      <c r="Q19" s="472">
        <v>83.3</v>
      </c>
      <c r="R19" s="205"/>
      <c r="S19" s="472"/>
      <c r="T19" s="205"/>
      <c r="U19" s="472"/>
      <c r="V19" s="205"/>
      <c r="W19" s="472"/>
      <c r="X19" s="205"/>
      <c r="Y19" s="472"/>
      <c r="Z19" s="207">
        <f>SUM(B19,D19,N19,J19,R19,V19,F19,H19,L19,P19,T19,X19)</f>
        <v>3</v>
      </c>
      <c r="AA19" s="488">
        <f>SUM(C19,E19,S19,O19,K19,W19,G19,I19,M19,Q19,U19,Y19)</f>
        <v>282.1</v>
      </c>
      <c r="AB19"/>
      <c r="AC19"/>
      <c r="AD19"/>
      <c r="AE19"/>
      <c r="AF19"/>
      <c r="AG19"/>
      <c r="AH19"/>
      <c r="AI19"/>
      <c r="AJ19"/>
      <c r="AK19"/>
      <c r="AL19"/>
      <c r="AM19"/>
      <c r="AN19"/>
      <c r="AO19"/>
      <c r="AP19"/>
      <c r="AQ19"/>
      <c r="AR19"/>
      <c r="AS19"/>
      <c r="AT19"/>
      <c r="AU19"/>
      <c r="AV19"/>
      <c r="AW19"/>
      <c r="AX19"/>
      <c r="AY19"/>
      <c r="AZ19"/>
      <c r="BA19"/>
      <c r="BB19"/>
      <c r="BC19"/>
      <c r="BD19"/>
      <c r="BE19"/>
    </row>
    <row r="20" spans="1:57" s="143" customFormat="1" ht="20.25" customHeight="1">
      <c r="A20" s="147" t="s">
        <v>99</v>
      </c>
      <c r="B20" s="205"/>
      <c r="C20" s="472"/>
      <c r="D20" s="205"/>
      <c r="E20" s="472"/>
      <c r="F20" s="205"/>
      <c r="G20" s="472"/>
      <c r="H20" s="205">
        <v>1</v>
      </c>
      <c r="I20" s="472">
        <v>90.5</v>
      </c>
      <c r="J20" s="205"/>
      <c r="K20" s="472"/>
      <c r="L20" s="205">
        <v>3</v>
      </c>
      <c r="M20" s="472">
        <v>276.4</v>
      </c>
      <c r="N20" s="205"/>
      <c r="O20" s="472"/>
      <c r="P20" s="205"/>
      <c r="Q20" s="472"/>
      <c r="R20" s="205"/>
      <c r="S20" s="472"/>
      <c r="T20" s="205"/>
      <c r="U20" s="472"/>
      <c r="V20" s="205"/>
      <c r="W20" s="472"/>
      <c r="X20" s="205">
        <v>11</v>
      </c>
      <c r="Y20" s="472">
        <v>143.9</v>
      </c>
      <c r="Z20" s="207">
        <f aca="true" t="shared" si="0" ref="Z20:Z27">SUM(B20,D20,N20,J20,R20,V20,F20,H20,L20,P20,T20,X20)</f>
        <v>15</v>
      </c>
      <c r="AA20" s="488">
        <f aca="true" t="shared" si="1" ref="AA20:AA27">SUM(C20,E20,S20,O20,K20,W20,G20,I20,M20,Q20,U20,Y20)</f>
        <v>510.79999999999995</v>
      </c>
      <c r="AB20"/>
      <c r="AC20"/>
      <c r="AD20"/>
      <c r="AE20"/>
      <c r="AF20"/>
      <c r="AG20"/>
      <c r="AH20"/>
      <c r="AI20"/>
      <c r="AJ20"/>
      <c r="AK20"/>
      <c r="AL20"/>
      <c r="AM20"/>
      <c r="AN20"/>
      <c r="AO20"/>
      <c r="AP20"/>
      <c r="AQ20"/>
      <c r="AR20"/>
      <c r="AS20"/>
      <c r="AT20"/>
      <c r="AU20"/>
      <c r="AV20"/>
      <c r="AW20"/>
      <c r="AX20"/>
      <c r="AY20"/>
      <c r="AZ20"/>
      <c r="BA20"/>
      <c r="BB20"/>
      <c r="BC20"/>
      <c r="BD20"/>
      <c r="BE20"/>
    </row>
    <row r="21" spans="1:57" s="143" customFormat="1" ht="20.25" customHeight="1">
      <c r="A21" s="147" t="s">
        <v>94</v>
      </c>
      <c r="B21" s="205"/>
      <c r="C21" s="472"/>
      <c r="D21" s="205">
        <v>3</v>
      </c>
      <c r="E21" s="472">
        <v>99.4</v>
      </c>
      <c r="F21" s="205"/>
      <c r="G21" s="472"/>
      <c r="H21" s="205"/>
      <c r="I21" s="472"/>
      <c r="J21" s="205"/>
      <c r="K21" s="472"/>
      <c r="L21" s="205">
        <v>1</v>
      </c>
      <c r="M21" s="472">
        <v>90.2</v>
      </c>
      <c r="N21" s="205"/>
      <c r="O21" s="472"/>
      <c r="P21" s="205">
        <v>6</v>
      </c>
      <c r="Q21" s="472">
        <v>323</v>
      </c>
      <c r="R21" s="205"/>
      <c r="S21" s="472"/>
      <c r="T21" s="205"/>
      <c r="U21" s="472"/>
      <c r="V21" s="205"/>
      <c r="W21" s="472"/>
      <c r="X21" s="205">
        <v>6</v>
      </c>
      <c r="Y21" s="472">
        <v>116.4</v>
      </c>
      <c r="Z21" s="207">
        <f t="shared" si="0"/>
        <v>16</v>
      </c>
      <c r="AA21" s="488">
        <f t="shared" si="1"/>
        <v>629</v>
      </c>
      <c r="AB21"/>
      <c r="AC21"/>
      <c r="AD21"/>
      <c r="AE21"/>
      <c r="AF21"/>
      <c r="AG21"/>
      <c r="AH21"/>
      <c r="AI21"/>
      <c r="AJ21"/>
      <c r="AK21"/>
      <c r="AL21"/>
      <c r="AM21"/>
      <c r="AN21"/>
      <c r="AO21"/>
      <c r="AP21"/>
      <c r="AQ21"/>
      <c r="AR21"/>
      <c r="AS21"/>
      <c r="AT21"/>
      <c r="AU21"/>
      <c r="AV21"/>
      <c r="AW21"/>
      <c r="AX21"/>
      <c r="AY21"/>
      <c r="AZ21"/>
      <c r="BA21"/>
      <c r="BB21"/>
      <c r="BC21"/>
      <c r="BD21"/>
      <c r="BE21"/>
    </row>
    <row r="22" spans="1:57" s="143" customFormat="1" ht="20.25" customHeight="1">
      <c r="A22" s="147" t="s">
        <v>126</v>
      </c>
      <c r="B22" s="205"/>
      <c r="C22" s="472"/>
      <c r="D22" s="205"/>
      <c r="E22" s="472"/>
      <c r="F22" s="205"/>
      <c r="G22" s="472"/>
      <c r="H22" s="205"/>
      <c r="I22" s="472"/>
      <c r="J22" s="205"/>
      <c r="K22" s="472"/>
      <c r="L22" s="205"/>
      <c r="M22" s="472"/>
      <c r="N22" s="205"/>
      <c r="O22" s="472"/>
      <c r="P22" s="205"/>
      <c r="Q22" s="472"/>
      <c r="R22" s="205"/>
      <c r="S22" s="472"/>
      <c r="T22" s="205"/>
      <c r="U22" s="472"/>
      <c r="V22" s="205"/>
      <c r="W22" s="472"/>
      <c r="X22" s="205">
        <v>3</v>
      </c>
      <c r="Y22" s="472">
        <v>16.5</v>
      </c>
      <c r="Z22" s="207">
        <f t="shared" si="0"/>
        <v>3</v>
      </c>
      <c r="AA22" s="488">
        <f t="shared" si="1"/>
        <v>16.5</v>
      </c>
      <c r="AB22"/>
      <c r="AC22"/>
      <c r="AD22"/>
      <c r="AE22"/>
      <c r="AF22"/>
      <c r="AG22"/>
      <c r="AH22"/>
      <c r="AI22"/>
      <c r="AJ22"/>
      <c r="AK22"/>
      <c r="AL22"/>
      <c r="AM22"/>
      <c r="AN22"/>
      <c r="AO22"/>
      <c r="AP22"/>
      <c r="AQ22"/>
      <c r="AR22"/>
      <c r="AS22"/>
      <c r="AT22"/>
      <c r="AU22"/>
      <c r="AV22"/>
      <c r="AW22"/>
      <c r="AX22"/>
      <c r="AY22"/>
      <c r="AZ22"/>
      <c r="BA22"/>
      <c r="BB22"/>
      <c r="BC22"/>
      <c r="BD22"/>
      <c r="BE22"/>
    </row>
    <row r="23" spans="1:57" s="143" customFormat="1" ht="20.25" customHeight="1">
      <c r="A23" s="147" t="s">
        <v>127</v>
      </c>
      <c r="B23" s="205"/>
      <c r="C23" s="472"/>
      <c r="D23" s="205"/>
      <c r="E23" s="472"/>
      <c r="F23" s="205"/>
      <c r="G23" s="472"/>
      <c r="H23" s="205"/>
      <c r="I23" s="472"/>
      <c r="J23" s="205"/>
      <c r="K23" s="472"/>
      <c r="L23" s="205"/>
      <c r="M23" s="472"/>
      <c r="N23" s="205"/>
      <c r="O23" s="472"/>
      <c r="P23" s="205"/>
      <c r="Q23" s="472"/>
      <c r="R23" s="205"/>
      <c r="S23" s="472"/>
      <c r="T23" s="205"/>
      <c r="U23" s="472"/>
      <c r="V23" s="205"/>
      <c r="W23" s="472"/>
      <c r="X23" s="205">
        <v>4</v>
      </c>
      <c r="Y23" s="472">
        <v>22</v>
      </c>
      <c r="Z23" s="207">
        <f>SUM(B23,D23,N23,J23,R23,V23,F23,H23,L23,P23,T23,X23)</f>
        <v>4</v>
      </c>
      <c r="AA23" s="488">
        <f>SUM(C23,E23,S23,O23,K23,W23,G23,I23,M23,Q23,U23,Y23)</f>
        <v>22</v>
      </c>
      <c r="AB23"/>
      <c r="AC23"/>
      <c r="AD23"/>
      <c r="AE23"/>
      <c r="AF23"/>
      <c r="AG23"/>
      <c r="AH23"/>
      <c r="AI23"/>
      <c r="AJ23"/>
      <c r="AK23"/>
      <c r="AL23"/>
      <c r="AM23"/>
      <c r="AN23"/>
      <c r="AO23"/>
      <c r="AP23"/>
      <c r="AQ23"/>
      <c r="AR23"/>
      <c r="AS23"/>
      <c r="AT23"/>
      <c r="AU23"/>
      <c r="AV23"/>
      <c r="AW23"/>
      <c r="AX23"/>
      <c r="AY23"/>
      <c r="AZ23"/>
      <c r="BA23"/>
      <c r="BB23"/>
      <c r="BC23"/>
      <c r="BD23"/>
      <c r="BE23"/>
    </row>
    <row r="24" spans="1:57" s="143" customFormat="1" ht="20.25" customHeight="1">
      <c r="A24" s="147" t="s">
        <v>128</v>
      </c>
      <c r="B24" s="205"/>
      <c r="C24" s="472"/>
      <c r="D24" s="205"/>
      <c r="E24" s="472"/>
      <c r="F24" s="205"/>
      <c r="G24" s="472"/>
      <c r="H24" s="205"/>
      <c r="I24" s="472"/>
      <c r="J24" s="205"/>
      <c r="K24" s="472"/>
      <c r="L24" s="205"/>
      <c r="M24" s="472"/>
      <c r="N24" s="205"/>
      <c r="O24" s="472"/>
      <c r="P24" s="205">
        <v>1</v>
      </c>
      <c r="Q24" s="472">
        <v>87.8</v>
      </c>
      <c r="R24" s="205"/>
      <c r="S24" s="472"/>
      <c r="T24" s="205"/>
      <c r="U24" s="472"/>
      <c r="V24" s="205"/>
      <c r="W24" s="472"/>
      <c r="X24" s="205"/>
      <c r="Y24" s="472"/>
      <c r="Z24" s="207">
        <f t="shared" si="0"/>
        <v>1</v>
      </c>
      <c r="AA24" s="488">
        <f t="shared" si="1"/>
        <v>87.8</v>
      </c>
      <c r="AB24"/>
      <c r="AC24"/>
      <c r="AD24"/>
      <c r="AE24"/>
      <c r="AF24"/>
      <c r="AG24"/>
      <c r="AH24"/>
      <c r="AI24"/>
      <c r="AJ24"/>
      <c r="AK24"/>
      <c r="AL24"/>
      <c r="AM24"/>
      <c r="AN24"/>
      <c r="AO24"/>
      <c r="AP24"/>
      <c r="AQ24"/>
      <c r="AR24"/>
      <c r="AS24"/>
      <c r="AT24"/>
      <c r="AU24"/>
      <c r="AV24"/>
      <c r="AW24"/>
      <c r="AX24"/>
      <c r="AY24"/>
      <c r="AZ24"/>
      <c r="BA24"/>
      <c r="BB24"/>
      <c r="BC24"/>
      <c r="BD24"/>
      <c r="BE24"/>
    </row>
    <row r="25" spans="1:57" s="143" customFormat="1" ht="20.25" customHeight="1">
      <c r="A25" s="147" t="s">
        <v>100</v>
      </c>
      <c r="B25" s="205"/>
      <c r="C25" s="472"/>
      <c r="D25" s="205"/>
      <c r="E25" s="472"/>
      <c r="F25" s="205"/>
      <c r="G25" s="472"/>
      <c r="H25" s="205"/>
      <c r="I25" s="472"/>
      <c r="J25" s="205"/>
      <c r="K25" s="472"/>
      <c r="L25" s="205">
        <v>2</v>
      </c>
      <c r="M25" s="472">
        <v>190.4</v>
      </c>
      <c r="N25" s="205"/>
      <c r="O25" s="472"/>
      <c r="P25" s="205">
        <v>7</v>
      </c>
      <c r="Q25" s="472">
        <v>257.2</v>
      </c>
      <c r="R25" s="205"/>
      <c r="S25" s="472"/>
      <c r="T25" s="205"/>
      <c r="U25" s="472"/>
      <c r="V25" s="205"/>
      <c r="W25" s="472"/>
      <c r="X25" s="205">
        <v>8</v>
      </c>
      <c r="Y25" s="472">
        <v>127.4</v>
      </c>
      <c r="Z25" s="207">
        <f t="shared" si="0"/>
        <v>17</v>
      </c>
      <c r="AA25" s="488">
        <f t="shared" si="1"/>
        <v>575</v>
      </c>
      <c r="AB25"/>
      <c r="AC25"/>
      <c r="AD25"/>
      <c r="AE25"/>
      <c r="AF25"/>
      <c r="AG25"/>
      <c r="AH25"/>
      <c r="AI25"/>
      <c r="AJ25"/>
      <c r="AK25"/>
      <c r="AL25"/>
      <c r="AM25"/>
      <c r="AN25"/>
      <c r="AO25"/>
      <c r="AP25"/>
      <c r="AQ25"/>
      <c r="AR25"/>
      <c r="AS25"/>
      <c r="AT25"/>
      <c r="AU25"/>
      <c r="AV25"/>
      <c r="AW25"/>
      <c r="AX25"/>
      <c r="AY25"/>
      <c r="AZ25"/>
      <c r="BA25"/>
      <c r="BB25"/>
      <c r="BC25"/>
      <c r="BD25"/>
      <c r="BE25"/>
    </row>
    <row r="26" spans="1:57" s="143" customFormat="1" ht="20.25" customHeight="1">
      <c r="A26" s="147" t="s">
        <v>129</v>
      </c>
      <c r="B26" s="205"/>
      <c r="C26" s="472"/>
      <c r="D26" s="205"/>
      <c r="E26" s="472"/>
      <c r="F26" s="205"/>
      <c r="G26" s="472"/>
      <c r="H26" s="205">
        <v>1</v>
      </c>
      <c r="I26" s="472">
        <v>90.5</v>
      </c>
      <c r="J26" s="205"/>
      <c r="K26" s="472"/>
      <c r="L26" s="205">
        <v>4</v>
      </c>
      <c r="M26" s="472">
        <v>385.1</v>
      </c>
      <c r="N26" s="205"/>
      <c r="O26" s="472"/>
      <c r="P26" s="205">
        <v>2</v>
      </c>
      <c r="Q26" s="472">
        <v>185.8</v>
      </c>
      <c r="R26" s="205"/>
      <c r="S26" s="472"/>
      <c r="T26" s="205"/>
      <c r="U26" s="472"/>
      <c r="V26" s="205"/>
      <c r="W26" s="472"/>
      <c r="X26" s="205"/>
      <c r="Y26" s="472"/>
      <c r="Z26" s="207">
        <f t="shared" si="0"/>
        <v>7</v>
      </c>
      <c r="AA26" s="488">
        <f t="shared" si="1"/>
        <v>661.4000000000001</v>
      </c>
      <c r="AB26"/>
      <c r="AC26"/>
      <c r="AD26"/>
      <c r="AE26"/>
      <c r="AF26"/>
      <c r="AG26"/>
      <c r="AH26"/>
      <c r="AI26"/>
      <c r="AJ26"/>
      <c r="AK26"/>
      <c r="AL26"/>
      <c r="AM26"/>
      <c r="AN26"/>
      <c r="AO26"/>
      <c r="AP26"/>
      <c r="AQ26"/>
      <c r="AR26"/>
      <c r="AS26"/>
      <c r="AT26"/>
      <c r="AU26"/>
      <c r="AV26"/>
      <c r="AW26"/>
      <c r="AX26"/>
      <c r="AY26"/>
      <c r="AZ26"/>
      <c r="BA26"/>
      <c r="BB26"/>
      <c r="BC26"/>
      <c r="BD26"/>
      <c r="BE26"/>
    </row>
    <row r="27" spans="1:57" s="1116" customFormat="1" ht="20.25" customHeight="1">
      <c r="A27" s="149" t="s">
        <v>101</v>
      </c>
      <c r="B27" s="490"/>
      <c r="C27" s="491"/>
      <c r="D27" s="490"/>
      <c r="E27" s="491"/>
      <c r="F27" s="490"/>
      <c r="G27" s="491"/>
      <c r="H27" s="490">
        <v>2</v>
      </c>
      <c r="I27" s="491">
        <v>181</v>
      </c>
      <c r="J27" s="490"/>
      <c r="K27" s="491"/>
      <c r="L27" s="490">
        <v>3</v>
      </c>
      <c r="M27" s="491">
        <v>285.5</v>
      </c>
      <c r="N27" s="490"/>
      <c r="O27" s="491"/>
      <c r="P27" s="490">
        <v>6</v>
      </c>
      <c r="Q27" s="491">
        <v>203.6</v>
      </c>
      <c r="R27" s="490"/>
      <c r="S27" s="491"/>
      <c r="T27" s="490"/>
      <c r="U27" s="491"/>
      <c r="V27" s="490"/>
      <c r="W27" s="491"/>
      <c r="X27" s="490">
        <v>3</v>
      </c>
      <c r="Y27" s="491">
        <v>141.6</v>
      </c>
      <c r="Z27" s="492">
        <f t="shared" si="0"/>
        <v>14</v>
      </c>
      <c r="AA27" s="493">
        <f t="shared" si="1"/>
        <v>811.7</v>
      </c>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row>
    <row r="28" spans="1:57" s="143" customFormat="1" ht="20.25" customHeight="1">
      <c r="A28" s="150" t="s">
        <v>180</v>
      </c>
      <c r="B28" s="209"/>
      <c r="C28" s="474"/>
      <c r="D28" s="209"/>
      <c r="E28" s="474"/>
      <c r="F28" s="209"/>
      <c r="G28" s="474"/>
      <c r="H28" s="206"/>
      <c r="I28" s="482"/>
      <c r="J28" s="206"/>
      <c r="K28" s="482"/>
      <c r="L28" s="206"/>
      <c r="M28" s="472"/>
      <c r="N28" s="206"/>
      <c r="O28" s="482"/>
      <c r="P28" s="209"/>
      <c r="Q28" s="472"/>
      <c r="R28" s="205"/>
      <c r="S28" s="472"/>
      <c r="T28" s="209"/>
      <c r="U28" s="472"/>
      <c r="V28" s="205"/>
      <c r="W28" s="472"/>
      <c r="X28" s="206"/>
      <c r="Y28" s="482"/>
      <c r="Z28" s="206"/>
      <c r="AA28" s="482"/>
      <c r="AB28"/>
      <c r="AC28"/>
      <c r="AD28"/>
      <c r="AE28"/>
      <c r="AF28"/>
      <c r="AG28"/>
      <c r="AH28"/>
      <c r="AI28"/>
      <c r="AJ28"/>
      <c r="AK28"/>
      <c r="AL28"/>
      <c r="AM28"/>
      <c r="AN28"/>
      <c r="AO28"/>
      <c r="AP28"/>
      <c r="AQ28"/>
      <c r="AR28"/>
      <c r="AS28"/>
      <c r="AT28"/>
      <c r="AU28"/>
      <c r="AV28"/>
      <c r="AW28"/>
      <c r="AX28"/>
      <c r="AY28"/>
      <c r="AZ28"/>
      <c r="BA28"/>
      <c r="BB28"/>
      <c r="BC28"/>
      <c r="BD28"/>
      <c r="BE28"/>
    </row>
    <row r="29" spans="1:57" s="1116" customFormat="1" ht="20.25" customHeight="1">
      <c r="A29" s="149" t="s">
        <v>164</v>
      </c>
      <c r="B29" s="490"/>
      <c r="C29" s="491"/>
      <c r="D29" s="490"/>
      <c r="E29" s="491"/>
      <c r="F29" s="490"/>
      <c r="G29" s="491"/>
      <c r="H29" s="490"/>
      <c r="I29" s="491"/>
      <c r="J29" s="490"/>
      <c r="K29" s="491"/>
      <c r="L29" s="490">
        <v>2</v>
      </c>
      <c r="M29" s="491">
        <v>187.2</v>
      </c>
      <c r="N29" s="490"/>
      <c r="O29" s="491"/>
      <c r="P29" s="490"/>
      <c r="Q29" s="491"/>
      <c r="R29" s="490"/>
      <c r="S29" s="491"/>
      <c r="T29" s="490"/>
      <c r="U29" s="491"/>
      <c r="V29" s="490"/>
      <c r="W29" s="491"/>
      <c r="X29" s="490"/>
      <c r="Y29" s="491"/>
      <c r="Z29" s="492">
        <f>SUM(B29,D29,N29,J29,R29,V29,F29,H29,L29,P29,T29,X29)</f>
        <v>2</v>
      </c>
      <c r="AA29" s="493">
        <f>SUM(C29,E29,S29,O29,K29,W29,G29,I29,M29,Q29,U29,Y29)</f>
        <v>187.2</v>
      </c>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row>
    <row r="30" spans="1:57" s="143" customFormat="1" ht="23.25" customHeight="1">
      <c r="A30" s="150" t="s">
        <v>70</v>
      </c>
      <c r="B30" s="205"/>
      <c r="C30" s="472"/>
      <c r="D30" s="205"/>
      <c r="E30" s="472"/>
      <c r="F30" s="205"/>
      <c r="G30" s="472"/>
      <c r="H30" s="205"/>
      <c r="I30" s="472"/>
      <c r="J30" s="205"/>
      <c r="K30" s="472"/>
      <c r="L30" s="205"/>
      <c r="M30" s="472"/>
      <c r="N30" s="205"/>
      <c r="O30" s="472"/>
      <c r="P30" s="205"/>
      <c r="Q30" s="472"/>
      <c r="R30" s="205"/>
      <c r="S30" s="472"/>
      <c r="T30" s="205"/>
      <c r="U30" s="472"/>
      <c r="V30" s="205"/>
      <c r="W30" s="472"/>
      <c r="X30" s="205"/>
      <c r="Y30" s="472"/>
      <c r="Z30" s="205"/>
      <c r="AA30" s="472"/>
      <c r="AB30"/>
      <c r="AC30"/>
      <c r="AD30"/>
      <c r="AE30"/>
      <c r="AF30"/>
      <c r="AG30"/>
      <c r="AH30"/>
      <c r="AI30"/>
      <c r="AJ30"/>
      <c r="AK30"/>
      <c r="AL30"/>
      <c r="AM30"/>
      <c r="AN30"/>
      <c r="AO30"/>
      <c r="AP30"/>
      <c r="AQ30"/>
      <c r="AR30"/>
      <c r="AS30"/>
      <c r="AT30"/>
      <c r="AU30"/>
      <c r="AV30"/>
      <c r="AW30"/>
      <c r="AX30"/>
      <c r="AY30"/>
      <c r="AZ30"/>
      <c r="BA30"/>
      <c r="BB30"/>
      <c r="BC30"/>
      <c r="BD30"/>
      <c r="BE30"/>
    </row>
    <row r="31" spans="1:57" s="143" customFormat="1" ht="20.25" customHeight="1">
      <c r="A31" s="147" t="s">
        <v>182</v>
      </c>
      <c r="B31" s="205"/>
      <c r="C31" s="472"/>
      <c r="D31" s="205"/>
      <c r="E31" s="472"/>
      <c r="F31" s="205"/>
      <c r="G31" s="472"/>
      <c r="H31" s="205"/>
      <c r="I31" s="472"/>
      <c r="J31" s="205"/>
      <c r="K31" s="472"/>
      <c r="L31" s="205"/>
      <c r="M31" s="472"/>
      <c r="N31" s="205"/>
      <c r="O31" s="472"/>
      <c r="P31" s="205"/>
      <c r="Q31" s="472"/>
      <c r="R31" s="205"/>
      <c r="S31" s="472"/>
      <c r="T31" s="205"/>
      <c r="U31" s="472"/>
      <c r="V31" s="205"/>
      <c r="W31" s="472"/>
      <c r="X31" s="205">
        <v>1</v>
      </c>
      <c r="Y31" s="472">
        <v>5.5</v>
      </c>
      <c r="Z31" s="207">
        <f>SUM(B31,D31,N31,J31,R31,V31,F31,H31,L31,P31,T31,X31)</f>
        <v>1</v>
      </c>
      <c r="AA31" s="488">
        <f>SUM(C31,E31,S31,O31,K31,W31,G31,I31,M31,Q31,U31,Y31)</f>
        <v>5.5</v>
      </c>
      <c r="AB31"/>
      <c r="AC31"/>
      <c r="AD31"/>
      <c r="AE31"/>
      <c r="AF31"/>
      <c r="AG31"/>
      <c r="AH31"/>
      <c r="AI31"/>
      <c r="AJ31"/>
      <c r="AK31"/>
      <c r="AL31"/>
      <c r="AM31"/>
      <c r="AN31"/>
      <c r="AO31"/>
      <c r="AP31"/>
      <c r="AQ31"/>
      <c r="AR31"/>
      <c r="AS31"/>
      <c r="AT31"/>
      <c r="AU31"/>
      <c r="AV31"/>
      <c r="AW31"/>
      <c r="AX31"/>
      <c r="AY31"/>
      <c r="AZ31"/>
      <c r="BA31"/>
      <c r="BB31"/>
      <c r="BC31"/>
      <c r="BD31"/>
      <c r="BE31"/>
    </row>
    <row r="32" spans="1:57" s="143" customFormat="1" ht="20.25" customHeight="1">
      <c r="A32" s="147" t="s">
        <v>413</v>
      </c>
      <c r="B32" s="205"/>
      <c r="C32" s="472"/>
      <c r="D32" s="205"/>
      <c r="E32" s="472"/>
      <c r="F32" s="205"/>
      <c r="G32" s="472"/>
      <c r="H32" s="205"/>
      <c r="I32" s="472"/>
      <c r="J32" s="205"/>
      <c r="K32" s="472"/>
      <c r="L32" s="205"/>
      <c r="M32" s="472"/>
      <c r="N32" s="205"/>
      <c r="O32" s="472"/>
      <c r="P32" s="205">
        <v>3</v>
      </c>
      <c r="Q32" s="472">
        <v>145.5</v>
      </c>
      <c r="R32" s="205"/>
      <c r="S32" s="472"/>
      <c r="T32" s="205"/>
      <c r="U32" s="472"/>
      <c r="V32" s="205"/>
      <c r="W32" s="472"/>
      <c r="X32" s="205"/>
      <c r="Y32" s="472"/>
      <c r="Z32" s="207">
        <f>SUM(B32,D32,N32,J32,R32,V32,F32,H32,L32,P32,T32,X32)</f>
        <v>3</v>
      </c>
      <c r="AA32" s="488">
        <f>SUM(C32,E32,S32,O32,K32,W32,G32,I32,M32,Q32,U32,Y32)</f>
        <v>145.5</v>
      </c>
      <c r="AB32"/>
      <c r="AC32"/>
      <c r="AD32"/>
      <c r="AE32"/>
      <c r="AF32"/>
      <c r="AG32"/>
      <c r="AH32"/>
      <c r="AI32"/>
      <c r="AJ32"/>
      <c r="AK32"/>
      <c r="AL32"/>
      <c r="AM32"/>
      <c r="AN32"/>
      <c r="AO32"/>
      <c r="AP32"/>
      <c r="AQ32"/>
      <c r="AR32"/>
      <c r="AS32"/>
      <c r="AT32"/>
      <c r="AU32"/>
      <c r="AV32"/>
      <c r="AW32"/>
      <c r="AX32"/>
      <c r="AY32"/>
      <c r="AZ32"/>
      <c r="BA32"/>
      <c r="BB32"/>
      <c r="BC32"/>
      <c r="BD32"/>
      <c r="BE32"/>
    </row>
    <row r="33" spans="1:57" s="143" customFormat="1" ht="20.25" customHeight="1">
      <c r="A33" s="147" t="s">
        <v>354</v>
      </c>
      <c r="B33" s="205"/>
      <c r="C33" s="472"/>
      <c r="D33" s="205"/>
      <c r="E33" s="472"/>
      <c r="F33" s="205"/>
      <c r="G33" s="472"/>
      <c r="H33" s="205"/>
      <c r="I33" s="472"/>
      <c r="J33" s="205"/>
      <c r="K33" s="472"/>
      <c r="L33" s="205"/>
      <c r="M33" s="472"/>
      <c r="N33" s="205"/>
      <c r="O33" s="472"/>
      <c r="P33" s="205"/>
      <c r="Q33" s="472"/>
      <c r="R33" s="205"/>
      <c r="S33" s="472"/>
      <c r="T33" s="205"/>
      <c r="U33" s="472"/>
      <c r="V33" s="205"/>
      <c r="W33" s="472"/>
      <c r="X33" s="205">
        <v>5</v>
      </c>
      <c r="Y33" s="472">
        <v>27.5</v>
      </c>
      <c r="Z33" s="207">
        <f>SUM(B33,D33,N33,J33,R33,V33,F33,H33,L33,P33,T33,X33)</f>
        <v>5</v>
      </c>
      <c r="AA33" s="488">
        <f>SUM(C33,E33,S33,O33,K33,W33,G33,I33,M33,Q33,U33,Y33)</f>
        <v>27.5</v>
      </c>
      <c r="AB33"/>
      <c r="AC33"/>
      <c r="AD33"/>
      <c r="AE33"/>
      <c r="AF33"/>
      <c r="AG33"/>
      <c r="AH33"/>
      <c r="AI33"/>
      <c r="AJ33"/>
      <c r="AK33"/>
      <c r="AL33"/>
      <c r="AM33"/>
      <c r="AN33"/>
      <c r="AO33"/>
      <c r="AP33"/>
      <c r="AQ33"/>
      <c r="AR33"/>
      <c r="AS33"/>
      <c r="AT33"/>
      <c r="AU33"/>
      <c r="AV33"/>
      <c r="AW33"/>
      <c r="AX33"/>
      <c r="AY33"/>
      <c r="AZ33"/>
      <c r="BA33"/>
      <c r="BB33"/>
      <c r="BC33"/>
      <c r="BD33"/>
      <c r="BE33"/>
    </row>
    <row r="34" spans="1:57" s="143" customFormat="1" ht="20.25" customHeight="1">
      <c r="A34" s="147" t="s">
        <v>346</v>
      </c>
      <c r="B34" s="205"/>
      <c r="C34" s="472"/>
      <c r="D34" s="205"/>
      <c r="E34" s="472"/>
      <c r="F34" s="205"/>
      <c r="G34" s="472"/>
      <c r="H34" s="205"/>
      <c r="I34" s="472"/>
      <c r="J34" s="205"/>
      <c r="K34" s="472"/>
      <c r="L34" s="205"/>
      <c r="M34" s="472"/>
      <c r="N34" s="205"/>
      <c r="O34" s="472"/>
      <c r="P34" s="205">
        <v>2</v>
      </c>
      <c r="Q34" s="472">
        <v>97</v>
      </c>
      <c r="R34" s="205"/>
      <c r="S34" s="472"/>
      <c r="T34" s="205"/>
      <c r="U34" s="472"/>
      <c r="V34" s="205"/>
      <c r="W34" s="472"/>
      <c r="X34" s="205"/>
      <c r="Y34" s="472"/>
      <c r="Z34" s="207">
        <f aca="true" t="shared" si="2" ref="Z34:Z44">SUM(B34,D34,N34,J34,R34,V34,F34,H34,L34,P34,T34,X34)</f>
        <v>2</v>
      </c>
      <c r="AA34" s="488">
        <f aca="true" t="shared" si="3" ref="AA34:AA44">SUM(C34,E34,S34,O34,K34,W34,G34,I34,M34,Q34,U34,Y34)</f>
        <v>97</v>
      </c>
      <c r="AB34"/>
      <c r="AC34"/>
      <c r="AD34"/>
      <c r="AE34"/>
      <c r="AF34"/>
      <c r="AG34"/>
      <c r="AH34"/>
      <c r="AI34"/>
      <c r="AJ34"/>
      <c r="AK34"/>
      <c r="AL34"/>
      <c r="AM34"/>
      <c r="AN34"/>
      <c r="AO34"/>
      <c r="AP34"/>
      <c r="AQ34"/>
      <c r="AR34"/>
      <c r="AS34"/>
      <c r="AT34"/>
      <c r="AU34"/>
      <c r="AV34"/>
      <c r="AW34"/>
      <c r="AX34"/>
      <c r="AY34"/>
      <c r="AZ34"/>
      <c r="BA34"/>
      <c r="BB34"/>
      <c r="BC34"/>
      <c r="BD34"/>
      <c r="BE34"/>
    </row>
    <row r="35" spans="1:57" s="143" customFormat="1" ht="20.25" customHeight="1">
      <c r="A35" s="147" t="s">
        <v>131</v>
      </c>
      <c r="B35" s="205"/>
      <c r="C35" s="472"/>
      <c r="D35" s="205"/>
      <c r="E35" s="472"/>
      <c r="F35" s="205"/>
      <c r="G35" s="472"/>
      <c r="H35" s="205"/>
      <c r="I35" s="472"/>
      <c r="J35" s="205"/>
      <c r="K35" s="472"/>
      <c r="L35" s="205"/>
      <c r="M35" s="472"/>
      <c r="N35" s="205"/>
      <c r="O35" s="472"/>
      <c r="P35" s="205">
        <v>7</v>
      </c>
      <c r="Q35" s="472">
        <v>283.5</v>
      </c>
      <c r="R35" s="205"/>
      <c r="S35" s="472"/>
      <c r="T35" s="205"/>
      <c r="U35" s="472"/>
      <c r="V35" s="205"/>
      <c r="W35" s="472"/>
      <c r="X35" s="205">
        <v>3</v>
      </c>
      <c r="Y35" s="472">
        <v>16.5</v>
      </c>
      <c r="Z35" s="207">
        <f t="shared" si="2"/>
        <v>10</v>
      </c>
      <c r="AA35" s="488">
        <f t="shared" si="3"/>
        <v>300</v>
      </c>
      <c r="AB35"/>
      <c r="AC35"/>
      <c r="AD35"/>
      <c r="AE35"/>
      <c r="AF35"/>
      <c r="AG35"/>
      <c r="AH35"/>
      <c r="AI35"/>
      <c r="AJ35"/>
      <c r="AK35"/>
      <c r="AL35"/>
      <c r="AM35"/>
      <c r="AN35"/>
      <c r="AO35"/>
      <c r="AP35"/>
      <c r="AQ35"/>
      <c r="AR35"/>
      <c r="AS35"/>
      <c r="AT35"/>
      <c r="AU35"/>
      <c r="AV35"/>
      <c r="AW35"/>
      <c r="AX35"/>
      <c r="AY35"/>
      <c r="AZ35"/>
      <c r="BA35"/>
      <c r="BB35"/>
      <c r="BC35"/>
      <c r="BD35"/>
      <c r="BE35"/>
    </row>
    <row r="36" spans="1:57" s="143" customFormat="1" ht="20.25" customHeight="1">
      <c r="A36" s="147" t="s">
        <v>415</v>
      </c>
      <c r="B36" s="205"/>
      <c r="C36" s="472"/>
      <c r="D36" s="205"/>
      <c r="E36" s="472"/>
      <c r="F36" s="205"/>
      <c r="G36" s="472"/>
      <c r="H36" s="205"/>
      <c r="I36" s="472"/>
      <c r="J36" s="205"/>
      <c r="K36" s="472"/>
      <c r="L36" s="205"/>
      <c r="M36" s="472"/>
      <c r="N36" s="205"/>
      <c r="O36" s="472"/>
      <c r="P36" s="205">
        <v>1</v>
      </c>
      <c r="Q36" s="472">
        <v>48.5</v>
      </c>
      <c r="R36" s="205"/>
      <c r="S36" s="472"/>
      <c r="T36" s="205"/>
      <c r="U36" s="472"/>
      <c r="V36" s="205"/>
      <c r="W36" s="472"/>
      <c r="X36" s="205"/>
      <c r="Y36" s="472"/>
      <c r="Z36" s="207">
        <f t="shared" si="2"/>
        <v>1</v>
      </c>
      <c r="AA36" s="488">
        <f t="shared" si="3"/>
        <v>48.5</v>
      </c>
      <c r="AB36"/>
      <c r="AC36"/>
      <c r="AD36"/>
      <c r="AE36"/>
      <c r="AF36"/>
      <c r="AG36"/>
      <c r="AH36"/>
      <c r="AI36"/>
      <c r="AJ36"/>
      <c r="AK36"/>
      <c r="AL36"/>
      <c r="AM36"/>
      <c r="AN36"/>
      <c r="AO36"/>
      <c r="AP36"/>
      <c r="AQ36"/>
      <c r="AR36"/>
      <c r="AS36"/>
      <c r="AT36"/>
      <c r="AU36"/>
      <c r="AV36"/>
      <c r="AW36"/>
      <c r="AX36"/>
      <c r="AY36"/>
      <c r="AZ36"/>
      <c r="BA36"/>
      <c r="BB36"/>
      <c r="BC36"/>
      <c r="BD36"/>
      <c r="BE36"/>
    </row>
    <row r="37" spans="1:57" s="143" customFormat="1" ht="20.25" customHeight="1">
      <c r="A37" s="147" t="s">
        <v>241</v>
      </c>
      <c r="B37" s="205"/>
      <c r="C37" s="472"/>
      <c r="D37" s="205"/>
      <c r="E37" s="472"/>
      <c r="F37" s="205"/>
      <c r="G37" s="472"/>
      <c r="H37" s="205"/>
      <c r="I37" s="472"/>
      <c r="J37" s="205"/>
      <c r="K37" s="472"/>
      <c r="L37" s="205"/>
      <c r="M37" s="472"/>
      <c r="N37" s="205"/>
      <c r="O37" s="472"/>
      <c r="P37" s="205"/>
      <c r="Q37" s="472"/>
      <c r="R37" s="205"/>
      <c r="S37" s="472"/>
      <c r="T37" s="205"/>
      <c r="U37" s="472"/>
      <c r="V37" s="205"/>
      <c r="W37" s="472"/>
      <c r="X37" s="205">
        <v>1</v>
      </c>
      <c r="Y37" s="472">
        <v>5.5</v>
      </c>
      <c r="Z37" s="207">
        <f>SUM(B37,D37,N37,J37,R37,V37,F37,H37,L37,P37,T37,X37)</f>
        <v>1</v>
      </c>
      <c r="AA37" s="488">
        <f>SUM(C37,E37,S37,O37,K37,W37,G37,I37,M37,Q37,U37,Y37)</f>
        <v>5.5</v>
      </c>
      <c r="AB37"/>
      <c r="AC37"/>
      <c r="AD37"/>
      <c r="AE37"/>
      <c r="AF37"/>
      <c r="AG37"/>
      <c r="AH37"/>
      <c r="AI37"/>
      <c r="AJ37"/>
      <c r="AK37"/>
      <c r="AL37"/>
      <c r="AM37"/>
      <c r="AN37"/>
      <c r="AO37"/>
      <c r="AP37"/>
      <c r="AQ37"/>
      <c r="AR37"/>
      <c r="AS37"/>
      <c r="AT37"/>
      <c r="AU37"/>
      <c r="AV37"/>
      <c r="AW37"/>
      <c r="AX37"/>
      <c r="AY37"/>
      <c r="AZ37"/>
      <c r="BA37"/>
      <c r="BB37"/>
      <c r="BC37"/>
      <c r="BD37"/>
      <c r="BE37"/>
    </row>
    <row r="38" spans="1:57" s="143" customFormat="1" ht="20.25" customHeight="1">
      <c r="A38" s="147" t="s">
        <v>179</v>
      </c>
      <c r="B38" s="205"/>
      <c r="C38" s="472"/>
      <c r="D38" s="205"/>
      <c r="E38" s="472"/>
      <c r="F38" s="205"/>
      <c r="G38" s="472"/>
      <c r="H38" s="205"/>
      <c r="I38" s="472"/>
      <c r="J38" s="205"/>
      <c r="K38" s="472"/>
      <c r="L38" s="205"/>
      <c r="M38" s="472"/>
      <c r="N38" s="205"/>
      <c r="O38" s="472"/>
      <c r="P38" s="205"/>
      <c r="Q38" s="472"/>
      <c r="R38" s="205"/>
      <c r="S38" s="472"/>
      <c r="T38" s="205"/>
      <c r="U38" s="472"/>
      <c r="V38" s="205"/>
      <c r="W38" s="472"/>
      <c r="X38" s="205">
        <v>2</v>
      </c>
      <c r="Y38" s="472">
        <v>11</v>
      </c>
      <c r="Z38" s="207">
        <f>SUM(B38,D38,N38,J38,R38,V38,F38,H38,L38,P38,T38,X38)</f>
        <v>2</v>
      </c>
      <c r="AA38" s="488">
        <f>SUM(C38,E38,S38,O38,K38,W38,G38,I38,M38,Q38,U38,Y38)</f>
        <v>11</v>
      </c>
      <c r="AB38"/>
      <c r="AC38"/>
      <c r="AD38"/>
      <c r="AE38"/>
      <c r="AF38"/>
      <c r="AG38"/>
      <c r="AH38"/>
      <c r="AI38"/>
      <c r="AJ38"/>
      <c r="AK38"/>
      <c r="AL38"/>
      <c r="AM38"/>
      <c r="AN38"/>
      <c r="AO38"/>
      <c r="AP38"/>
      <c r="AQ38"/>
      <c r="AR38"/>
      <c r="AS38"/>
      <c r="AT38"/>
      <c r="AU38"/>
      <c r="AV38"/>
      <c r="AW38"/>
      <c r="AX38"/>
      <c r="AY38"/>
      <c r="AZ38"/>
      <c r="BA38"/>
      <c r="BB38"/>
      <c r="BC38"/>
      <c r="BD38"/>
      <c r="BE38"/>
    </row>
    <row r="39" spans="1:57" s="143" customFormat="1" ht="20.25" customHeight="1">
      <c r="A39" s="147" t="s">
        <v>516</v>
      </c>
      <c r="B39" s="205"/>
      <c r="C39" s="472"/>
      <c r="D39" s="205"/>
      <c r="E39" s="472"/>
      <c r="F39" s="205"/>
      <c r="G39" s="472"/>
      <c r="H39" s="205"/>
      <c r="I39" s="472"/>
      <c r="J39" s="205"/>
      <c r="K39" s="472"/>
      <c r="L39" s="205"/>
      <c r="M39" s="472"/>
      <c r="N39" s="205"/>
      <c r="O39" s="472"/>
      <c r="P39" s="205"/>
      <c r="Q39" s="472"/>
      <c r="R39" s="205"/>
      <c r="S39" s="472"/>
      <c r="T39" s="205"/>
      <c r="U39" s="472"/>
      <c r="V39" s="205"/>
      <c r="W39" s="472"/>
      <c r="X39" s="205">
        <v>9</v>
      </c>
      <c r="Y39" s="472">
        <v>49.5</v>
      </c>
      <c r="Z39" s="207">
        <f>SUM(B39,D39,N39,J39,R39,V39,F39,H39,L39,P39,T39,X39)</f>
        <v>9</v>
      </c>
      <c r="AA39" s="488">
        <f>SUM(C39,E39,S39,O39,K39,W39,G39,I39,M39,Q39,U39,Y39)</f>
        <v>49.5</v>
      </c>
      <c r="AB39"/>
      <c r="AC39"/>
      <c r="AD39"/>
      <c r="AE39"/>
      <c r="AF39"/>
      <c r="AG39"/>
      <c r="AH39"/>
      <c r="AI39"/>
      <c r="AJ39"/>
      <c r="AK39"/>
      <c r="AL39"/>
      <c r="AM39"/>
      <c r="AN39"/>
      <c r="AO39"/>
      <c r="AP39"/>
      <c r="AQ39"/>
      <c r="AR39"/>
      <c r="AS39"/>
      <c r="AT39"/>
      <c r="AU39"/>
      <c r="AV39"/>
      <c r="AW39"/>
      <c r="AX39"/>
      <c r="AY39"/>
      <c r="AZ39"/>
      <c r="BA39"/>
      <c r="BB39"/>
      <c r="BC39"/>
      <c r="BD39"/>
      <c r="BE39"/>
    </row>
    <row r="40" spans="1:57" s="143" customFormat="1" ht="20.25" customHeight="1">
      <c r="A40" s="147" t="s">
        <v>414</v>
      </c>
      <c r="B40" s="205"/>
      <c r="C40" s="472"/>
      <c r="D40" s="205"/>
      <c r="E40" s="472"/>
      <c r="F40" s="205"/>
      <c r="G40" s="472"/>
      <c r="H40" s="205"/>
      <c r="I40" s="472"/>
      <c r="J40" s="205"/>
      <c r="K40" s="472"/>
      <c r="L40" s="205"/>
      <c r="M40" s="472"/>
      <c r="N40" s="205"/>
      <c r="O40" s="472"/>
      <c r="P40" s="205">
        <v>3</v>
      </c>
      <c r="Q40" s="472">
        <v>145.5</v>
      </c>
      <c r="R40" s="205"/>
      <c r="S40" s="472"/>
      <c r="T40" s="205"/>
      <c r="U40" s="472"/>
      <c r="V40" s="205"/>
      <c r="W40" s="472"/>
      <c r="X40" s="205"/>
      <c r="Y40" s="472"/>
      <c r="Z40" s="207">
        <f>SUM(B40,D40,N40,J40,R40,V40,F40,H40,L40,P40,T40,X40)</f>
        <v>3</v>
      </c>
      <c r="AA40" s="488">
        <f>SUM(C40,E40,S40,O40,K40,W40,G40,I40,M40,Q40,U40,Y40)</f>
        <v>145.5</v>
      </c>
      <c r="AB40"/>
      <c r="AC40"/>
      <c r="AD40"/>
      <c r="AE40"/>
      <c r="AF40"/>
      <c r="AG40"/>
      <c r="AH40"/>
      <c r="AI40"/>
      <c r="AJ40"/>
      <c r="AK40"/>
      <c r="AL40"/>
      <c r="AM40"/>
      <c r="AN40"/>
      <c r="AO40"/>
      <c r="AP40"/>
      <c r="AQ40"/>
      <c r="AR40"/>
      <c r="AS40"/>
      <c r="AT40"/>
      <c r="AU40"/>
      <c r="AV40"/>
      <c r="AW40"/>
      <c r="AX40"/>
      <c r="AY40"/>
      <c r="AZ40"/>
      <c r="BA40"/>
      <c r="BB40"/>
      <c r="BC40"/>
      <c r="BD40"/>
      <c r="BE40"/>
    </row>
    <row r="41" spans="1:57" s="143" customFormat="1" ht="20.25" customHeight="1">
      <c r="A41" s="147" t="s">
        <v>133</v>
      </c>
      <c r="B41" s="205"/>
      <c r="C41" s="472"/>
      <c r="D41" s="205"/>
      <c r="E41" s="472"/>
      <c r="F41" s="205"/>
      <c r="G41" s="472"/>
      <c r="H41" s="205"/>
      <c r="I41" s="472"/>
      <c r="J41" s="205"/>
      <c r="K41" s="472"/>
      <c r="L41" s="205"/>
      <c r="M41" s="472"/>
      <c r="N41" s="205"/>
      <c r="O41" s="472"/>
      <c r="P41" s="205">
        <v>3</v>
      </c>
      <c r="Q41" s="472">
        <v>145.5</v>
      </c>
      <c r="R41" s="205"/>
      <c r="S41" s="472"/>
      <c r="T41" s="205"/>
      <c r="U41" s="472"/>
      <c r="V41" s="205"/>
      <c r="W41" s="472"/>
      <c r="X41" s="205"/>
      <c r="Y41" s="472"/>
      <c r="Z41" s="207">
        <f t="shared" si="2"/>
        <v>3</v>
      </c>
      <c r="AA41" s="488">
        <f t="shared" si="3"/>
        <v>145.5</v>
      </c>
      <c r="AB41"/>
      <c r="AC41"/>
      <c r="AD41"/>
      <c r="AE41"/>
      <c r="AF41"/>
      <c r="AG41"/>
      <c r="AH41"/>
      <c r="AI41"/>
      <c r="AJ41"/>
      <c r="AK41"/>
      <c r="AL41"/>
      <c r="AM41"/>
      <c r="AN41"/>
      <c r="AO41"/>
      <c r="AP41"/>
      <c r="AQ41"/>
      <c r="AR41"/>
      <c r="AS41"/>
      <c r="AT41"/>
      <c r="AU41"/>
      <c r="AV41"/>
      <c r="AW41"/>
      <c r="AX41"/>
      <c r="AY41"/>
      <c r="AZ41"/>
      <c r="BA41"/>
      <c r="BB41"/>
      <c r="BC41"/>
      <c r="BD41"/>
      <c r="BE41"/>
    </row>
    <row r="42" spans="1:57" s="143" customFormat="1" ht="20.25" customHeight="1">
      <c r="A42" s="147" t="s">
        <v>416</v>
      </c>
      <c r="B42" s="205"/>
      <c r="C42" s="472"/>
      <c r="D42" s="205"/>
      <c r="E42" s="472"/>
      <c r="F42" s="205"/>
      <c r="G42" s="472"/>
      <c r="H42" s="205"/>
      <c r="I42" s="472"/>
      <c r="J42" s="205"/>
      <c r="K42" s="472"/>
      <c r="L42" s="205"/>
      <c r="M42" s="472"/>
      <c r="N42" s="205"/>
      <c r="O42" s="472"/>
      <c r="P42" s="205"/>
      <c r="Q42" s="472"/>
      <c r="R42" s="205"/>
      <c r="S42" s="472"/>
      <c r="T42" s="205"/>
      <c r="U42" s="472"/>
      <c r="V42" s="205"/>
      <c r="W42" s="472"/>
      <c r="X42" s="205">
        <v>5</v>
      </c>
      <c r="Y42" s="472">
        <v>27.5</v>
      </c>
      <c r="Z42" s="207">
        <f>SUM(B42,D42,N42,J42,R42,V42,F42,H42,L42,P42,T42,X42)</f>
        <v>5</v>
      </c>
      <c r="AA42" s="488">
        <f>SUM(C42,E42,S42,O42,K42,W42,G42,I42,M42,Q42,U42,Y42)</f>
        <v>27.5</v>
      </c>
      <c r="AB42"/>
      <c r="AC42"/>
      <c r="AD42"/>
      <c r="AE42"/>
      <c r="AF42"/>
      <c r="AG42"/>
      <c r="AH42"/>
      <c r="AI42"/>
      <c r="AJ42"/>
      <c r="AK42"/>
      <c r="AL42"/>
      <c r="AM42"/>
      <c r="AN42"/>
      <c r="AO42"/>
      <c r="AP42"/>
      <c r="AQ42"/>
      <c r="AR42"/>
      <c r="AS42"/>
      <c r="AT42"/>
      <c r="AU42"/>
      <c r="AV42"/>
      <c r="AW42"/>
      <c r="AX42"/>
      <c r="AY42"/>
      <c r="AZ42"/>
      <c r="BA42"/>
      <c r="BB42"/>
      <c r="BC42"/>
      <c r="BD42"/>
      <c r="BE42"/>
    </row>
    <row r="43" spans="1:57" s="143" customFormat="1" ht="20.25" customHeight="1">
      <c r="A43" s="147" t="s">
        <v>147</v>
      </c>
      <c r="B43" s="205"/>
      <c r="C43" s="472"/>
      <c r="D43" s="205"/>
      <c r="E43" s="472"/>
      <c r="F43" s="205"/>
      <c r="G43" s="472"/>
      <c r="H43" s="205"/>
      <c r="I43" s="472"/>
      <c r="J43" s="205"/>
      <c r="K43" s="472"/>
      <c r="L43" s="205"/>
      <c r="M43" s="472"/>
      <c r="N43" s="205"/>
      <c r="O43" s="472"/>
      <c r="P43" s="205">
        <v>3</v>
      </c>
      <c r="Q43" s="472">
        <v>111.9</v>
      </c>
      <c r="R43" s="205"/>
      <c r="S43" s="472"/>
      <c r="T43" s="205"/>
      <c r="U43" s="472"/>
      <c r="V43" s="205"/>
      <c r="W43" s="472"/>
      <c r="X43" s="205">
        <v>1</v>
      </c>
      <c r="Y43" s="472">
        <v>5.5</v>
      </c>
      <c r="Z43" s="207">
        <f t="shared" si="2"/>
        <v>4</v>
      </c>
      <c r="AA43" s="488">
        <f t="shared" si="3"/>
        <v>117.4</v>
      </c>
      <c r="AB43"/>
      <c r="AC43"/>
      <c r="AD43"/>
      <c r="AE43"/>
      <c r="AF43"/>
      <c r="AG43"/>
      <c r="AH43"/>
      <c r="AI43"/>
      <c r="AJ43"/>
      <c r="AK43"/>
      <c r="AL43"/>
      <c r="AM43"/>
      <c r="AN43"/>
      <c r="AO43"/>
      <c r="AP43"/>
      <c r="AQ43"/>
      <c r="AR43"/>
      <c r="AS43"/>
      <c r="AT43"/>
      <c r="AU43"/>
      <c r="AV43"/>
      <c r="AW43"/>
      <c r="AX43"/>
      <c r="AY43"/>
      <c r="AZ43"/>
      <c r="BA43"/>
      <c r="BB43"/>
      <c r="BC43"/>
      <c r="BD43"/>
      <c r="BE43"/>
    </row>
    <row r="44" spans="1:57" s="143" customFormat="1" ht="20.25" customHeight="1">
      <c r="A44" s="147" t="s">
        <v>135</v>
      </c>
      <c r="B44" s="205"/>
      <c r="C44" s="472"/>
      <c r="D44" s="205"/>
      <c r="E44" s="472"/>
      <c r="F44" s="205"/>
      <c r="G44" s="472"/>
      <c r="H44" s="205"/>
      <c r="I44" s="472"/>
      <c r="J44" s="205"/>
      <c r="K44" s="472"/>
      <c r="L44" s="205"/>
      <c r="M44" s="472"/>
      <c r="N44" s="205"/>
      <c r="O44" s="472"/>
      <c r="P44" s="205">
        <v>3</v>
      </c>
      <c r="Q44" s="472">
        <v>111.9</v>
      </c>
      <c r="R44" s="205"/>
      <c r="S44" s="472"/>
      <c r="T44" s="205"/>
      <c r="U44" s="472"/>
      <c r="V44" s="205"/>
      <c r="W44" s="472"/>
      <c r="X44" s="205">
        <v>1</v>
      </c>
      <c r="Y44" s="472">
        <v>5.5</v>
      </c>
      <c r="Z44" s="207">
        <f t="shared" si="2"/>
        <v>4</v>
      </c>
      <c r="AA44" s="488">
        <f t="shared" si="3"/>
        <v>117.4</v>
      </c>
      <c r="AB44"/>
      <c r="AC44"/>
      <c r="AD44"/>
      <c r="AE44"/>
      <c r="AF44"/>
      <c r="AG44"/>
      <c r="AH44"/>
      <c r="AI44"/>
      <c r="AJ44"/>
      <c r="AK44"/>
      <c r="AL44"/>
      <c r="AM44"/>
      <c r="AN44"/>
      <c r="AO44"/>
      <c r="AP44"/>
      <c r="AQ44"/>
      <c r="AR44"/>
      <c r="AS44"/>
      <c r="AT44"/>
      <c r="AU44"/>
      <c r="AV44"/>
      <c r="AW44"/>
      <c r="AX44"/>
      <c r="AY44"/>
      <c r="AZ44"/>
      <c r="BA44"/>
      <c r="BB44"/>
      <c r="BC44"/>
      <c r="BD44"/>
      <c r="BE44"/>
    </row>
    <row r="45" spans="1:57" s="143" customFormat="1" ht="20.25" customHeight="1">
      <c r="A45" s="147" t="s">
        <v>257</v>
      </c>
      <c r="B45" s="205"/>
      <c r="C45" s="472"/>
      <c r="D45" s="205"/>
      <c r="E45" s="472"/>
      <c r="F45" s="205"/>
      <c r="G45" s="472"/>
      <c r="H45" s="205"/>
      <c r="I45" s="472"/>
      <c r="J45" s="205"/>
      <c r="K45" s="472"/>
      <c r="L45" s="205"/>
      <c r="M45" s="472"/>
      <c r="N45" s="205"/>
      <c r="O45" s="472"/>
      <c r="P45" s="205">
        <v>4</v>
      </c>
      <c r="Q45" s="472">
        <v>149.2</v>
      </c>
      <c r="R45" s="205"/>
      <c r="S45" s="472"/>
      <c r="T45" s="205"/>
      <c r="U45" s="472"/>
      <c r="V45" s="205"/>
      <c r="W45" s="472"/>
      <c r="X45" s="205"/>
      <c r="Y45" s="472"/>
      <c r="Z45" s="207">
        <f>SUM(B45,D45,N45,J45,R45,V45,F45,H45,L45,P45,T45,X45)</f>
        <v>4</v>
      </c>
      <c r="AA45" s="488">
        <f>SUM(C45,E45,S45,O45,K45,W45,G45,I45,M45,Q45,U45,Y45)</f>
        <v>149.2</v>
      </c>
      <c r="AB45"/>
      <c r="AC45"/>
      <c r="AD45"/>
      <c r="AE45"/>
      <c r="AF45"/>
      <c r="AG45"/>
      <c r="AH45"/>
      <c r="AI45"/>
      <c r="AJ45"/>
      <c r="AK45"/>
      <c r="AL45"/>
      <c r="AM45"/>
      <c r="AN45"/>
      <c r="AO45"/>
      <c r="AP45"/>
      <c r="AQ45"/>
      <c r="AR45"/>
      <c r="AS45"/>
      <c r="AT45"/>
      <c r="AU45"/>
      <c r="AV45"/>
      <c r="AW45"/>
      <c r="AX45"/>
      <c r="AY45"/>
      <c r="AZ45"/>
      <c r="BA45"/>
      <c r="BB45"/>
      <c r="BC45"/>
      <c r="BD45"/>
      <c r="BE45"/>
    </row>
    <row r="46" spans="1:57" s="143" customFormat="1" ht="20.25" customHeight="1">
      <c r="A46" s="149" t="s">
        <v>258</v>
      </c>
      <c r="B46" s="490"/>
      <c r="C46" s="491"/>
      <c r="D46" s="490"/>
      <c r="E46" s="491"/>
      <c r="F46" s="490"/>
      <c r="G46" s="491"/>
      <c r="H46" s="490"/>
      <c r="I46" s="491"/>
      <c r="J46" s="490"/>
      <c r="K46" s="491"/>
      <c r="L46" s="490"/>
      <c r="M46" s="491"/>
      <c r="N46" s="490"/>
      <c r="O46" s="491"/>
      <c r="P46" s="490">
        <v>3</v>
      </c>
      <c r="Q46" s="491">
        <v>145.5</v>
      </c>
      <c r="R46" s="490"/>
      <c r="S46" s="491"/>
      <c r="T46" s="490"/>
      <c r="U46" s="491"/>
      <c r="V46" s="490"/>
      <c r="W46" s="491"/>
      <c r="X46" s="490"/>
      <c r="Y46" s="491"/>
      <c r="Z46" s="492">
        <f>SUM(B46,D46,N46,J46,R46,V46,F46,H46,L46,P46,T46,X46)</f>
        <v>3</v>
      </c>
      <c r="AA46" s="493">
        <f>SUM(C46,E46,S46,O46,K46,W46,G46,I46,M46,Q46,U46,Y46)</f>
        <v>145.5</v>
      </c>
      <c r="AB46"/>
      <c r="AC46"/>
      <c r="AD46"/>
      <c r="AE46"/>
      <c r="AF46"/>
      <c r="AG46"/>
      <c r="AH46"/>
      <c r="AI46"/>
      <c r="AJ46"/>
      <c r="AK46"/>
      <c r="AL46"/>
      <c r="AM46"/>
      <c r="AN46"/>
      <c r="AO46"/>
      <c r="AP46"/>
      <c r="AQ46"/>
      <c r="AR46"/>
      <c r="AS46"/>
      <c r="AT46"/>
      <c r="AU46"/>
      <c r="AV46"/>
      <c r="AW46"/>
      <c r="AX46"/>
      <c r="AY46"/>
      <c r="AZ46"/>
      <c r="BA46"/>
      <c r="BB46"/>
      <c r="BC46"/>
      <c r="BD46"/>
      <c r="BE46"/>
    </row>
    <row r="47" spans="1:57" s="143" customFormat="1" ht="20.25" customHeight="1">
      <c r="A47" s="150" t="s">
        <v>417</v>
      </c>
      <c r="B47" s="205"/>
      <c r="C47" s="472"/>
      <c r="D47" s="205"/>
      <c r="E47" s="472"/>
      <c r="F47" s="205"/>
      <c r="G47" s="472"/>
      <c r="H47" s="205"/>
      <c r="I47" s="472"/>
      <c r="J47" s="205"/>
      <c r="K47" s="472"/>
      <c r="L47" s="205"/>
      <c r="M47" s="472"/>
      <c r="N47" s="205"/>
      <c r="O47" s="472"/>
      <c r="P47" s="205"/>
      <c r="Q47" s="472"/>
      <c r="R47" s="205"/>
      <c r="S47" s="472"/>
      <c r="T47" s="205"/>
      <c r="U47" s="472"/>
      <c r="V47" s="205"/>
      <c r="W47" s="472"/>
      <c r="X47" s="205"/>
      <c r="Y47" s="472"/>
      <c r="Z47" s="207"/>
      <c r="AA47" s="488"/>
      <c r="AB47"/>
      <c r="AC47"/>
      <c r="AD47"/>
      <c r="AE47"/>
      <c r="AF47"/>
      <c r="AG47"/>
      <c r="AH47"/>
      <c r="AI47"/>
      <c r="AJ47"/>
      <c r="AK47"/>
      <c r="AL47"/>
      <c r="AM47"/>
      <c r="AN47"/>
      <c r="AO47"/>
      <c r="AP47"/>
      <c r="AQ47"/>
      <c r="AR47"/>
      <c r="AS47"/>
      <c r="AT47"/>
      <c r="AU47"/>
      <c r="AV47"/>
      <c r="AW47"/>
      <c r="AX47"/>
      <c r="AY47"/>
      <c r="AZ47"/>
      <c r="BA47"/>
      <c r="BB47"/>
      <c r="BC47"/>
      <c r="BD47"/>
      <c r="BE47"/>
    </row>
    <row r="48" spans="1:57" s="1115" customFormat="1" ht="20.25" customHeight="1">
      <c r="A48" s="147" t="s">
        <v>412</v>
      </c>
      <c r="B48" s="205"/>
      <c r="C48" s="472"/>
      <c r="D48" s="205"/>
      <c r="E48" s="472"/>
      <c r="F48" s="205"/>
      <c r="G48" s="472"/>
      <c r="H48" s="205"/>
      <c r="I48" s="472"/>
      <c r="J48" s="205"/>
      <c r="K48" s="472"/>
      <c r="L48" s="205"/>
      <c r="M48" s="472"/>
      <c r="N48" s="205"/>
      <c r="O48" s="472"/>
      <c r="P48" s="205"/>
      <c r="Q48" s="472"/>
      <c r="R48" s="205"/>
      <c r="S48" s="472"/>
      <c r="T48" s="205"/>
      <c r="U48" s="472"/>
      <c r="V48" s="205"/>
      <c r="W48" s="472"/>
      <c r="X48" s="205">
        <v>1</v>
      </c>
      <c r="Y48" s="472">
        <v>5.5</v>
      </c>
      <c r="Z48" s="207">
        <f>SUM(B48,D48,N48,J48,R48,V48,F48,H48,L48,P48,T48,X48)</f>
        <v>1</v>
      </c>
      <c r="AA48" s="488">
        <f>SUM(C48,E48,S48,O48,K48,W48,G48,I48,M48,Q48,U48,Y48)</f>
        <v>5.5</v>
      </c>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row>
    <row r="49" spans="1:57" s="143" customFormat="1" ht="20.25" customHeight="1">
      <c r="A49" s="149" t="s">
        <v>256</v>
      </c>
      <c r="B49" s="490"/>
      <c r="C49" s="491"/>
      <c r="D49" s="490"/>
      <c r="E49" s="491"/>
      <c r="F49" s="490"/>
      <c r="G49" s="491"/>
      <c r="H49" s="490"/>
      <c r="I49" s="491"/>
      <c r="J49" s="490"/>
      <c r="K49" s="491"/>
      <c r="L49" s="490"/>
      <c r="M49" s="491"/>
      <c r="N49" s="490"/>
      <c r="O49" s="491"/>
      <c r="P49" s="490"/>
      <c r="Q49" s="491"/>
      <c r="R49" s="490"/>
      <c r="S49" s="491"/>
      <c r="T49" s="490"/>
      <c r="U49" s="491"/>
      <c r="V49" s="490"/>
      <c r="W49" s="491"/>
      <c r="X49" s="490">
        <v>1</v>
      </c>
      <c r="Y49" s="491">
        <v>5.5</v>
      </c>
      <c r="Z49" s="492">
        <f>SUM(B49,D49,N49,J49,R49,V49,F49,H49,L49,P49,T49,X49)</f>
        <v>1</v>
      </c>
      <c r="AA49" s="493">
        <f>SUM(C49,E49,S49,O49,K49,W49,G49,I49,M49,Q49,U49,Y49)</f>
        <v>5.5</v>
      </c>
      <c r="AB49"/>
      <c r="AC49"/>
      <c r="AD49"/>
      <c r="AE49"/>
      <c r="AF49"/>
      <c r="AG49"/>
      <c r="AH49"/>
      <c r="AI49"/>
      <c r="AJ49"/>
      <c r="AK49"/>
      <c r="AL49"/>
      <c r="AM49"/>
      <c r="AN49"/>
      <c r="AO49"/>
      <c r="AP49"/>
      <c r="AQ49"/>
      <c r="AR49"/>
      <c r="AS49"/>
      <c r="AT49"/>
      <c r="AU49"/>
      <c r="AV49"/>
      <c r="AW49"/>
      <c r="AX49"/>
      <c r="AY49"/>
      <c r="AZ49"/>
      <c r="BA49"/>
      <c r="BB49"/>
      <c r="BC49"/>
      <c r="BD49"/>
      <c r="BE49"/>
    </row>
    <row r="50" spans="1:57" s="143" customFormat="1" ht="22.5" customHeight="1" thickBot="1">
      <c r="A50" s="151" t="s">
        <v>255</v>
      </c>
      <c r="B50" s="205">
        <v>7</v>
      </c>
      <c r="C50" s="472">
        <v>268</v>
      </c>
      <c r="D50" s="205">
        <v>3</v>
      </c>
      <c r="E50" s="472">
        <v>36.5</v>
      </c>
      <c r="F50" s="205">
        <v>8</v>
      </c>
      <c r="G50" s="472">
        <v>261.6</v>
      </c>
      <c r="H50" s="205"/>
      <c r="I50" s="472"/>
      <c r="J50" s="205"/>
      <c r="K50" s="472"/>
      <c r="L50" s="205">
        <v>15</v>
      </c>
      <c r="M50" s="472">
        <v>562.8</v>
      </c>
      <c r="N50" s="205"/>
      <c r="O50" s="472"/>
      <c r="P50" s="205">
        <v>14</v>
      </c>
      <c r="Q50" s="472">
        <v>427.4</v>
      </c>
      <c r="R50" s="205"/>
      <c r="S50" s="472"/>
      <c r="T50" s="205"/>
      <c r="U50" s="472"/>
      <c r="V50" s="205">
        <v>10</v>
      </c>
      <c r="W50" s="472">
        <v>224.3</v>
      </c>
      <c r="X50" s="205">
        <v>2</v>
      </c>
      <c r="Y50" s="472">
        <v>94.4</v>
      </c>
      <c r="Z50" s="207">
        <f>SUM(B50,D50,N50,J50,R50,V50,F50,H50,L50,P50,T50,X50)</f>
        <v>59</v>
      </c>
      <c r="AA50" s="1121">
        <f>SUM(C50,E50,S50,O50,K50,W50,G50,I50,M50,Q50,U50,Y50)</f>
        <v>1875</v>
      </c>
      <c r="AB50"/>
      <c r="AC50"/>
      <c r="AD50"/>
      <c r="AE50"/>
      <c r="AF50"/>
      <c r="AG50"/>
      <c r="AH50"/>
      <c r="AI50"/>
      <c r="AJ50"/>
      <c r="AK50"/>
      <c r="AL50"/>
      <c r="AM50"/>
      <c r="AN50"/>
      <c r="AO50"/>
      <c r="AP50"/>
      <c r="AQ50"/>
      <c r="AR50"/>
      <c r="AS50"/>
      <c r="AT50"/>
      <c r="AU50"/>
      <c r="AV50"/>
      <c r="AW50"/>
      <c r="AX50"/>
      <c r="AY50"/>
      <c r="AZ50"/>
      <c r="BA50"/>
      <c r="BB50"/>
      <c r="BC50"/>
      <c r="BD50"/>
      <c r="BE50"/>
    </row>
    <row r="51" spans="1:57" s="143" customFormat="1" ht="23.25" customHeight="1" thickBot="1">
      <c r="A51" s="152" t="s">
        <v>61</v>
      </c>
      <c r="B51" s="153">
        <f aca="true" t="shared" si="4" ref="B51:AA51">SUM(B5:B50)</f>
        <v>85</v>
      </c>
      <c r="C51" s="1120">
        <f t="shared" si="4"/>
        <v>4483.3</v>
      </c>
      <c r="D51" s="153">
        <f t="shared" si="4"/>
        <v>25</v>
      </c>
      <c r="E51" s="475">
        <f t="shared" si="4"/>
        <v>716.6999999999999</v>
      </c>
      <c r="F51" s="153">
        <f t="shared" si="4"/>
        <v>41</v>
      </c>
      <c r="G51" s="1120">
        <f t="shared" si="4"/>
        <v>1336.8000000000002</v>
      </c>
      <c r="H51" s="153">
        <f t="shared" si="4"/>
        <v>25</v>
      </c>
      <c r="I51" s="1120">
        <f t="shared" si="4"/>
        <v>2563.3</v>
      </c>
      <c r="J51" s="153">
        <f t="shared" si="4"/>
        <v>5</v>
      </c>
      <c r="K51" s="475">
        <f t="shared" si="4"/>
        <v>54.3</v>
      </c>
      <c r="L51" s="153">
        <f t="shared" si="4"/>
        <v>109</v>
      </c>
      <c r="M51" s="1120">
        <f t="shared" si="4"/>
        <v>4981.8</v>
      </c>
      <c r="N51" s="153">
        <f t="shared" si="4"/>
        <v>2</v>
      </c>
      <c r="O51" s="475">
        <f t="shared" si="4"/>
        <v>77.6</v>
      </c>
      <c r="P51" s="153">
        <f t="shared" si="4"/>
        <v>84</v>
      </c>
      <c r="Q51" s="1120">
        <f t="shared" si="4"/>
        <v>3916.2000000000003</v>
      </c>
      <c r="R51" s="153">
        <f t="shared" si="4"/>
        <v>0</v>
      </c>
      <c r="S51" s="475">
        <f t="shared" si="4"/>
        <v>251.4</v>
      </c>
      <c r="T51" s="153">
        <f t="shared" si="4"/>
        <v>3</v>
      </c>
      <c r="U51" s="475">
        <f t="shared" si="4"/>
        <v>87.2</v>
      </c>
      <c r="V51" s="153">
        <f t="shared" si="4"/>
        <v>68</v>
      </c>
      <c r="W51" s="1120">
        <f t="shared" si="4"/>
        <v>1581.6</v>
      </c>
      <c r="X51" s="153">
        <f t="shared" si="4"/>
        <v>216</v>
      </c>
      <c r="Y51" s="1120">
        <f t="shared" si="4"/>
        <v>2022.0000000000005</v>
      </c>
      <c r="Z51" s="153">
        <f t="shared" si="4"/>
        <v>663</v>
      </c>
      <c r="AA51" s="1120">
        <f t="shared" si="4"/>
        <v>22072.200000000004</v>
      </c>
      <c r="AB51"/>
      <c r="AC51"/>
      <c r="AD51"/>
      <c r="AE51"/>
      <c r="AF51"/>
      <c r="AG51"/>
      <c r="AH51"/>
      <c r="AI51"/>
      <c r="AJ51"/>
      <c r="AK51"/>
      <c r="AL51"/>
      <c r="AM51"/>
      <c r="AN51"/>
      <c r="AO51"/>
      <c r="AP51"/>
      <c r="AQ51"/>
      <c r="AR51"/>
      <c r="AS51"/>
      <c r="AT51"/>
      <c r="AU51"/>
      <c r="AV51"/>
      <c r="AW51"/>
      <c r="AX51"/>
      <c r="AY51"/>
      <c r="AZ51"/>
      <c r="BA51"/>
      <c r="BB51"/>
      <c r="BC51"/>
      <c r="BD51"/>
      <c r="BE51"/>
    </row>
    <row r="52" spans="3:27" ht="18.75" customHeight="1">
      <c r="C52" s="476"/>
      <c r="E52" s="476"/>
      <c r="G52" s="476"/>
      <c r="I52" s="476"/>
      <c r="K52" s="476"/>
      <c r="L52" s="67"/>
      <c r="M52" s="484"/>
      <c r="O52" s="476"/>
      <c r="P52" s="67"/>
      <c r="Q52" s="484"/>
      <c r="R52" s="67"/>
      <c r="S52" s="484"/>
      <c r="U52" s="476"/>
      <c r="W52" s="476"/>
      <c r="Y52" s="476"/>
      <c r="AA52" s="476"/>
    </row>
    <row r="53" spans="3:27" s="59" customFormat="1" ht="18" customHeight="1">
      <c r="C53" s="477"/>
      <c r="E53" s="477"/>
      <c r="G53" s="477"/>
      <c r="I53" s="477"/>
      <c r="K53" s="477"/>
      <c r="M53" s="477"/>
      <c r="O53" s="477"/>
      <c r="Q53" s="477"/>
      <c r="S53" s="477"/>
      <c r="U53" s="477"/>
      <c r="W53" s="477"/>
      <c r="Y53" s="477"/>
      <c r="AA53" s="477"/>
    </row>
    <row r="54" spans="3:27" s="59" customFormat="1" ht="15.75" customHeight="1">
      <c r="C54" s="477"/>
      <c r="E54" s="477"/>
      <c r="G54" s="477"/>
      <c r="I54" s="477"/>
      <c r="K54" s="477"/>
      <c r="M54" s="477"/>
      <c r="O54" s="477"/>
      <c r="Q54" s="477"/>
      <c r="S54" s="477"/>
      <c r="U54" s="477"/>
      <c r="W54" s="477"/>
      <c r="Y54" s="477"/>
      <c r="AA54" s="477"/>
    </row>
    <row r="55" spans="3:30" s="59" customFormat="1" ht="15.75" customHeight="1">
      <c r="C55" s="477"/>
      <c r="E55" s="477"/>
      <c r="G55" s="477"/>
      <c r="I55" s="477"/>
      <c r="K55" s="477"/>
      <c r="M55" s="477"/>
      <c r="O55" s="477"/>
      <c r="Q55" s="477"/>
      <c r="S55" s="477"/>
      <c r="U55" s="477"/>
      <c r="W55" s="477"/>
      <c r="Y55" s="477"/>
      <c r="AA55" s="477"/>
      <c r="AD55" s="273"/>
    </row>
    <row r="56" spans="3:27" s="59" customFormat="1" ht="15.75" customHeight="1">
      <c r="C56" s="477"/>
      <c r="E56" s="477"/>
      <c r="G56" s="477"/>
      <c r="I56" s="477"/>
      <c r="K56" s="477"/>
      <c r="M56" s="477"/>
      <c r="O56" s="477"/>
      <c r="Q56" s="477"/>
      <c r="S56" s="477"/>
      <c r="U56" s="477"/>
      <c r="W56" s="477"/>
      <c r="Y56" s="477"/>
      <c r="AA56" s="477"/>
    </row>
    <row r="57" spans="3:27" s="59" customFormat="1" ht="15.75" customHeight="1">
      <c r="C57" s="477"/>
      <c r="E57" s="477"/>
      <c r="G57" s="477"/>
      <c r="I57" s="477"/>
      <c r="K57" s="477"/>
      <c r="M57" s="477"/>
      <c r="O57" s="477"/>
      <c r="Q57" s="477"/>
      <c r="S57" s="477"/>
      <c r="U57" s="477"/>
      <c r="W57" s="477"/>
      <c r="Y57" s="477"/>
      <c r="AA57" s="477"/>
    </row>
    <row r="58" spans="3:27" s="59" customFormat="1" ht="15.75" customHeight="1">
      <c r="C58" s="477"/>
      <c r="E58" s="477"/>
      <c r="G58" s="477"/>
      <c r="I58" s="477"/>
      <c r="K58" s="477"/>
      <c r="M58" s="477"/>
      <c r="O58" s="477"/>
      <c r="Q58" s="477"/>
      <c r="S58" s="477"/>
      <c r="U58" s="477"/>
      <c r="W58" s="477"/>
      <c r="Y58" s="477"/>
      <c r="AA58" s="477"/>
    </row>
    <row r="59" spans="3:27" s="59" customFormat="1" ht="15.75" customHeight="1">
      <c r="C59" s="477"/>
      <c r="E59" s="477"/>
      <c r="G59" s="477"/>
      <c r="I59" s="477"/>
      <c r="K59" s="477"/>
      <c r="M59" s="477"/>
      <c r="O59" s="477"/>
      <c r="Q59" s="477"/>
      <c r="S59" s="477"/>
      <c r="U59" s="477"/>
      <c r="W59" s="477"/>
      <c r="Y59" s="477"/>
      <c r="AA59" s="477"/>
    </row>
    <row r="60" spans="3:27" s="59" customFormat="1" ht="15.75" customHeight="1">
      <c r="C60" s="477"/>
      <c r="E60" s="477"/>
      <c r="G60" s="477"/>
      <c r="I60" s="477"/>
      <c r="K60" s="477"/>
      <c r="M60" s="477"/>
      <c r="O60" s="477"/>
      <c r="Q60" s="477"/>
      <c r="S60" s="477"/>
      <c r="U60" s="477"/>
      <c r="W60" s="477"/>
      <c r="Y60" s="477"/>
      <c r="AA60" s="477"/>
    </row>
    <row r="61" spans="3:27" s="59" customFormat="1" ht="15.75" customHeight="1">
      <c r="C61" s="477"/>
      <c r="E61" s="477"/>
      <c r="G61" s="477"/>
      <c r="I61" s="477"/>
      <c r="K61" s="477"/>
      <c r="M61" s="477"/>
      <c r="O61" s="477"/>
      <c r="Q61" s="477"/>
      <c r="S61" s="477"/>
      <c r="U61" s="477"/>
      <c r="W61" s="477"/>
      <c r="Y61" s="477"/>
      <c r="AA61" s="477"/>
    </row>
    <row r="62" spans="3:27" s="59" customFormat="1" ht="15.75" customHeight="1">
      <c r="C62" s="477"/>
      <c r="E62" s="477"/>
      <c r="G62" s="477"/>
      <c r="I62" s="477"/>
      <c r="K62" s="477"/>
      <c r="M62" s="477"/>
      <c r="O62" s="477"/>
      <c r="Q62" s="477"/>
      <c r="S62" s="477"/>
      <c r="U62" s="477"/>
      <c r="W62" s="477"/>
      <c r="Y62" s="477"/>
      <c r="AA62" s="477"/>
    </row>
    <row r="63" spans="3:27" s="59" customFormat="1" ht="15.75" customHeight="1">
      <c r="C63" s="477"/>
      <c r="E63" s="477"/>
      <c r="G63" s="477"/>
      <c r="I63" s="477"/>
      <c r="K63" s="477"/>
      <c r="M63" s="477"/>
      <c r="O63" s="477"/>
      <c r="Q63" s="477"/>
      <c r="S63" s="477"/>
      <c r="U63" s="477"/>
      <c r="W63" s="477"/>
      <c r="Y63" s="477"/>
      <c r="AA63" s="477"/>
    </row>
    <row r="64" spans="3:27" s="59" customFormat="1" ht="15.75" customHeight="1">
      <c r="C64" s="477"/>
      <c r="E64" s="477"/>
      <c r="G64" s="477"/>
      <c r="I64" s="477"/>
      <c r="K64" s="477"/>
      <c r="M64" s="477"/>
      <c r="O64" s="477"/>
      <c r="Q64" s="477"/>
      <c r="S64" s="477"/>
      <c r="U64" s="477"/>
      <c r="W64" s="477"/>
      <c r="Y64" s="477"/>
      <c r="AA64" s="477"/>
    </row>
    <row r="65" spans="3:27" s="59" customFormat="1" ht="17.25" customHeight="1">
      <c r="C65" s="477"/>
      <c r="E65" s="477"/>
      <c r="G65" s="477"/>
      <c r="I65" s="477"/>
      <c r="K65" s="477"/>
      <c r="M65" s="477"/>
      <c r="O65" s="477"/>
      <c r="Q65" s="477"/>
      <c r="S65" s="477"/>
      <c r="U65" s="477"/>
      <c r="W65" s="477"/>
      <c r="Y65" s="477"/>
      <c r="AA65" s="477"/>
    </row>
    <row r="66" spans="3:27" ht="15.75" customHeight="1">
      <c r="C66" s="476"/>
      <c r="E66" s="476"/>
      <c r="G66" s="476"/>
      <c r="I66" s="476"/>
      <c r="K66" s="476"/>
      <c r="L66" s="67"/>
      <c r="M66" s="484"/>
      <c r="O66" s="476"/>
      <c r="P66" s="67"/>
      <c r="Q66" s="484"/>
      <c r="R66" s="67"/>
      <c r="S66" s="484"/>
      <c r="U66" s="476"/>
      <c r="W66" s="476"/>
      <c r="Y66" s="476"/>
      <c r="AA66" s="476"/>
    </row>
    <row r="67" spans="3:27" ht="18.75" customHeight="1">
      <c r="C67" s="476"/>
      <c r="E67" s="476"/>
      <c r="G67" s="476"/>
      <c r="I67" s="476"/>
      <c r="K67" s="476"/>
      <c r="L67" s="67"/>
      <c r="M67" s="484"/>
      <c r="O67" s="476"/>
      <c r="P67" s="67"/>
      <c r="Q67" s="484"/>
      <c r="R67" s="67"/>
      <c r="S67" s="484"/>
      <c r="U67" s="476"/>
      <c r="W67" s="476"/>
      <c r="Y67" s="476"/>
      <c r="AA67" s="476"/>
    </row>
    <row r="68" spans="3:27" ht="21.75" customHeight="1">
      <c r="C68" s="476"/>
      <c r="E68" s="476"/>
      <c r="G68" s="476"/>
      <c r="I68" s="476"/>
      <c r="K68" s="476"/>
      <c r="L68" s="67"/>
      <c r="M68" s="484"/>
      <c r="O68" s="476"/>
      <c r="P68" s="67"/>
      <c r="Q68" s="484"/>
      <c r="R68" s="67"/>
      <c r="S68" s="484"/>
      <c r="U68" s="476"/>
      <c r="W68" s="476"/>
      <c r="Y68" s="476"/>
      <c r="AA68" s="476"/>
    </row>
    <row r="69" spans="3:27" ht="19.5" customHeight="1">
      <c r="C69" s="476"/>
      <c r="E69" s="476"/>
      <c r="G69" s="476"/>
      <c r="I69" s="476"/>
      <c r="K69" s="476"/>
      <c r="L69" s="67"/>
      <c r="M69" s="484"/>
      <c r="O69" s="476"/>
      <c r="P69" s="67"/>
      <c r="Q69" s="484"/>
      <c r="R69" s="67"/>
      <c r="S69" s="484"/>
      <c r="U69" s="476"/>
      <c r="W69" s="476"/>
      <c r="Y69" s="476"/>
      <c r="AA69" s="476"/>
    </row>
    <row r="70" spans="3:27" ht="18" customHeight="1">
      <c r="C70" s="476"/>
      <c r="E70" s="476"/>
      <c r="G70" s="476"/>
      <c r="I70" s="476"/>
      <c r="K70" s="476"/>
      <c r="L70" s="67"/>
      <c r="M70" s="484"/>
      <c r="O70" s="476"/>
      <c r="P70" s="67"/>
      <c r="Q70" s="484"/>
      <c r="R70" s="67"/>
      <c r="S70" s="484"/>
      <c r="U70" s="476"/>
      <c r="W70" s="476"/>
      <c r="Y70" s="476"/>
      <c r="AA70" s="476"/>
    </row>
    <row r="71" spans="3:27" ht="15.75" customHeight="1">
      <c r="C71" s="476"/>
      <c r="E71" s="476"/>
      <c r="G71" s="476"/>
      <c r="I71" s="476"/>
      <c r="K71" s="476"/>
      <c r="L71" s="67"/>
      <c r="M71" s="484"/>
      <c r="O71" s="476"/>
      <c r="P71" s="67"/>
      <c r="Q71" s="484"/>
      <c r="R71" s="67"/>
      <c r="S71" s="484"/>
      <c r="U71" s="476"/>
      <c r="W71" s="476"/>
      <c r="Y71" s="476"/>
      <c r="AA71" s="476"/>
    </row>
    <row r="72" spans="3:27" ht="19.5" customHeight="1">
      <c r="C72" s="476"/>
      <c r="E72" s="476"/>
      <c r="G72" s="476"/>
      <c r="I72" s="476"/>
      <c r="K72" s="476"/>
      <c r="L72" s="67"/>
      <c r="M72" s="484"/>
      <c r="O72" s="476"/>
      <c r="P72" s="67"/>
      <c r="Q72" s="484"/>
      <c r="R72" s="67"/>
      <c r="S72" s="484"/>
      <c r="U72" s="476"/>
      <c r="W72" s="476"/>
      <c r="Y72" s="476"/>
      <c r="AA72" s="476"/>
    </row>
    <row r="73" spans="3:27" ht="20.25" customHeight="1">
      <c r="C73" s="476"/>
      <c r="E73" s="476"/>
      <c r="G73" s="476"/>
      <c r="I73" s="476"/>
      <c r="K73" s="476"/>
      <c r="L73" s="67"/>
      <c r="M73" s="484"/>
      <c r="O73" s="476"/>
      <c r="P73" s="67"/>
      <c r="Q73" s="484"/>
      <c r="R73" s="67"/>
      <c r="S73" s="484"/>
      <c r="U73" s="476"/>
      <c r="W73" s="476"/>
      <c r="Y73" s="476"/>
      <c r="AA73" s="476"/>
    </row>
    <row r="74" spans="3:27" ht="18.75" customHeight="1">
      <c r="C74" s="476"/>
      <c r="E74" s="476"/>
      <c r="G74" s="476"/>
      <c r="I74" s="476"/>
      <c r="K74" s="476"/>
      <c r="L74" s="67"/>
      <c r="M74" s="484"/>
      <c r="O74" s="476"/>
      <c r="P74" s="67"/>
      <c r="Q74" s="484"/>
      <c r="R74" s="67"/>
      <c r="S74" s="484"/>
      <c r="U74" s="476"/>
      <c r="W74" s="476"/>
      <c r="Y74" s="476"/>
      <c r="AA74" s="476"/>
    </row>
    <row r="75" spans="3:27" ht="15.75" customHeight="1">
      <c r="C75" s="476"/>
      <c r="E75" s="476"/>
      <c r="G75" s="476"/>
      <c r="I75" s="476"/>
      <c r="K75" s="476"/>
      <c r="L75" s="67"/>
      <c r="M75" s="484"/>
      <c r="O75" s="476"/>
      <c r="P75" s="67"/>
      <c r="Q75" s="484"/>
      <c r="R75" s="67"/>
      <c r="S75" s="484"/>
      <c r="U75" s="476"/>
      <c r="W75" s="476"/>
      <c r="Y75" s="476"/>
      <c r="AA75" s="476"/>
    </row>
    <row r="76" spans="3:27" ht="15.75" customHeight="1">
      <c r="C76" s="476"/>
      <c r="E76" s="476"/>
      <c r="G76" s="476"/>
      <c r="I76" s="476"/>
      <c r="K76" s="476"/>
      <c r="L76" s="67"/>
      <c r="M76" s="484"/>
      <c r="O76" s="476"/>
      <c r="P76" s="67"/>
      <c r="Q76" s="484"/>
      <c r="R76" s="67"/>
      <c r="S76" s="484"/>
      <c r="U76" s="476"/>
      <c r="W76" s="476"/>
      <c r="Y76" s="476"/>
      <c r="AA76" s="476"/>
    </row>
    <row r="77" spans="3:27" ht="15.75" customHeight="1">
      <c r="C77" s="476"/>
      <c r="E77" s="476"/>
      <c r="G77" s="476"/>
      <c r="I77" s="476"/>
      <c r="K77" s="476"/>
      <c r="L77" s="67"/>
      <c r="M77" s="484"/>
      <c r="O77" s="476"/>
      <c r="P77" s="67"/>
      <c r="Q77" s="484"/>
      <c r="R77" s="67"/>
      <c r="S77" s="484"/>
      <c r="U77" s="476"/>
      <c r="W77" s="476"/>
      <c r="Y77" s="476"/>
      <c r="AA77" s="476"/>
    </row>
    <row r="78" spans="3:27" ht="15.75" customHeight="1">
      <c r="C78" s="476"/>
      <c r="E78" s="476"/>
      <c r="G78" s="476"/>
      <c r="I78" s="476"/>
      <c r="K78" s="476"/>
      <c r="L78" s="67"/>
      <c r="M78" s="484"/>
      <c r="O78" s="476"/>
      <c r="P78" s="67"/>
      <c r="Q78" s="484"/>
      <c r="R78" s="67"/>
      <c r="S78" s="484"/>
      <c r="U78" s="476"/>
      <c r="W78" s="476"/>
      <c r="Y78" s="476"/>
      <c r="AA78" s="476"/>
    </row>
    <row r="79" spans="3:27" ht="15.75" customHeight="1">
      <c r="C79" s="476"/>
      <c r="E79" s="476"/>
      <c r="G79" s="476"/>
      <c r="I79" s="476"/>
      <c r="K79" s="476"/>
      <c r="L79" s="67"/>
      <c r="M79" s="484"/>
      <c r="O79" s="476"/>
      <c r="P79" s="67"/>
      <c r="Q79" s="484"/>
      <c r="R79" s="67"/>
      <c r="S79" s="484"/>
      <c r="U79" s="476"/>
      <c r="W79" s="476"/>
      <c r="Y79" s="476"/>
      <c r="AA79" s="476"/>
    </row>
    <row r="80" spans="3:27" ht="15.75" customHeight="1">
      <c r="C80" s="476"/>
      <c r="E80" s="476"/>
      <c r="G80" s="476"/>
      <c r="I80" s="476"/>
      <c r="K80" s="476"/>
      <c r="L80" s="67"/>
      <c r="M80" s="484"/>
      <c r="O80" s="476"/>
      <c r="P80" s="67"/>
      <c r="Q80" s="484"/>
      <c r="R80" s="67"/>
      <c r="S80" s="484"/>
      <c r="U80" s="476"/>
      <c r="W80" s="476"/>
      <c r="Y80" s="476"/>
      <c r="AA80" s="476"/>
    </row>
    <row r="81" spans="3:27" ht="15.75" customHeight="1">
      <c r="C81" s="476"/>
      <c r="E81" s="476"/>
      <c r="G81" s="476"/>
      <c r="I81" s="476"/>
      <c r="K81" s="476"/>
      <c r="L81" s="67"/>
      <c r="M81" s="484"/>
      <c r="O81" s="476"/>
      <c r="P81" s="67"/>
      <c r="Q81" s="484"/>
      <c r="R81" s="67"/>
      <c r="S81" s="484"/>
      <c r="U81" s="476"/>
      <c r="W81" s="476"/>
      <c r="Y81" s="476"/>
      <c r="AA81" s="476"/>
    </row>
    <row r="82" spans="3:27" ht="15.75" customHeight="1">
      <c r="C82" s="476"/>
      <c r="E82" s="476"/>
      <c r="G82" s="476"/>
      <c r="I82" s="476"/>
      <c r="K82" s="476"/>
      <c r="L82" s="67"/>
      <c r="M82" s="484"/>
      <c r="O82" s="476"/>
      <c r="P82" s="67"/>
      <c r="Q82" s="484"/>
      <c r="R82" s="67"/>
      <c r="S82" s="484"/>
      <c r="U82" s="476"/>
      <c r="W82" s="476"/>
      <c r="Y82" s="476"/>
      <c r="AA82" s="476"/>
    </row>
    <row r="83" spans="3:27" ht="15.75" customHeight="1">
      <c r="C83" s="476"/>
      <c r="E83" s="476"/>
      <c r="G83" s="476"/>
      <c r="I83" s="476"/>
      <c r="K83" s="476"/>
      <c r="L83" s="67"/>
      <c r="M83" s="484"/>
      <c r="O83" s="476"/>
      <c r="P83" s="67"/>
      <c r="Q83" s="484"/>
      <c r="R83" s="67"/>
      <c r="S83" s="484"/>
      <c r="U83" s="476"/>
      <c r="W83" s="476"/>
      <c r="Y83" s="476"/>
      <c r="AA83" s="476"/>
    </row>
    <row r="84" spans="3:27" ht="15.75" customHeight="1">
      <c r="C84" s="476"/>
      <c r="E84" s="476"/>
      <c r="G84" s="476"/>
      <c r="I84" s="476"/>
      <c r="K84" s="476"/>
      <c r="L84" s="67"/>
      <c r="M84" s="484"/>
      <c r="O84" s="476"/>
      <c r="P84" s="67"/>
      <c r="Q84" s="484"/>
      <c r="R84" s="67"/>
      <c r="S84" s="484"/>
      <c r="U84" s="476"/>
      <c r="W84" s="476"/>
      <c r="Y84" s="476"/>
      <c r="AA84" s="476"/>
    </row>
    <row r="85" spans="3:27" ht="15.75" customHeight="1">
      <c r="C85" s="476"/>
      <c r="E85" s="476"/>
      <c r="G85" s="476"/>
      <c r="I85" s="476"/>
      <c r="K85" s="476"/>
      <c r="L85" s="67"/>
      <c r="M85" s="484"/>
      <c r="O85" s="476"/>
      <c r="P85" s="67"/>
      <c r="Q85" s="484"/>
      <c r="R85" s="67"/>
      <c r="S85" s="484"/>
      <c r="U85" s="476"/>
      <c r="W85" s="476"/>
      <c r="Y85" s="476"/>
      <c r="AA85" s="476"/>
    </row>
    <row r="86" spans="3:27" ht="15.75" customHeight="1">
      <c r="C86" s="476"/>
      <c r="E86" s="476"/>
      <c r="G86" s="476"/>
      <c r="I86" s="476"/>
      <c r="K86" s="476"/>
      <c r="L86" s="67"/>
      <c r="M86" s="484"/>
      <c r="O86" s="476"/>
      <c r="P86" s="67"/>
      <c r="Q86" s="484"/>
      <c r="R86" s="67"/>
      <c r="S86" s="484"/>
      <c r="U86" s="476"/>
      <c r="W86" s="476"/>
      <c r="Y86" s="476"/>
      <c r="AA86" s="476"/>
    </row>
    <row r="87" spans="3:27" ht="15.75" customHeight="1">
      <c r="C87" s="476"/>
      <c r="E87" s="476"/>
      <c r="G87" s="476"/>
      <c r="I87" s="476"/>
      <c r="K87" s="476"/>
      <c r="L87" s="67"/>
      <c r="M87" s="484"/>
      <c r="O87" s="476"/>
      <c r="P87" s="67"/>
      <c r="Q87" s="484"/>
      <c r="R87" s="67"/>
      <c r="S87" s="484"/>
      <c r="U87" s="476"/>
      <c r="W87" s="476"/>
      <c r="Y87" s="476"/>
      <c r="AA87" s="476"/>
    </row>
    <row r="88" spans="3:27" ht="15.75" customHeight="1">
      <c r="C88" s="476"/>
      <c r="E88" s="476"/>
      <c r="G88" s="476"/>
      <c r="I88" s="476"/>
      <c r="K88" s="476"/>
      <c r="L88" s="67"/>
      <c r="M88" s="484"/>
      <c r="O88" s="476"/>
      <c r="P88" s="67"/>
      <c r="Q88" s="484"/>
      <c r="R88" s="67"/>
      <c r="S88" s="484"/>
      <c r="U88" s="476"/>
      <c r="W88" s="476"/>
      <c r="Y88" s="476"/>
      <c r="AA88" s="476"/>
    </row>
    <row r="89" spans="3:27" ht="15.75" customHeight="1">
      <c r="C89" s="476"/>
      <c r="E89" s="476"/>
      <c r="G89" s="476"/>
      <c r="I89" s="476"/>
      <c r="K89" s="476"/>
      <c r="L89" s="67"/>
      <c r="M89" s="484"/>
      <c r="O89" s="476"/>
      <c r="P89" s="67"/>
      <c r="Q89" s="484"/>
      <c r="R89" s="67"/>
      <c r="S89" s="484"/>
      <c r="U89" s="476"/>
      <c r="W89" s="476"/>
      <c r="Y89" s="476"/>
      <c r="AA89" s="476"/>
    </row>
    <row r="90" spans="3:27" ht="15.75" customHeight="1">
      <c r="C90" s="476"/>
      <c r="E90" s="476"/>
      <c r="G90" s="476"/>
      <c r="I90" s="476"/>
      <c r="K90" s="476"/>
      <c r="L90" s="67"/>
      <c r="M90" s="484"/>
      <c r="O90" s="476"/>
      <c r="P90" s="67"/>
      <c r="Q90" s="484"/>
      <c r="R90" s="67"/>
      <c r="S90" s="484"/>
      <c r="U90" s="476"/>
      <c r="W90" s="476"/>
      <c r="Y90" s="476"/>
      <c r="AA90" s="476"/>
    </row>
    <row r="91" spans="3:27" ht="15.75" customHeight="1">
      <c r="C91" s="476"/>
      <c r="E91" s="476"/>
      <c r="G91" s="476"/>
      <c r="I91" s="476"/>
      <c r="K91" s="476"/>
      <c r="L91" s="67"/>
      <c r="M91" s="484"/>
      <c r="O91" s="476"/>
      <c r="P91" s="67"/>
      <c r="Q91" s="484"/>
      <c r="R91" s="67"/>
      <c r="S91" s="484"/>
      <c r="U91" s="476"/>
      <c r="W91" s="476"/>
      <c r="Y91" s="476"/>
      <c r="AA91" s="476"/>
    </row>
    <row r="92" spans="3:27" ht="15.75" customHeight="1">
      <c r="C92" s="476"/>
      <c r="E92" s="476"/>
      <c r="G92" s="476"/>
      <c r="I92" s="476"/>
      <c r="K92" s="476"/>
      <c r="L92" s="67"/>
      <c r="M92" s="484"/>
      <c r="O92" s="476"/>
      <c r="P92" s="67"/>
      <c r="Q92" s="484"/>
      <c r="R92" s="67"/>
      <c r="S92" s="484"/>
      <c r="U92" s="476"/>
      <c r="W92" s="476"/>
      <c r="Y92" s="476"/>
      <c r="AA92" s="476"/>
    </row>
    <row r="93" spans="3:27" ht="15.75" customHeight="1">
      <c r="C93" s="476"/>
      <c r="E93" s="476"/>
      <c r="G93" s="476"/>
      <c r="I93" s="476"/>
      <c r="K93" s="476"/>
      <c r="L93" s="67"/>
      <c r="M93" s="484"/>
      <c r="O93" s="476"/>
      <c r="P93" s="67"/>
      <c r="Q93" s="484"/>
      <c r="R93" s="67"/>
      <c r="S93" s="484"/>
      <c r="U93" s="476"/>
      <c r="W93" s="476"/>
      <c r="Y93" s="476"/>
      <c r="AA93" s="476"/>
    </row>
    <row r="94" spans="3:27" ht="15.75" customHeight="1">
      <c r="C94" s="476"/>
      <c r="E94" s="476"/>
      <c r="G94" s="476"/>
      <c r="I94" s="476"/>
      <c r="K94" s="476"/>
      <c r="L94" s="67"/>
      <c r="M94" s="484"/>
      <c r="O94" s="476"/>
      <c r="P94" s="67"/>
      <c r="Q94" s="484"/>
      <c r="R94" s="67"/>
      <c r="S94" s="484"/>
      <c r="U94" s="476"/>
      <c r="W94" s="476"/>
      <c r="Y94" s="476"/>
      <c r="AA94" s="476"/>
    </row>
    <row r="95" spans="3:27" ht="15.75" customHeight="1">
      <c r="C95" s="476"/>
      <c r="E95" s="476"/>
      <c r="G95" s="476"/>
      <c r="I95" s="476"/>
      <c r="K95" s="476"/>
      <c r="L95" s="67"/>
      <c r="M95" s="484"/>
      <c r="O95" s="476"/>
      <c r="P95" s="67"/>
      <c r="Q95" s="484"/>
      <c r="R95" s="67"/>
      <c r="S95" s="484"/>
      <c r="U95" s="476"/>
      <c r="W95" s="476"/>
      <c r="Y95" s="476"/>
      <c r="AA95" s="476"/>
    </row>
    <row r="96" spans="3:27" ht="15.75" customHeight="1">
      <c r="C96" s="476"/>
      <c r="E96" s="476"/>
      <c r="G96" s="476"/>
      <c r="I96" s="476"/>
      <c r="K96" s="476"/>
      <c r="L96" s="67"/>
      <c r="M96" s="484"/>
      <c r="O96" s="476"/>
      <c r="P96" s="67"/>
      <c r="Q96" s="484"/>
      <c r="R96" s="67"/>
      <c r="S96" s="484"/>
      <c r="U96" s="476"/>
      <c r="W96" s="476"/>
      <c r="Y96" s="476"/>
      <c r="AA96" s="476"/>
    </row>
    <row r="97" spans="3:27" ht="15.75" customHeight="1">
      <c r="C97" s="476"/>
      <c r="E97" s="476"/>
      <c r="G97" s="476"/>
      <c r="I97" s="476"/>
      <c r="K97" s="476"/>
      <c r="L97" s="67"/>
      <c r="M97" s="484"/>
      <c r="O97" s="476"/>
      <c r="P97" s="67"/>
      <c r="Q97" s="484"/>
      <c r="R97" s="67"/>
      <c r="S97" s="484"/>
      <c r="U97" s="476"/>
      <c r="W97" s="476"/>
      <c r="Y97" s="476"/>
      <c r="AA97" s="476"/>
    </row>
    <row r="98" spans="3:27" ht="17.25" customHeight="1">
      <c r="C98" s="476"/>
      <c r="E98" s="476"/>
      <c r="G98" s="476"/>
      <c r="I98" s="476"/>
      <c r="K98" s="476"/>
      <c r="L98" s="67"/>
      <c r="M98" s="484"/>
      <c r="O98" s="476"/>
      <c r="P98" s="67"/>
      <c r="Q98" s="484"/>
      <c r="R98" s="67"/>
      <c r="S98" s="484"/>
      <c r="U98" s="476"/>
      <c r="W98" s="476"/>
      <c r="Y98" s="476"/>
      <c r="AA98" s="476"/>
    </row>
    <row r="99" spans="3:27" ht="17.25" customHeight="1">
      <c r="C99" s="476"/>
      <c r="E99" s="476"/>
      <c r="G99" s="476"/>
      <c r="I99" s="476"/>
      <c r="K99" s="476"/>
      <c r="L99" s="67"/>
      <c r="M99" s="484"/>
      <c r="O99" s="476"/>
      <c r="P99" s="67"/>
      <c r="Q99" s="484"/>
      <c r="R99" s="67"/>
      <c r="S99" s="484"/>
      <c r="U99" s="476"/>
      <c r="W99" s="476"/>
      <c r="Y99" s="476"/>
      <c r="AA99" s="476"/>
    </row>
    <row r="100" spans="3:27" ht="18" customHeight="1">
      <c r="C100" s="476"/>
      <c r="E100" s="476"/>
      <c r="G100" s="476"/>
      <c r="I100" s="476"/>
      <c r="K100" s="476"/>
      <c r="L100" s="67"/>
      <c r="M100" s="484"/>
      <c r="O100" s="476"/>
      <c r="P100" s="67"/>
      <c r="Q100" s="484"/>
      <c r="R100" s="67"/>
      <c r="S100" s="484"/>
      <c r="U100" s="476"/>
      <c r="W100" s="476"/>
      <c r="Y100" s="476"/>
      <c r="AA100" s="476"/>
    </row>
    <row r="101" spans="3:27" ht="18.75" customHeight="1">
      <c r="C101" s="476"/>
      <c r="E101" s="476"/>
      <c r="G101" s="476"/>
      <c r="I101" s="476"/>
      <c r="K101" s="476"/>
      <c r="L101" s="67"/>
      <c r="M101" s="484"/>
      <c r="O101" s="476"/>
      <c r="P101" s="67"/>
      <c r="Q101" s="484"/>
      <c r="R101" s="67"/>
      <c r="S101" s="484"/>
      <c r="U101" s="476"/>
      <c r="W101" s="476"/>
      <c r="Y101" s="476"/>
      <c r="AA101" s="476"/>
    </row>
    <row r="102" spans="3:27" ht="15.75" customHeight="1">
      <c r="C102" s="476"/>
      <c r="E102" s="476"/>
      <c r="G102" s="476"/>
      <c r="I102" s="476"/>
      <c r="K102" s="476"/>
      <c r="L102" s="67"/>
      <c r="M102" s="484"/>
      <c r="O102" s="476"/>
      <c r="P102" s="67"/>
      <c r="Q102" s="484"/>
      <c r="R102" s="67"/>
      <c r="S102" s="484"/>
      <c r="U102" s="476"/>
      <c r="W102" s="476"/>
      <c r="Y102" s="476"/>
      <c r="AA102" s="476"/>
    </row>
    <row r="103" spans="3:27" ht="15.75" customHeight="1">
      <c r="C103" s="476"/>
      <c r="E103" s="476"/>
      <c r="G103" s="476"/>
      <c r="I103" s="476"/>
      <c r="K103" s="476"/>
      <c r="L103" s="67"/>
      <c r="M103" s="484"/>
      <c r="O103" s="476"/>
      <c r="P103" s="67"/>
      <c r="Q103" s="484"/>
      <c r="R103" s="67"/>
      <c r="S103" s="484"/>
      <c r="U103" s="476"/>
      <c r="W103" s="476"/>
      <c r="Y103" s="476"/>
      <c r="AA103" s="476"/>
    </row>
    <row r="104" spans="3:27" ht="15.75" customHeight="1">
      <c r="C104" s="476"/>
      <c r="E104" s="476"/>
      <c r="G104" s="476"/>
      <c r="I104" s="476"/>
      <c r="K104" s="476"/>
      <c r="L104" s="67"/>
      <c r="M104" s="484"/>
      <c r="O104" s="476"/>
      <c r="P104" s="67"/>
      <c r="Q104" s="484"/>
      <c r="R104" s="67"/>
      <c r="S104" s="484"/>
      <c r="U104" s="476"/>
      <c r="W104" s="476"/>
      <c r="Y104" s="476"/>
      <c r="AA104" s="476"/>
    </row>
    <row r="105" spans="3:27" ht="15.75" customHeight="1">
      <c r="C105" s="476"/>
      <c r="E105" s="476"/>
      <c r="G105" s="476"/>
      <c r="I105" s="476"/>
      <c r="K105" s="476"/>
      <c r="L105" s="67"/>
      <c r="M105" s="484"/>
      <c r="O105" s="476"/>
      <c r="P105" s="67"/>
      <c r="Q105" s="484"/>
      <c r="R105" s="67"/>
      <c r="S105" s="484"/>
      <c r="U105" s="476"/>
      <c r="W105" s="476"/>
      <c r="Y105" s="476"/>
      <c r="AA105" s="476"/>
    </row>
    <row r="106" spans="3:27" ht="15.75" customHeight="1">
      <c r="C106" s="476"/>
      <c r="E106" s="476"/>
      <c r="G106" s="476"/>
      <c r="I106" s="476"/>
      <c r="K106" s="476"/>
      <c r="L106" s="67"/>
      <c r="M106" s="484"/>
      <c r="O106" s="476"/>
      <c r="P106" s="67"/>
      <c r="Q106" s="484"/>
      <c r="R106" s="67"/>
      <c r="S106" s="484"/>
      <c r="U106" s="476"/>
      <c r="W106" s="476"/>
      <c r="Y106" s="476"/>
      <c r="AA106" s="476"/>
    </row>
    <row r="107" spans="3:27" ht="15.75" customHeight="1">
      <c r="C107" s="476"/>
      <c r="E107" s="476"/>
      <c r="G107" s="476"/>
      <c r="I107" s="476"/>
      <c r="K107" s="476"/>
      <c r="L107" s="67"/>
      <c r="M107" s="484"/>
      <c r="O107" s="476"/>
      <c r="P107" s="67"/>
      <c r="Q107" s="484"/>
      <c r="R107" s="67"/>
      <c r="S107" s="484"/>
      <c r="U107" s="476"/>
      <c r="W107" s="476"/>
      <c r="Y107" s="476"/>
      <c r="AA107" s="476"/>
    </row>
    <row r="108" spans="3:27" ht="15.75" customHeight="1">
      <c r="C108" s="476"/>
      <c r="E108" s="476"/>
      <c r="G108" s="476"/>
      <c r="I108" s="476"/>
      <c r="K108" s="476"/>
      <c r="L108" s="67"/>
      <c r="M108" s="484"/>
      <c r="O108" s="476"/>
      <c r="P108" s="67"/>
      <c r="Q108" s="484"/>
      <c r="R108" s="67"/>
      <c r="S108" s="484"/>
      <c r="U108" s="476"/>
      <c r="W108" s="476"/>
      <c r="Y108" s="476"/>
      <c r="AA108" s="476"/>
    </row>
    <row r="109" spans="3:27" ht="15.75" customHeight="1">
      <c r="C109" s="476"/>
      <c r="E109" s="476"/>
      <c r="G109" s="476"/>
      <c r="I109" s="476"/>
      <c r="K109" s="476"/>
      <c r="L109" s="67"/>
      <c r="M109" s="484"/>
      <c r="O109" s="476"/>
      <c r="P109" s="67"/>
      <c r="Q109" s="484"/>
      <c r="R109" s="67"/>
      <c r="S109" s="484"/>
      <c r="U109" s="476"/>
      <c r="W109" s="476"/>
      <c r="Y109" s="476"/>
      <c r="AA109" s="476"/>
    </row>
    <row r="110" spans="3:27" ht="15.75" customHeight="1">
      <c r="C110" s="476"/>
      <c r="E110" s="476"/>
      <c r="G110" s="476"/>
      <c r="I110" s="476"/>
      <c r="K110" s="476"/>
      <c r="L110" s="67"/>
      <c r="M110" s="484"/>
      <c r="O110" s="476"/>
      <c r="P110" s="67"/>
      <c r="Q110" s="484"/>
      <c r="R110" s="67"/>
      <c r="S110" s="484"/>
      <c r="U110" s="476"/>
      <c r="W110" s="476"/>
      <c r="Y110" s="476"/>
      <c r="AA110" s="476"/>
    </row>
    <row r="111" spans="3:27" ht="15.75" customHeight="1">
      <c r="C111" s="476"/>
      <c r="E111" s="476"/>
      <c r="G111" s="476"/>
      <c r="I111" s="476"/>
      <c r="K111" s="476"/>
      <c r="L111" s="67"/>
      <c r="M111" s="484"/>
      <c r="O111" s="476"/>
      <c r="P111" s="67"/>
      <c r="Q111" s="484"/>
      <c r="R111" s="67"/>
      <c r="S111" s="484"/>
      <c r="U111" s="476"/>
      <c r="W111" s="476"/>
      <c r="Y111" s="476"/>
      <c r="AA111" s="476"/>
    </row>
    <row r="112" spans="3:27" ht="15.75" customHeight="1">
      <c r="C112" s="476"/>
      <c r="E112" s="476"/>
      <c r="G112" s="476"/>
      <c r="I112" s="476"/>
      <c r="K112" s="476"/>
      <c r="L112" s="67"/>
      <c r="M112" s="484"/>
      <c r="O112" s="476"/>
      <c r="P112" s="67"/>
      <c r="Q112" s="484"/>
      <c r="R112" s="67"/>
      <c r="S112" s="484"/>
      <c r="U112" s="476"/>
      <c r="W112" s="476"/>
      <c r="Y112" s="476"/>
      <c r="AA112" s="476"/>
    </row>
    <row r="113" spans="3:27" ht="15.75" customHeight="1">
      <c r="C113" s="476"/>
      <c r="E113" s="476"/>
      <c r="G113" s="476"/>
      <c r="I113" s="476"/>
      <c r="K113" s="476"/>
      <c r="L113" s="67"/>
      <c r="M113" s="484"/>
      <c r="O113" s="476"/>
      <c r="P113" s="67"/>
      <c r="Q113" s="484"/>
      <c r="R113" s="67"/>
      <c r="S113" s="484"/>
      <c r="U113" s="476"/>
      <c r="W113" s="476"/>
      <c r="Y113" s="476"/>
      <c r="AA113" s="476"/>
    </row>
    <row r="114" spans="3:27" ht="15.75" customHeight="1">
      <c r="C114" s="476"/>
      <c r="E114" s="476"/>
      <c r="G114" s="476"/>
      <c r="I114" s="476"/>
      <c r="K114" s="476"/>
      <c r="L114" s="67"/>
      <c r="M114" s="484"/>
      <c r="O114" s="476"/>
      <c r="P114" s="67"/>
      <c r="Q114" s="484"/>
      <c r="R114" s="67"/>
      <c r="S114" s="484"/>
      <c r="U114" s="476"/>
      <c r="W114" s="476"/>
      <c r="Y114" s="476"/>
      <c r="AA114" s="476"/>
    </row>
    <row r="115" spans="3:27" ht="15.75" customHeight="1">
      <c r="C115" s="476"/>
      <c r="E115" s="476"/>
      <c r="G115" s="476"/>
      <c r="I115" s="476"/>
      <c r="K115" s="476"/>
      <c r="L115" s="67"/>
      <c r="M115" s="484"/>
      <c r="O115" s="476"/>
      <c r="P115" s="67"/>
      <c r="Q115" s="484"/>
      <c r="R115" s="67"/>
      <c r="S115" s="484"/>
      <c r="U115" s="476"/>
      <c r="W115" s="476"/>
      <c r="Y115" s="476"/>
      <c r="AA115" s="476"/>
    </row>
    <row r="116" spans="3:27" ht="15.75" customHeight="1">
      <c r="C116" s="476"/>
      <c r="E116" s="476"/>
      <c r="G116" s="476"/>
      <c r="I116" s="476"/>
      <c r="K116" s="476"/>
      <c r="L116" s="67"/>
      <c r="M116" s="484"/>
      <c r="O116" s="476"/>
      <c r="P116" s="67"/>
      <c r="Q116" s="484"/>
      <c r="R116" s="67"/>
      <c r="S116" s="484"/>
      <c r="U116" s="476"/>
      <c r="W116" s="476"/>
      <c r="Y116" s="476"/>
      <c r="AA116" s="476"/>
    </row>
    <row r="117" spans="3:27" ht="15.75" customHeight="1">
      <c r="C117" s="476"/>
      <c r="E117" s="476"/>
      <c r="G117" s="476"/>
      <c r="I117" s="476"/>
      <c r="K117" s="476"/>
      <c r="L117" s="67"/>
      <c r="M117" s="484"/>
      <c r="O117" s="476"/>
      <c r="P117" s="67"/>
      <c r="Q117" s="484"/>
      <c r="R117" s="67"/>
      <c r="S117" s="484"/>
      <c r="U117" s="476"/>
      <c r="W117" s="476"/>
      <c r="Y117" s="476"/>
      <c r="AA117" s="476"/>
    </row>
    <row r="118" spans="3:27" ht="15.75" customHeight="1">
      <c r="C118" s="476"/>
      <c r="E118" s="476"/>
      <c r="G118" s="476"/>
      <c r="I118" s="476"/>
      <c r="K118" s="476"/>
      <c r="L118" s="67"/>
      <c r="M118" s="484"/>
      <c r="O118" s="476"/>
      <c r="P118" s="67"/>
      <c r="Q118" s="484"/>
      <c r="R118" s="67"/>
      <c r="S118" s="484"/>
      <c r="U118" s="476"/>
      <c r="W118" s="476"/>
      <c r="Y118" s="476"/>
      <c r="AA118" s="476"/>
    </row>
    <row r="119" spans="3:27" ht="15.75" customHeight="1">
      <c r="C119" s="476"/>
      <c r="E119" s="476"/>
      <c r="G119" s="476"/>
      <c r="I119" s="476"/>
      <c r="K119" s="476"/>
      <c r="L119" s="67"/>
      <c r="M119" s="484"/>
      <c r="O119" s="476"/>
      <c r="P119" s="67"/>
      <c r="Q119" s="484"/>
      <c r="R119" s="67"/>
      <c r="S119" s="484"/>
      <c r="U119" s="476"/>
      <c r="W119" s="476"/>
      <c r="Y119" s="476"/>
      <c r="AA119" s="476"/>
    </row>
    <row r="120" spans="3:27" ht="15.75" customHeight="1">
      <c r="C120" s="476"/>
      <c r="E120" s="476"/>
      <c r="G120" s="476"/>
      <c r="I120" s="476"/>
      <c r="K120" s="476"/>
      <c r="L120" s="67"/>
      <c r="M120" s="484"/>
      <c r="O120" s="476"/>
      <c r="P120" s="67"/>
      <c r="Q120" s="484"/>
      <c r="R120" s="67"/>
      <c r="S120" s="484"/>
      <c r="U120" s="476"/>
      <c r="W120" s="476"/>
      <c r="Y120" s="476"/>
      <c r="AA120" s="476"/>
    </row>
    <row r="121" spans="3:27" ht="15.75" customHeight="1">
      <c r="C121" s="476"/>
      <c r="E121" s="476"/>
      <c r="G121" s="476"/>
      <c r="I121" s="476"/>
      <c r="K121" s="476"/>
      <c r="L121" s="67"/>
      <c r="M121" s="484"/>
      <c r="O121" s="476"/>
      <c r="P121" s="67"/>
      <c r="Q121" s="484"/>
      <c r="R121" s="67"/>
      <c r="S121" s="484"/>
      <c r="U121" s="476"/>
      <c r="W121" s="476"/>
      <c r="Y121" s="476"/>
      <c r="AA121" s="476"/>
    </row>
    <row r="122" spans="3:27" ht="15.75" customHeight="1">
      <c r="C122" s="476"/>
      <c r="E122" s="476"/>
      <c r="G122" s="476"/>
      <c r="I122" s="476"/>
      <c r="K122" s="476"/>
      <c r="L122" s="67"/>
      <c r="M122" s="484"/>
      <c r="O122" s="476"/>
      <c r="P122" s="67"/>
      <c r="Q122" s="484"/>
      <c r="R122" s="67"/>
      <c r="S122" s="484"/>
      <c r="U122" s="476"/>
      <c r="W122" s="476"/>
      <c r="Y122" s="476"/>
      <c r="AA122" s="476"/>
    </row>
  </sheetData>
  <sheetProtection/>
  <mergeCells count="14">
    <mergeCell ref="N2:O2"/>
    <mergeCell ref="Z2:AA2"/>
    <mergeCell ref="L2:M2"/>
    <mergeCell ref="X2:Y2"/>
    <mergeCell ref="P2:Q2"/>
    <mergeCell ref="T2:U2"/>
    <mergeCell ref="V2:W2"/>
    <mergeCell ref="R2:S2"/>
    <mergeCell ref="A2:A3"/>
    <mergeCell ref="B2:C2"/>
    <mergeCell ref="H2:I2"/>
    <mergeCell ref="D2:E2"/>
    <mergeCell ref="F2:G2"/>
    <mergeCell ref="J2:K2"/>
  </mergeCells>
  <printOptions verticalCentered="1"/>
  <pageMargins left="1.13" right="0.31" top="0.34" bottom="0.74" header="0.32" footer="0.49"/>
  <pageSetup horizontalDpi="600" verticalDpi="600" orientation="landscape" paperSize="9" r:id="rId1"/>
  <headerFooter alignWithMargins="0">
    <oddHeader>&amp;L              Appendix XII : Trilateral and Regional Cooperation Programme (TICP FY2011)</oddHeader>
    <oddFooter>&amp;L                 
Others * : DC &amp; LDC Meeting, Study and Research, Thai Participants
</oddFooter>
  </headerFooter>
</worksheet>
</file>

<file path=xl/worksheets/sheet13.xml><?xml version="1.0" encoding="utf-8"?>
<worksheet xmlns="http://schemas.openxmlformats.org/spreadsheetml/2006/main" xmlns:r="http://schemas.openxmlformats.org/officeDocument/2006/relationships">
  <sheetPr>
    <tabColor indexed="13"/>
  </sheetPr>
  <dimension ref="A1:J283"/>
  <sheetViews>
    <sheetView zoomScalePageLayoutView="0" workbookViewId="0" topLeftCell="A28">
      <selection activeCell="C30" sqref="C30"/>
    </sheetView>
  </sheetViews>
  <sheetFormatPr defaultColWidth="9.140625" defaultRowHeight="12.75"/>
  <cols>
    <col min="1" max="1" width="10.57421875" style="140" customWidth="1"/>
    <col min="2" max="2" width="3.00390625" style="261" bestFit="1" customWidth="1"/>
    <col min="3" max="3" width="37.28125" style="245" customWidth="1"/>
    <col min="4" max="4" width="8.28125" style="141" customWidth="1"/>
    <col min="5" max="5" width="14.28125" style="141" customWidth="1"/>
    <col min="6" max="6" width="56.421875" style="6" customWidth="1"/>
    <col min="7" max="7" width="5.8515625" style="140" customWidth="1"/>
    <col min="8" max="8" width="10.00390625" style="6" customWidth="1"/>
    <col min="10" max="10" width="11.7109375" style="0" customWidth="1"/>
    <col min="11" max="16384" width="9.140625" style="6" customWidth="1"/>
  </cols>
  <sheetData>
    <row r="1" spans="1:8" ht="24.75" customHeight="1" thickBot="1">
      <c r="A1" s="226" t="s">
        <v>508</v>
      </c>
      <c r="C1" s="169"/>
      <c r="D1" s="132"/>
      <c r="E1" s="132"/>
      <c r="F1" s="131"/>
      <c r="G1" s="133"/>
      <c r="H1" s="21" t="s">
        <v>0</v>
      </c>
    </row>
    <row r="2" spans="1:10" s="165" customFormat="1" ht="34.5" customHeight="1" thickBot="1">
      <c r="A2" s="167" t="s">
        <v>137</v>
      </c>
      <c r="B2" s="164"/>
      <c r="C2" s="238" t="s">
        <v>138</v>
      </c>
      <c r="D2" s="166" t="s">
        <v>139</v>
      </c>
      <c r="E2" s="7" t="s">
        <v>140</v>
      </c>
      <c r="F2" s="7" t="s">
        <v>141</v>
      </c>
      <c r="G2" s="7" t="s">
        <v>10</v>
      </c>
      <c r="H2" s="168" t="s">
        <v>168</v>
      </c>
      <c r="J2" s="107"/>
    </row>
    <row r="3" spans="1:10" s="413" customFormat="1" ht="40.5">
      <c r="A3" s="387" t="s">
        <v>365</v>
      </c>
      <c r="B3" s="284">
        <v>1</v>
      </c>
      <c r="C3" s="411" t="s">
        <v>366</v>
      </c>
      <c r="D3" s="316" t="s">
        <v>121</v>
      </c>
      <c r="E3" s="316" t="s">
        <v>93</v>
      </c>
      <c r="F3" s="410" t="s">
        <v>367</v>
      </c>
      <c r="G3" s="388">
        <v>25</v>
      </c>
      <c r="H3" s="382">
        <v>487.5</v>
      </c>
      <c r="J3" s="414"/>
    </row>
    <row r="4" spans="1:10" s="399" customFormat="1" ht="24" customHeight="1">
      <c r="A4" s="310"/>
      <c r="B4" s="310"/>
      <c r="C4" s="303" t="s">
        <v>211</v>
      </c>
      <c r="D4" s="418"/>
      <c r="E4" s="417"/>
      <c r="F4" s="402"/>
      <c r="G4" s="303">
        <f>SUM(G3)</f>
        <v>25</v>
      </c>
      <c r="H4" s="390">
        <f>SUM(H3)</f>
        <v>487.5</v>
      </c>
      <c r="J4" s="400"/>
    </row>
    <row r="5" spans="1:10" s="445" customFormat="1" ht="60.75">
      <c r="A5" s="387" t="s">
        <v>418</v>
      </c>
      <c r="B5" s="1117">
        <v>2</v>
      </c>
      <c r="C5" s="416" t="s">
        <v>419</v>
      </c>
      <c r="D5" s="316" t="s">
        <v>121</v>
      </c>
      <c r="E5" s="316" t="s">
        <v>117</v>
      </c>
      <c r="F5" s="410" t="s">
        <v>422</v>
      </c>
      <c r="G5" s="316">
        <v>12</v>
      </c>
      <c r="H5" s="389">
        <v>1203.4</v>
      </c>
      <c r="J5" s="446"/>
    </row>
    <row r="6" spans="1:10" s="413" customFormat="1" ht="60.75">
      <c r="A6" s="410"/>
      <c r="B6" s="284">
        <v>3</v>
      </c>
      <c r="C6" s="419" t="s">
        <v>420</v>
      </c>
      <c r="D6" s="316" t="s">
        <v>121</v>
      </c>
      <c r="E6" s="316" t="s">
        <v>117</v>
      </c>
      <c r="F6" s="410" t="s">
        <v>421</v>
      </c>
      <c r="G6" s="388">
        <v>14</v>
      </c>
      <c r="H6" s="382">
        <v>1242.1</v>
      </c>
      <c r="J6" s="414"/>
    </row>
    <row r="7" spans="1:10" s="413" customFormat="1" ht="42.75" customHeight="1">
      <c r="A7" s="410"/>
      <c r="B7" s="284">
        <v>4</v>
      </c>
      <c r="C7" s="419" t="s">
        <v>423</v>
      </c>
      <c r="D7" s="316" t="s">
        <v>121</v>
      </c>
      <c r="E7" s="316" t="s">
        <v>79</v>
      </c>
      <c r="F7" s="410" t="s">
        <v>424</v>
      </c>
      <c r="G7" s="388">
        <v>15</v>
      </c>
      <c r="H7" s="382">
        <v>1288.6</v>
      </c>
      <c r="J7" s="414"/>
    </row>
    <row r="8" spans="1:10" s="399" customFormat="1" ht="24" customHeight="1">
      <c r="A8" s="310"/>
      <c r="B8" s="310"/>
      <c r="C8" s="303" t="s">
        <v>211</v>
      </c>
      <c r="D8" s="418"/>
      <c r="E8" s="417"/>
      <c r="F8" s="402"/>
      <c r="G8" s="303">
        <f>SUM(G5:G7)</f>
        <v>41</v>
      </c>
      <c r="H8" s="390">
        <f>SUM(H5:H7)</f>
        <v>3734.1</v>
      </c>
      <c r="J8" s="400"/>
    </row>
    <row r="9" spans="1:10" s="399" customFormat="1" ht="21">
      <c r="A9" s="1118" t="s">
        <v>425</v>
      </c>
      <c r="B9" s="284">
        <v>5</v>
      </c>
      <c r="C9" s="416" t="s">
        <v>426</v>
      </c>
      <c r="D9" s="316" t="s">
        <v>121</v>
      </c>
      <c r="E9" s="316" t="s">
        <v>73</v>
      </c>
      <c r="F9" s="412" t="s">
        <v>428</v>
      </c>
      <c r="G9" s="316">
        <v>5</v>
      </c>
      <c r="H9" s="389">
        <v>114.3</v>
      </c>
      <c r="J9" s="400"/>
    </row>
    <row r="10" spans="1:10" s="399" customFormat="1" ht="40.5">
      <c r="A10" s="415"/>
      <c r="B10" s="284">
        <v>6</v>
      </c>
      <c r="C10" s="416" t="s">
        <v>245</v>
      </c>
      <c r="D10" s="316" t="s">
        <v>121</v>
      </c>
      <c r="E10" s="316" t="s">
        <v>74</v>
      </c>
      <c r="F10" s="410" t="s">
        <v>427</v>
      </c>
      <c r="G10" s="316">
        <v>5</v>
      </c>
      <c r="H10" s="389">
        <v>54.3</v>
      </c>
      <c r="J10" s="400"/>
    </row>
    <row r="11" spans="1:10" s="399" customFormat="1" ht="60.75">
      <c r="A11" s="415"/>
      <c r="B11" s="284">
        <v>7</v>
      </c>
      <c r="C11" s="416" t="s">
        <v>429</v>
      </c>
      <c r="D11" s="316" t="s">
        <v>121</v>
      </c>
      <c r="E11" s="316" t="s">
        <v>117</v>
      </c>
      <c r="F11" s="410" t="s">
        <v>430</v>
      </c>
      <c r="G11" s="316">
        <v>16</v>
      </c>
      <c r="H11" s="389">
        <v>1236.7</v>
      </c>
      <c r="J11" s="400"/>
    </row>
    <row r="12" spans="1:10" s="399" customFormat="1" ht="60.75">
      <c r="A12" s="415"/>
      <c r="B12" s="284">
        <v>8</v>
      </c>
      <c r="C12" s="416" t="s">
        <v>431</v>
      </c>
      <c r="D12" s="316" t="s">
        <v>121</v>
      </c>
      <c r="E12" s="316" t="s">
        <v>117</v>
      </c>
      <c r="F12" s="410" t="s">
        <v>432</v>
      </c>
      <c r="G12" s="316">
        <v>11</v>
      </c>
      <c r="H12" s="389">
        <v>63.8</v>
      </c>
      <c r="J12" s="400"/>
    </row>
    <row r="13" spans="1:10" s="399" customFormat="1" ht="40.5">
      <c r="A13" s="415"/>
      <c r="B13" s="284">
        <v>9</v>
      </c>
      <c r="C13" s="416" t="s">
        <v>433</v>
      </c>
      <c r="D13" s="316" t="s">
        <v>121</v>
      </c>
      <c r="E13" s="316" t="s">
        <v>93</v>
      </c>
      <c r="F13" s="410" t="s">
        <v>434</v>
      </c>
      <c r="G13" s="316">
        <v>5</v>
      </c>
      <c r="H13" s="389">
        <v>10.4</v>
      </c>
      <c r="J13" s="400"/>
    </row>
    <row r="14" spans="1:10" s="399" customFormat="1" ht="24" customHeight="1">
      <c r="A14" s="310"/>
      <c r="B14" s="310"/>
      <c r="C14" s="303" t="s">
        <v>211</v>
      </c>
      <c r="D14" s="418"/>
      <c r="E14" s="417"/>
      <c r="F14" s="402"/>
      <c r="G14" s="303">
        <f>SUM(G9:G13)</f>
        <v>42</v>
      </c>
      <c r="H14" s="390">
        <f>SUM(H9:H13)</f>
        <v>1479.5</v>
      </c>
      <c r="J14" s="400"/>
    </row>
    <row r="15" spans="1:10" s="427" customFormat="1" ht="40.5">
      <c r="A15" s="441" t="s">
        <v>247</v>
      </c>
      <c r="B15" s="442">
        <v>10</v>
      </c>
      <c r="C15" s="420" t="s">
        <v>435</v>
      </c>
      <c r="D15" s="428" t="s">
        <v>121</v>
      </c>
      <c r="E15" s="429" t="s">
        <v>71</v>
      </c>
      <c r="F15" s="430" t="s">
        <v>436</v>
      </c>
      <c r="G15" s="428">
        <v>3</v>
      </c>
      <c r="H15" s="431">
        <v>43.5</v>
      </c>
      <c r="J15" s="414"/>
    </row>
    <row r="16" spans="1:10" s="427" customFormat="1" ht="40.5">
      <c r="A16" s="412"/>
      <c r="B16" s="317">
        <v>11</v>
      </c>
      <c r="C16" s="411" t="s">
        <v>437</v>
      </c>
      <c r="D16" s="388" t="s">
        <v>121</v>
      </c>
      <c r="E16" s="426" t="s">
        <v>71</v>
      </c>
      <c r="F16" s="425" t="s">
        <v>436</v>
      </c>
      <c r="G16" s="388">
        <v>3</v>
      </c>
      <c r="H16" s="408">
        <v>330.3</v>
      </c>
      <c r="J16" s="414"/>
    </row>
    <row r="17" spans="1:10" s="427" customFormat="1" ht="40.5">
      <c r="A17" s="412"/>
      <c r="B17" s="317">
        <v>12</v>
      </c>
      <c r="C17" s="411" t="s">
        <v>438</v>
      </c>
      <c r="D17" s="388" t="s">
        <v>121</v>
      </c>
      <c r="E17" s="426" t="s">
        <v>71</v>
      </c>
      <c r="F17" s="425" t="s">
        <v>246</v>
      </c>
      <c r="G17" s="388">
        <v>17</v>
      </c>
      <c r="H17" s="408">
        <v>193.8</v>
      </c>
      <c r="J17" s="414"/>
    </row>
    <row r="18" spans="1:10" s="427" customFormat="1" ht="21">
      <c r="A18" s="412"/>
      <c r="B18" s="317">
        <v>13</v>
      </c>
      <c r="C18" s="411" t="s">
        <v>439</v>
      </c>
      <c r="D18" s="388" t="s">
        <v>121</v>
      </c>
      <c r="E18" s="426" t="s">
        <v>163</v>
      </c>
      <c r="F18" s="425" t="s">
        <v>177</v>
      </c>
      <c r="G18" s="388">
        <v>1</v>
      </c>
      <c r="H18" s="408">
        <v>157.3</v>
      </c>
      <c r="J18" s="414"/>
    </row>
    <row r="19" spans="1:10" s="427" customFormat="1" ht="40.5">
      <c r="A19" s="412"/>
      <c r="B19" s="317">
        <v>14</v>
      </c>
      <c r="C19" s="411" t="s">
        <v>440</v>
      </c>
      <c r="D19" s="388" t="s">
        <v>121</v>
      </c>
      <c r="E19" s="426" t="s">
        <v>163</v>
      </c>
      <c r="F19" s="425" t="s">
        <v>444</v>
      </c>
      <c r="G19" s="388">
        <v>2</v>
      </c>
      <c r="H19" s="408">
        <v>215</v>
      </c>
      <c r="J19" s="414"/>
    </row>
    <row r="20" spans="1:10" s="427" customFormat="1" ht="40.5">
      <c r="A20" s="412"/>
      <c r="B20" s="317">
        <v>15</v>
      </c>
      <c r="C20" s="411" t="s">
        <v>441</v>
      </c>
      <c r="D20" s="388" t="s">
        <v>121</v>
      </c>
      <c r="E20" s="426" t="s">
        <v>163</v>
      </c>
      <c r="F20" s="425" t="s">
        <v>177</v>
      </c>
      <c r="G20" s="388">
        <v>1</v>
      </c>
      <c r="H20" s="408">
        <v>151.3</v>
      </c>
      <c r="J20" s="414"/>
    </row>
    <row r="21" spans="1:10" s="427" customFormat="1" ht="40.5">
      <c r="A21" s="412"/>
      <c r="B21" s="317">
        <v>16</v>
      </c>
      <c r="C21" s="411" t="s">
        <v>442</v>
      </c>
      <c r="D21" s="388" t="s">
        <v>121</v>
      </c>
      <c r="E21" s="426" t="s">
        <v>163</v>
      </c>
      <c r="F21" s="425" t="s">
        <v>177</v>
      </c>
      <c r="G21" s="388">
        <v>1</v>
      </c>
      <c r="H21" s="408">
        <v>151.3</v>
      </c>
      <c r="J21" s="414"/>
    </row>
    <row r="22" spans="1:10" s="427" customFormat="1" ht="40.5">
      <c r="A22" s="412"/>
      <c r="B22" s="317">
        <v>17</v>
      </c>
      <c r="C22" s="411" t="s">
        <v>443</v>
      </c>
      <c r="D22" s="388" t="s">
        <v>121</v>
      </c>
      <c r="E22" s="426" t="s">
        <v>163</v>
      </c>
      <c r="F22" s="425" t="s">
        <v>177</v>
      </c>
      <c r="G22" s="388">
        <v>1</v>
      </c>
      <c r="H22" s="408">
        <v>168.9</v>
      </c>
      <c r="J22" s="414"/>
    </row>
    <row r="23" spans="1:10" s="427" customFormat="1" ht="40.5">
      <c r="A23" s="412"/>
      <c r="B23" s="317">
        <v>18</v>
      </c>
      <c r="C23" s="411" t="s">
        <v>445</v>
      </c>
      <c r="D23" s="388" t="s">
        <v>121</v>
      </c>
      <c r="E23" s="426" t="s">
        <v>477</v>
      </c>
      <c r="F23" s="425" t="s">
        <v>444</v>
      </c>
      <c r="G23" s="388">
        <v>2</v>
      </c>
      <c r="H23" s="408">
        <v>77.6</v>
      </c>
      <c r="J23" s="414"/>
    </row>
    <row r="24" spans="1:10" s="427" customFormat="1" ht="60.75">
      <c r="A24" s="412"/>
      <c r="B24" s="317">
        <v>19</v>
      </c>
      <c r="C24" s="411" t="s">
        <v>447</v>
      </c>
      <c r="D24" s="388" t="s">
        <v>121</v>
      </c>
      <c r="E24" s="426" t="s">
        <v>248</v>
      </c>
      <c r="F24" s="425" t="s">
        <v>446</v>
      </c>
      <c r="G24" s="388">
        <v>3</v>
      </c>
      <c r="H24" s="408">
        <v>87.2</v>
      </c>
      <c r="J24" s="414"/>
    </row>
    <row r="25" spans="1:10" s="399" customFormat="1" ht="22.5" customHeight="1">
      <c r="A25" s="1122"/>
      <c r="B25" s="1122"/>
      <c r="C25" s="1027" t="s">
        <v>211</v>
      </c>
      <c r="D25" s="1123"/>
      <c r="E25" s="1123"/>
      <c r="F25" s="1124"/>
      <c r="G25" s="1027">
        <f>SUM(G15:G24)</f>
        <v>34</v>
      </c>
      <c r="H25" s="1125">
        <f>SUM(H15:H24)</f>
        <v>1576.2</v>
      </c>
      <c r="J25" s="400"/>
    </row>
    <row r="26" spans="1:10" s="1128" customFormat="1" ht="63.75" customHeight="1">
      <c r="A26" s="387" t="s">
        <v>167</v>
      </c>
      <c r="B26" s="284">
        <v>20</v>
      </c>
      <c r="C26" s="411" t="s">
        <v>521</v>
      </c>
      <c r="D26" s="388" t="s">
        <v>67</v>
      </c>
      <c r="E26" s="1127" t="s">
        <v>71</v>
      </c>
      <c r="F26" s="425" t="s">
        <v>448</v>
      </c>
      <c r="G26" s="388"/>
      <c r="H26" s="408">
        <v>542.6</v>
      </c>
      <c r="J26" s="1129"/>
    </row>
    <row r="27" spans="1:10" s="1128" customFormat="1" ht="60.75">
      <c r="A27" s="387"/>
      <c r="B27" s="284">
        <v>21</v>
      </c>
      <c r="C27" s="411" t="s">
        <v>522</v>
      </c>
      <c r="D27" s="388" t="s">
        <v>67</v>
      </c>
      <c r="E27" s="1127" t="s">
        <v>79</v>
      </c>
      <c r="F27" s="425" t="s">
        <v>177</v>
      </c>
      <c r="G27" s="388">
        <v>1</v>
      </c>
      <c r="H27" s="408">
        <v>65.4</v>
      </c>
      <c r="J27" s="1129"/>
    </row>
    <row r="28" spans="1:10" s="1128" customFormat="1" ht="60.75">
      <c r="A28" s="387"/>
      <c r="B28" s="284">
        <v>22</v>
      </c>
      <c r="C28" s="411" t="s">
        <v>523</v>
      </c>
      <c r="D28" s="388" t="s">
        <v>67</v>
      </c>
      <c r="E28" s="1127" t="s">
        <v>79</v>
      </c>
      <c r="F28" s="425" t="s">
        <v>449</v>
      </c>
      <c r="G28" s="388"/>
      <c r="H28" s="408">
        <v>177.7</v>
      </c>
      <c r="J28" s="1129"/>
    </row>
    <row r="29" spans="1:10" s="1128" customFormat="1" ht="60.75">
      <c r="A29" s="387"/>
      <c r="B29" s="284">
        <v>23</v>
      </c>
      <c r="C29" s="411" t="s">
        <v>524</v>
      </c>
      <c r="D29" s="388" t="s">
        <v>67</v>
      </c>
      <c r="E29" s="1126" t="s">
        <v>80</v>
      </c>
      <c r="F29" s="425" t="s">
        <v>448</v>
      </c>
      <c r="G29" s="388"/>
      <c r="H29" s="408">
        <v>187.1</v>
      </c>
      <c r="J29" s="1129"/>
    </row>
    <row r="30" spans="1:10" s="432" customFormat="1" ht="40.5">
      <c r="A30" s="387"/>
      <c r="B30" s="432">
        <v>24</v>
      </c>
      <c r="C30" s="432" t="s">
        <v>525</v>
      </c>
      <c r="D30" s="388" t="s">
        <v>67</v>
      </c>
      <c r="E30" s="1126" t="s">
        <v>80</v>
      </c>
      <c r="F30" s="425" t="s">
        <v>448</v>
      </c>
      <c r="H30" s="432">
        <v>64.3</v>
      </c>
      <c r="J30" s="433"/>
    </row>
    <row r="31" spans="1:10" s="399" customFormat="1" ht="22.5" customHeight="1">
      <c r="A31" s="401"/>
      <c r="B31" s="401"/>
      <c r="C31" s="303" t="s">
        <v>211</v>
      </c>
      <c r="D31" s="417"/>
      <c r="E31" s="417"/>
      <c r="F31" s="402"/>
      <c r="G31" s="303">
        <f>SUM(G26:G30)</f>
        <v>1</v>
      </c>
      <c r="H31" s="381">
        <f>SUM(H26:H30)</f>
        <v>1037.1000000000001</v>
      </c>
      <c r="J31" s="400"/>
    </row>
    <row r="32" spans="1:10" s="432" customFormat="1" ht="40.5">
      <c r="A32" s="436" t="s">
        <v>215</v>
      </c>
      <c r="B32" s="284">
        <v>25</v>
      </c>
      <c r="C32" s="416" t="s">
        <v>251</v>
      </c>
      <c r="D32" s="316" t="s">
        <v>121</v>
      </c>
      <c r="E32" s="316" t="s">
        <v>83</v>
      </c>
      <c r="F32" s="410" t="s">
        <v>450</v>
      </c>
      <c r="G32" s="316">
        <v>14</v>
      </c>
      <c r="H32" s="389">
        <v>77</v>
      </c>
      <c r="J32" s="433"/>
    </row>
    <row r="33" spans="1:10" s="404" customFormat="1" ht="40.5">
      <c r="A33" s="421"/>
      <c r="B33" s="284">
        <v>26</v>
      </c>
      <c r="C33" s="416" t="s">
        <v>252</v>
      </c>
      <c r="D33" s="316" t="s">
        <v>121</v>
      </c>
      <c r="E33" s="316" t="s">
        <v>83</v>
      </c>
      <c r="F33" s="468" t="s">
        <v>451</v>
      </c>
      <c r="G33" s="316">
        <v>28</v>
      </c>
      <c r="H33" s="389">
        <v>154</v>
      </c>
      <c r="J33" s="405"/>
    </row>
    <row r="34" spans="1:10" s="404" customFormat="1" ht="40.5">
      <c r="A34" s="421"/>
      <c r="B34" s="284">
        <v>27</v>
      </c>
      <c r="C34" s="416" t="s">
        <v>253</v>
      </c>
      <c r="D34" s="316" t="s">
        <v>121</v>
      </c>
      <c r="E34" s="316" t="s">
        <v>83</v>
      </c>
      <c r="F34" s="410" t="s">
        <v>452</v>
      </c>
      <c r="G34" s="316">
        <v>27</v>
      </c>
      <c r="H34" s="389">
        <v>148.5</v>
      </c>
      <c r="J34" s="405"/>
    </row>
    <row r="35" spans="1:10" s="432" customFormat="1" ht="40.5">
      <c r="A35" s="436"/>
      <c r="B35" s="284">
        <v>28</v>
      </c>
      <c r="C35" s="416" t="s">
        <v>454</v>
      </c>
      <c r="D35" s="316" t="s">
        <v>121</v>
      </c>
      <c r="E35" s="316" t="s">
        <v>83</v>
      </c>
      <c r="F35" s="410" t="s">
        <v>456</v>
      </c>
      <c r="G35" s="316">
        <v>20</v>
      </c>
      <c r="H35" s="389">
        <v>110</v>
      </c>
      <c r="J35" s="433"/>
    </row>
    <row r="36" spans="1:10" s="404" customFormat="1" ht="40.5">
      <c r="A36" s="421"/>
      <c r="B36" s="284">
        <v>29</v>
      </c>
      <c r="C36" s="416" t="s">
        <v>455</v>
      </c>
      <c r="D36" s="316" t="s">
        <v>121</v>
      </c>
      <c r="E36" s="316" t="s">
        <v>83</v>
      </c>
      <c r="F36" s="410" t="s">
        <v>453</v>
      </c>
      <c r="G36" s="316">
        <v>20</v>
      </c>
      <c r="H36" s="389">
        <v>110</v>
      </c>
      <c r="J36" s="405"/>
    </row>
    <row r="37" spans="1:10" s="404" customFormat="1" ht="40.5">
      <c r="A37" s="421"/>
      <c r="B37" s="284">
        <v>30</v>
      </c>
      <c r="C37" s="416" t="s">
        <v>457</v>
      </c>
      <c r="D37" s="316" t="s">
        <v>121</v>
      </c>
      <c r="E37" s="316" t="s">
        <v>83</v>
      </c>
      <c r="F37" s="410" t="s">
        <v>458</v>
      </c>
      <c r="G37" s="316">
        <v>18</v>
      </c>
      <c r="H37" s="389">
        <v>99</v>
      </c>
      <c r="J37" s="405"/>
    </row>
    <row r="38" spans="1:10" s="404" customFormat="1" ht="41.25" customHeight="1">
      <c r="A38" s="421"/>
      <c r="B38" s="284">
        <v>31</v>
      </c>
      <c r="C38" s="416" t="s">
        <v>459</v>
      </c>
      <c r="D38" s="316" t="s">
        <v>121</v>
      </c>
      <c r="E38" s="316" t="s">
        <v>83</v>
      </c>
      <c r="F38" s="410" t="s">
        <v>460</v>
      </c>
      <c r="G38" s="316">
        <v>30</v>
      </c>
      <c r="H38" s="389">
        <v>165</v>
      </c>
      <c r="J38" s="405"/>
    </row>
    <row r="39" spans="1:10" s="404" customFormat="1" ht="60.75">
      <c r="A39" s="421"/>
      <c r="B39" s="284">
        <v>32</v>
      </c>
      <c r="C39" s="416" t="s">
        <v>254</v>
      </c>
      <c r="D39" s="316" t="s">
        <v>121</v>
      </c>
      <c r="E39" s="316" t="s">
        <v>83</v>
      </c>
      <c r="F39" s="410" t="s">
        <v>461</v>
      </c>
      <c r="G39" s="316">
        <v>39</v>
      </c>
      <c r="H39" s="389">
        <v>214.5</v>
      </c>
      <c r="J39" s="405"/>
    </row>
    <row r="40" spans="1:10" s="399" customFormat="1" ht="22.5" customHeight="1">
      <c r="A40" s="401"/>
      <c r="B40" s="401"/>
      <c r="C40" s="303" t="s">
        <v>211</v>
      </c>
      <c r="D40" s="417"/>
      <c r="E40" s="417"/>
      <c r="F40" s="402"/>
      <c r="G40" s="303">
        <f>SUM(G32:G39)</f>
        <v>196</v>
      </c>
      <c r="H40" s="381">
        <f>SUM(H32:H39)</f>
        <v>1078</v>
      </c>
      <c r="J40" s="400"/>
    </row>
    <row r="41" spans="1:10" s="413" customFormat="1" ht="40.5">
      <c r="A41" s="602" t="s">
        <v>462</v>
      </c>
      <c r="B41" s="284">
        <v>33</v>
      </c>
      <c r="C41" s="406" t="s">
        <v>463</v>
      </c>
      <c r="D41" s="388" t="s">
        <v>121</v>
      </c>
      <c r="E41" s="388" t="s">
        <v>71</v>
      </c>
      <c r="F41" s="422" t="s">
        <v>517</v>
      </c>
      <c r="G41" s="388">
        <v>19</v>
      </c>
      <c r="H41" s="408">
        <v>1582.7</v>
      </c>
      <c r="J41" s="414"/>
    </row>
    <row r="42" spans="1:10" s="399" customFormat="1" ht="22.5" customHeight="1">
      <c r="A42" s="401"/>
      <c r="B42" s="401"/>
      <c r="C42" s="303" t="s">
        <v>211</v>
      </c>
      <c r="D42" s="417"/>
      <c r="E42" s="417"/>
      <c r="F42" s="402"/>
      <c r="G42" s="303">
        <f>SUM(G41)</f>
        <v>19</v>
      </c>
      <c r="H42" s="381">
        <f>SUM(H41)</f>
        <v>1582.7</v>
      </c>
      <c r="J42" s="400"/>
    </row>
    <row r="43" spans="1:10" s="413" customFormat="1" ht="40.5">
      <c r="A43" s="602" t="s">
        <v>142</v>
      </c>
      <c r="B43" s="284">
        <v>34</v>
      </c>
      <c r="C43" s="406" t="s">
        <v>464</v>
      </c>
      <c r="D43" s="388" t="s">
        <v>121</v>
      </c>
      <c r="E43" s="388" t="s">
        <v>71</v>
      </c>
      <c r="F43" s="422" t="s">
        <v>465</v>
      </c>
      <c r="G43" s="388">
        <v>23</v>
      </c>
      <c r="H43" s="408">
        <v>846.4</v>
      </c>
      <c r="J43" s="414"/>
    </row>
    <row r="44" spans="1:10" s="413" customFormat="1" ht="40.5">
      <c r="A44" s="412"/>
      <c r="B44" s="317">
        <v>35</v>
      </c>
      <c r="C44" s="407" t="s">
        <v>466</v>
      </c>
      <c r="D44" s="388" t="s">
        <v>121</v>
      </c>
      <c r="E44" s="316" t="s">
        <v>71</v>
      </c>
      <c r="F44" s="422" t="s">
        <v>467</v>
      </c>
      <c r="G44" s="316">
        <v>20</v>
      </c>
      <c r="H44" s="382">
        <v>944</v>
      </c>
      <c r="J44" s="414"/>
    </row>
    <row r="45" spans="1:10" s="413" customFormat="1" ht="40.5">
      <c r="A45" s="412"/>
      <c r="B45" s="317">
        <v>36</v>
      </c>
      <c r="C45" s="407" t="s">
        <v>216</v>
      </c>
      <c r="D45" s="388" t="s">
        <v>121</v>
      </c>
      <c r="E45" s="316" t="s">
        <v>217</v>
      </c>
      <c r="F45" s="422" t="s">
        <v>468</v>
      </c>
      <c r="G45" s="316">
        <v>18</v>
      </c>
      <c r="H45" s="382">
        <v>562.6</v>
      </c>
      <c r="J45" s="414"/>
    </row>
    <row r="46" spans="1:10" s="413" customFormat="1" ht="40.5">
      <c r="A46" s="412"/>
      <c r="B46" s="284">
        <v>37</v>
      </c>
      <c r="C46" s="406" t="s">
        <v>469</v>
      </c>
      <c r="D46" s="388" t="s">
        <v>121</v>
      </c>
      <c r="E46" s="316" t="s">
        <v>217</v>
      </c>
      <c r="F46" s="413" t="s">
        <v>470</v>
      </c>
      <c r="G46" s="388">
        <v>23</v>
      </c>
      <c r="H46" s="408">
        <v>774.2</v>
      </c>
      <c r="J46" s="414"/>
    </row>
    <row r="47" spans="1:10" s="423" customFormat="1" ht="42">
      <c r="A47" s="410"/>
      <c r="B47" s="284">
        <v>38</v>
      </c>
      <c r="C47" s="406" t="s">
        <v>471</v>
      </c>
      <c r="D47" s="316" t="s">
        <v>121</v>
      </c>
      <c r="E47" s="316" t="s">
        <v>163</v>
      </c>
      <c r="F47" s="423" t="s">
        <v>472</v>
      </c>
      <c r="G47" s="316">
        <v>19</v>
      </c>
      <c r="H47" s="409">
        <v>1719.5</v>
      </c>
      <c r="J47" s="424"/>
    </row>
    <row r="48" spans="1:10" s="413" customFormat="1" ht="60.75">
      <c r="A48" s="412"/>
      <c r="B48" s="317">
        <v>39</v>
      </c>
      <c r="C48" s="406" t="s">
        <v>473</v>
      </c>
      <c r="D48" s="388" t="s">
        <v>121</v>
      </c>
      <c r="E48" s="316" t="s">
        <v>117</v>
      </c>
      <c r="F48" s="425" t="s">
        <v>476</v>
      </c>
      <c r="G48" s="388">
        <v>20</v>
      </c>
      <c r="H48" s="408">
        <v>380</v>
      </c>
      <c r="J48" s="414"/>
    </row>
    <row r="49" spans="1:10" s="413" customFormat="1" ht="60.75">
      <c r="A49" s="412"/>
      <c r="B49" s="317">
        <v>40</v>
      </c>
      <c r="C49" s="406" t="s">
        <v>475</v>
      </c>
      <c r="D49" s="388" t="s">
        <v>121</v>
      </c>
      <c r="E49" s="316" t="s">
        <v>117</v>
      </c>
      <c r="F49" s="425" t="s">
        <v>474</v>
      </c>
      <c r="G49" s="388">
        <v>13</v>
      </c>
      <c r="H49" s="408">
        <v>269.1</v>
      </c>
      <c r="J49" s="414"/>
    </row>
    <row r="50" spans="1:10" s="413" customFormat="1" ht="40.5">
      <c r="A50" s="412"/>
      <c r="B50" s="317">
        <v>41</v>
      </c>
      <c r="C50" s="406" t="s">
        <v>478</v>
      </c>
      <c r="D50" s="388" t="s">
        <v>121</v>
      </c>
      <c r="E50" s="316" t="s">
        <v>477</v>
      </c>
      <c r="F50" s="425" t="s">
        <v>479</v>
      </c>
      <c r="G50" s="388">
        <v>23</v>
      </c>
      <c r="H50" s="408">
        <v>586.7</v>
      </c>
      <c r="J50" s="414"/>
    </row>
    <row r="51" spans="1:10" s="413" customFormat="1" ht="40.5">
      <c r="A51" s="412"/>
      <c r="B51" s="317">
        <v>42</v>
      </c>
      <c r="C51" s="406" t="s">
        <v>480</v>
      </c>
      <c r="D51" s="388" t="s">
        <v>121</v>
      </c>
      <c r="E51" s="388" t="s">
        <v>79</v>
      </c>
      <c r="F51" s="422" t="s">
        <v>481</v>
      </c>
      <c r="G51" s="388">
        <v>18</v>
      </c>
      <c r="H51" s="408">
        <v>873</v>
      </c>
      <c r="J51" s="414"/>
    </row>
    <row r="52" spans="1:10" s="413" customFormat="1" ht="21">
      <c r="A52" s="412"/>
      <c r="B52" s="317">
        <v>43</v>
      </c>
      <c r="C52" s="406" t="s">
        <v>482</v>
      </c>
      <c r="D52" s="388" t="s">
        <v>121</v>
      </c>
      <c r="E52" s="388" t="s">
        <v>79</v>
      </c>
      <c r="F52" s="422" t="s">
        <v>483</v>
      </c>
      <c r="G52" s="388">
        <v>19</v>
      </c>
      <c r="H52" s="408">
        <v>708.7</v>
      </c>
      <c r="J52" s="414"/>
    </row>
    <row r="53" spans="1:10" s="413" customFormat="1" ht="60.75">
      <c r="A53" s="412"/>
      <c r="B53" s="317">
        <v>44</v>
      </c>
      <c r="C53" s="406" t="s">
        <v>484</v>
      </c>
      <c r="D53" s="388" t="s">
        <v>121</v>
      </c>
      <c r="E53" s="316" t="s">
        <v>248</v>
      </c>
      <c r="F53" s="422" t="s">
        <v>485</v>
      </c>
      <c r="G53" s="388">
        <v>15</v>
      </c>
      <c r="H53" s="408">
        <v>534</v>
      </c>
      <c r="J53" s="414"/>
    </row>
    <row r="54" spans="1:10" s="413" customFormat="1" ht="60.75">
      <c r="A54" s="412"/>
      <c r="B54" s="317">
        <v>45</v>
      </c>
      <c r="C54" s="406" t="s">
        <v>486</v>
      </c>
      <c r="D54" s="388" t="s">
        <v>121</v>
      </c>
      <c r="E54" s="316" t="s">
        <v>248</v>
      </c>
      <c r="F54" s="425" t="s">
        <v>487</v>
      </c>
      <c r="G54" s="388">
        <v>23</v>
      </c>
      <c r="H54" s="408">
        <v>549.7</v>
      </c>
      <c r="J54" s="414"/>
    </row>
    <row r="55" spans="1:10" s="413" customFormat="1" ht="40.5">
      <c r="A55" s="412"/>
      <c r="B55" s="317">
        <v>46</v>
      </c>
      <c r="C55" s="406" t="s">
        <v>249</v>
      </c>
      <c r="D55" s="388" t="s">
        <v>121</v>
      </c>
      <c r="E55" s="388" t="s">
        <v>83</v>
      </c>
      <c r="F55" s="422" t="s">
        <v>488</v>
      </c>
      <c r="G55" s="388">
        <v>20</v>
      </c>
      <c r="H55" s="437">
        <v>944</v>
      </c>
      <c r="J55" s="414"/>
    </row>
    <row r="56" spans="1:10" s="413" customFormat="1" ht="21.75" customHeight="1">
      <c r="A56" s="438"/>
      <c r="B56" s="439"/>
      <c r="C56" s="308" t="s">
        <v>211</v>
      </c>
      <c r="D56" s="440"/>
      <c r="E56" s="440"/>
      <c r="F56" s="440"/>
      <c r="G56" s="308">
        <f>SUM(G43:G55)</f>
        <v>254</v>
      </c>
      <c r="H56" s="308">
        <f>SUM(H43:H55)</f>
        <v>9691.900000000001</v>
      </c>
      <c r="J56" s="414"/>
    </row>
    <row r="57" spans="1:10" s="465" customFormat="1" ht="60.75">
      <c r="A57" s="435" t="s">
        <v>143</v>
      </c>
      <c r="B57" s="403">
        <v>47</v>
      </c>
      <c r="C57" s="463" t="s">
        <v>489</v>
      </c>
      <c r="D57" s="464" t="s">
        <v>121</v>
      </c>
      <c r="E57" s="464" t="s">
        <v>73</v>
      </c>
      <c r="F57" s="465" t="s">
        <v>490</v>
      </c>
      <c r="G57" s="464">
        <v>20</v>
      </c>
      <c r="H57" s="466">
        <v>602.4</v>
      </c>
      <c r="J57" s="467"/>
    </row>
    <row r="58" spans="1:10" s="413" customFormat="1" ht="40.5">
      <c r="A58" s="412"/>
      <c r="B58" s="284">
        <v>48</v>
      </c>
      <c r="C58" s="407" t="s">
        <v>491</v>
      </c>
      <c r="D58" s="316" t="s">
        <v>121</v>
      </c>
      <c r="E58" s="316" t="s">
        <v>79</v>
      </c>
      <c r="F58" s="422" t="s">
        <v>492</v>
      </c>
      <c r="G58" s="388">
        <v>13</v>
      </c>
      <c r="H58" s="408">
        <v>314.2</v>
      </c>
      <c r="J58" s="414"/>
    </row>
    <row r="59" spans="1:10" s="445" customFormat="1" ht="24.75" customHeight="1">
      <c r="A59" s="444"/>
      <c r="B59" s="434"/>
      <c r="C59" s="308" t="s">
        <v>211</v>
      </c>
      <c r="D59" s="307"/>
      <c r="E59" s="307"/>
      <c r="F59" s="307"/>
      <c r="G59" s="308">
        <f>SUM(G57:G58)</f>
        <v>33</v>
      </c>
      <c r="H59" s="384">
        <f>SUM(H57:H58)</f>
        <v>916.5999999999999</v>
      </c>
      <c r="J59" s="446"/>
    </row>
    <row r="60" spans="1:10" s="430" customFormat="1" ht="40.5">
      <c r="A60" s="441" t="s">
        <v>144</v>
      </c>
      <c r="B60" s="442">
        <v>49</v>
      </c>
      <c r="C60" s="1119" t="s">
        <v>493</v>
      </c>
      <c r="D60" s="428" t="s">
        <v>121</v>
      </c>
      <c r="E60" s="388" t="s">
        <v>79</v>
      </c>
      <c r="F60" s="465" t="s">
        <v>494</v>
      </c>
      <c r="G60" s="428">
        <v>10</v>
      </c>
      <c r="H60" s="431">
        <v>70</v>
      </c>
      <c r="J60" s="443"/>
    </row>
    <row r="61" spans="1:10" s="427" customFormat="1" ht="40.5">
      <c r="A61" s="412"/>
      <c r="B61" s="317">
        <v>50</v>
      </c>
      <c r="C61" s="406" t="s">
        <v>250</v>
      </c>
      <c r="D61" s="388" t="s">
        <v>121</v>
      </c>
      <c r="E61" s="388" t="s">
        <v>79</v>
      </c>
      <c r="F61" s="422" t="s">
        <v>495</v>
      </c>
      <c r="G61" s="388">
        <v>8</v>
      </c>
      <c r="H61" s="408">
        <v>418.6</v>
      </c>
      <c r="J61" s="414"/>
    </row>
    <row r="62" spans="1:10" s="453" customFormat="1" ht="19.5" customHeight="1" thickBot="1">
      <c r="A62" s="447"/>
      <c r="B62" s="448"/>
      <c r="C62" s="449" t="s">
        <v>211</v>
      </c>
      <c r="D62" s="450"/>
      <c r="E62" s="450"/>
      <c r="F62" s="451"/>
      <c r="G62" s="449">
        <f>SUM(G60:G61)</f>
        <v>18</v>
      </c>
      <c r="H62" s="452">
        <f>SUM(H60:H61)</f>
        <v>488.6</v>
      </c>
      <c r="J62" s="398"/>
    </row>
    <row r="63" spans="1:10" s="461" customFormat="1" ht="18.75" customHeight="1" thickBot="1">
      <c r="A63" s="454"/>
      <c r="B63" s="455"/>
      <c r="C63" s="456" t="s">
        <v>61</v>
      </c>
      <c r="D63" s="457"/>
      <c r="E63" s="457"/>
      <c r="F63" s="458"/>
      <c r="G63" s="459">
        <f>SUM(G3:G62)/2</f>
        <v>663</v>
      </c>
      <c r="H63" s="460">
        <f>SUM(H3:H62)/2</f>
        <v>22072.199999999997</v>
      </c>
      <c r="J63" s="462"/>
    </row>
    <row r="64" spans="1:10" s="142" customFormat="1" ht="19.5" customHeight="1">
      <c r="A64" s="174"/>
      <c r="B64" s="251"/>
      <c r="C64" s="241"/>
      <c r="D64" s="175"/>
      <c r="E64" s="115"/>
      <c r="F64" s="172"/>
      <c r="G64" s="171"/>
      <c r="H64" s="392"/>
      <c r="J64" s="95"/>
    </row>
    <row r="65" spans="1:10" s="142" customFormat="1" ht="19.5" customHeight="1">
      <c r="A65" s="69"/>
      <c r="B65" s="109"/>
      <c r="C65" s="241"/>
      <c r="D65" s="174"/>
      <c r="E65" s="173"/>
      <c r="F65" s="172"/>
      <c r="G65" s="171"/>
      <c r="H65" s="391"/>
      <c r="J65" s="95"/>
    </row>
    <row r="66" spans="1:10" s="9" customFormat="1" ht="18.75" customHeight="1">
      <c r="A66" s="246"/>
      <c r="B66" s="170"/>
      <c r="C66" s="240"/>
      <c r="D66" s="173"/>
      <c r="E66" s="173"/>
      <c r="F66" s="271"/>
      <c r="G66" s="259"/>
      <c r="H66" s="393"/>
      <c r="J66" s="95"/>
    </row>
    <row r="67" spans="1:10" s="9" customFormat="1" ht="18.75" customHeight="1">
      <c r="A67" s="246"/>
      <c r="B67" s="170"/>
      <c r="C67" s="240"/>
      <c r="D67" s="173"/>
      <c r="E67" s="173"/>
      <c r="F67" s="172"/>
      <c r="G67" s="171"/>
      <c r="H67" s="391"/>
      <c r="J67" s="95"/>
    </row>
    <row r="68" spans="1:10" s="9" customFormat="1" ht="18.75" customHeight="1">
      <c r="A68" s="246"/>
      <c r="B68" s="170"/>
      <c r="C68" s="240"/>
      <c r="D68" s="173"/>
      <c r="E68" s="173"/>
      <c r="F68" s="271"/>
      <c r="G68" s="259"/>
      <c r="H68" s="393"/>
      <c r="J68" s="95"/>
    </row>
    <row r="69" spans="1:10" s="9" customFormat="1" ht="18.75" customHeight="1">
      <c r="A69" s="246"/>
      <c r="B69" s="170"/>
      <c r="C69" s="240"/>
      <c r="D69" s="173"/>
      <c r="E69" s="173"/>
      <c r="F69" s="172"/>
      <c r="G69" s="259"/>
      <c r="H69" s="391"/>
      <c r="J69" s="95"/>
    </row>
    <row r="70" spans="1:10" s="9" customFormat="1" ht="18.75" customHeight="1">
      <c r="A70" s="246"/>
      <c r="B70" s="170"/>
      <c r="C70" s="240"/>
      <c r="D70" s="173"/>
      <c r="E70" s="173"/>
      <c r="F70" s="172"/>
      <c r="G70" s="171"/>
      <c r="H70" s="391"/>
      <c r="J70" s="95"/>
    </row>
    <row r="71" spans="1:10" s="9" customFormat="1" ht="18.75" customHeight="1">
      <c r="A71" s="246"/>
      <c r="B71" s="170"/>
      <c r="C71" s="240"/>
      <c r="D71" s="173"/>
      <c r="E71" s="173"/>
      <c r="F71" s="172"/>
      <c r="G71" s="171"/>
      <c r="H71" s="391"/>
      <c r="J71" s="95"/>
    </row>
    <row r="72" spans="1:10" s="142" customFormat="1" ht="19.5" customHeight="1">
      <c r="A72" s="134"/>
      <c r="B72" s="170"/>
      <c r="C72" s="239"/>
      <c r="D72" s="173"/>
      <c r="E72" s="272"/>
      <c r="F72" s="172"/>
      <c r="G72" s="171"/>
      <c r="H72" s="391"/>
      <c r="J72" s="95"/>
    </row>
    <row r="73" spans="1:10" s="142" customFormat="1" ht="19.5" customHeight="1">
      <c r="A73" s="134"/>
      <c r="B73" s="170"/>
      <c r="C73" s="239"/>
      <c r="D73" s="173"/>
      <c r="E73" s="272"/>
      <c r="F73" s="172"/>
      <c r="G73" s="171"/>
      <c r="H73" s="391"/>
      <c r="J73" s="95"/>
    </row>
    <row r="74" ht="21.75">
      <c r="H74" s="394"/>
    </row>
    <row r="75" ht="21.75">
      <c r="H75" s="394"/>
    </row>
    <row r="76" spans="1:10" s="288" customFormat="1" ht="21.75" customHeight="1">
      <c r="A76" s="287"/>
      <c r="B76" s="258"/>
      <c r="D76" s="289"/>
      <c r="E76" s="289"/>
      <c r="G76" s="287"/>
      <c r="H76" s="395"/>
      <c r="J76" s="290"/>
    </row>
    <row r="77" spans="1:10" s="3" customFormat="1" ht="18" customHeight="1">
      <c r="A77" s="137"/>
      <c r="B77" s="258"/>
      <c r="C77" s="242"/>
      <c r="D77" s="138"/>
      <c r="E77" s="138"/>
      <c r="F77" s="136"/>
      <c r="G77" s="135"/>
      <c r="H77" s="396"/>
      <c r="J77"/>
    </row>
    <row r="78" spans="2:8" ht="19.5" customHeight="1">
      <c r="B78" s="107"/>
      <c r="C78" s="243"/>
      <c r="H78" s="397"/>
    </row>
    <row r="79" spans="2:8" ht="17.25">
      <c r="B79" s="107"/>
      <c r="C79" s="243"/>
      <c r="H79" s="397"/>
    </row>
    <row r="80" spans="2:8" ht="17.25">
      <c r="B80" s="107"/>
      <c r="C80" s="243"/>
      <c r="H80" s="397"/>
    </row>
    <row r="81" spans="2:8" ht="17.25">
      <c r="B81" s="107"/>
      <c r="C81" s="243"/>
      <c r="H81" s="397"/>
    </row>
    <row r="82" spans="2:8" ht="17.25">
      <c r="B82" s="107"/>
      <c r="C82" s="243"/>
      <c r="H82" s="397"/>
    </row>
    <row r="83" spans="2:8" ht="17.25">
      <c r="B83" s="107"/>
      <c r="C83" s="243"/>
      <c r="H83" s="397"/>
    </row>
    <row r="84" spans="2:8" ht="17.25">
      <c r="B84" s="107"/>
      <c r="C84" s="243"/>
      <c r="H84" s="397"/>
    </row>
    <row r="85" spans="2:8" ht="17.25">
      <c r="B85" s="107"/>
      <c r="C85" s="243"/>
      <c r="H85" s="397"/>
    </row>
    <row r="86" spans="2:8" ht="17.25">
      <c r="B86" s="107"/>
      <c r="C86" s="243"/>
      <c r="H86" s="397"/>
    </row>
    <row r="87" spans="2:8" ht="17.25">
      <c r="B87" s="107"/>
      <c r="C87" s="243"/>
      <c r="H87" s="397"/>
    </row>
    <row r="88" spans="2:8" ht="17.25">
      <c r="B88" s="107"/>
      <c r="C88" s="243"/>
      <c r="H88" s="397"/>
    </row>
    <row r="89" spans="2:8" ht="17.25">
      <c r="B89" s="107"/>
      <c r="C89" s="243"/>
      <c r="H89" s="397"/>
    </row>
    <row r="90" spans="2:8" ht="17.25">
      <c r="B90" s="107"/>
      <c r="C90" s="243"/>
      <c r="H90" s="397"/>
    </row>
    <row r="91" spans="2:8" ht="17.25">
      <c r="B91" s="107"/>
      <c r="C91" s="243"/>
      <c r="H91" s="397"/>
    </row>
    <row r="92" spans="2:8" ht="17.25">
      <c r="B92" s="107"/>
      <c r="C92" s="243"/>
      <c r="H92" s="397"/>
    </row>
    <row r="93" spans="2:8" ht="17.25">
      <c r="B93" s="107"/>
      <c r="C93" s="243"/>
      <c r="H93" s="397"/>
    </row>
    <row r="94" spans="2:3" ht="17.25">
      <c r="B94" s="107"/>
      <c r="C94" s="243"/>
    </row>
    <row r="95" spans="2:3" ht="17.25">
      <c r="B95" s="107"/>
      <c r="C95" s="243"/>
    </row>
    <row r="96" spans="2:3" ht="17.25">
      <c r="B96" s="107"/>
      <c r="C96" s="243"/>
    </row>
    <row r="97" spans="2:3" ht="17.25">
      <c r="B97" s="107"/>
      <c r="C97" s="243"/>
    </row>
    <row r="98" spans="2:3" ht="17.25">
      <c r="B98" s="107"/>
      <c r="C98" s="243"/>
    </row>
    <row r="99" spans="2:3" ht="17.25">
      <c r="B99" s="107"/>
      <c r="C99" s="243"/>
    </row>
    <row r="100" spans="2:3" ht="17.25">
      <c r="B100" s="107"/>
      <c r="C100" s="243"/>
    </row>
    <row r="101" spans="2:3" ht="17.25">
      <c r="B101" s="107"/>
      <c r="C101" s="243"/>
    </row>
    <row r="102" spans="2:3" ht="17.25">
      <c r="B102" s="107"/>
      <c r="C102" s="243"/>
    </row>
    <row r="103" spans="2:3" ht="17.25">
      <c r="B103" s="107"/>
      <c r="C103" s="243"/>
    </row>
    <row r="104" spans="2:3" ht="17.25">
      <c r="B104" s="107"/>
      <c r="C104" s="243"/>
    </row>
    <row r="105" spans="2:3" ht="17.25">
      <c r="B105" s="107"/>
      <c r="C105" s="243"/>
    </row>
    <row r="106" spans="2:3" ht="17.25">
      <c r="B106" s="107"/>
      <c r="C106" s="243"/>
    </row>
    <row r="107" spans="2:3" ht="17.25">
      <c r="B107" s="107"/>
      <c r="C107" s="243"/>
    </row>
    <row r="108" spans="2:3" ht="17.25">
      <c r="B108" s="107"/>
      <c r="C108" s="243"/>
    </row>
    <row r="109" spans="2:3" ht="17.25">
      <c r="B109" s="107"/>
      <c r="C109" s="243"/>
    </row>
    <row r="110" spans="2:3" ht="17.25">
      <c r="B110" s="107"/>
      <c r="C110" s="243"/>
    </row>
    <row r="111" spans="2:3" ht="17.25">
      <c r="B111" s="107"/>
      <c r="C111" s="243"/>
    </row>
    <row r="112" spans="2:3" ht="17.25">
      <c r="B112" s="107"/>
      <c r="C112" s="243"/>
    </row>
    <row r="113" spans="2:3" ht="17.25">
      <c r="B113" s="107"/>
      <c r="C113" s="243"/>
    </row>
    <row r="114" spans="2:3" ht="17.25">
      <c r="B114" s="107"/>
      <c r="C114" s="243"/>
    </row>
    <row r="115" spans="2:3" ht="17.25">
      <c r="B115" s="107"/>
      <c r="C115" s="243"/>
    </row>
    <row r="116" spans="2:3" ht="17.25">
      <c r="B116" s="107"/>
      <c r="C116" s="243"/>
    </row>
    <row r="117" spans="2:3" ht="17.25">
      <c r="B117" s="107"/>
      <c r="C117" s="243"/>
    </row>
    <row r="118" spans="2:3" ht="17.25">
      <c r="B118" s="107"/>
      <c r="C118" s="243"/>
    </row>
    <row r="119" spans="2:3" ht="17.25">
      <c r="B119" s="107"/>
      <c r="C119" s="243"/>
    </row>
    <row r="120" spans="2:3" ht="17.25">
      <c r="B120" s="107"/>
      <c r="C120" s="243"/>
    </row>
    <row r="121" spans="2:3" ht="18.75" customHeight="1">
      <c r="B121" s="107"/>
      <c r="C121" s="243"/>
    </row>
    <row r="122" spans="2:3" ht="18" customHeight="1">
      <c r="B122" s="107"/>
      <c r="C122" s="243"/>
    </row>
    <row r="123" spans="2:3" ht="18" customHeight="1">
      <c r="B123" s="107"/>
      <c r="C123" s="243"/>
    </row>
    <row r="124" spans="2:3" ht="18.75" customHeight="1">
      <c r="B124" s="107"/>
      <c r="C124" s="243"/>
    </row>
    <row r="125" spans="2:3" ht="18.75" customHeight="1">
      <c r="B125" s="107"/>
      <c r="C125" s="243"/>
    </row>
    <row r="126" spans="2:3" ht="17.25" customHeight="1">
      <c r="B126" s="107"/>
      <c r="C126" s="243"/>
    </row>
    <row r="127" spans="2:3" ht="19.5" customHeight="1">
      <c r="B127" s="107"/>
      <c r="C127" s="243"/>
    </row>
    <row r="128" spans="2:3" ht="19.5" customHeight="1">
      <c r="B128" s="107"/>
      <c r="C128" s="243"/>
    </row>
    <row r="129" spans="2:3" ht="17.25">
      <c r="B129" s="107"/>
      <c r="C129" s="243"/>
    </row>
    <row r="130" spans="2:3" ht="18.75" customHeight="1">
      <c r="B130" s="107"/>
      <c r="C130" s="243"/>
    </row>
    <row r="131" spans="2:3" ht="18.75" customHeight="1">
      <c r="B131" s="107"/>
      <c r="C131" s="243"/>
    </row>
    <row r="132" spans="2:3" ht="18.75" customHeight="1">
      <c r="B132" s="107"/>
      <c r="C132" s="243"/>
    </row>
    <row r="133" spans="2:3" ht="18.75" customHeight="1">
      <c r="B133" s="107"/>
      <c r="C133" s="243"/>
    </row>
    <row r="134" spans="2:3" ht="19.5" customHeight="1">
      <c r="B134" s="107"/>
      <c r="C134" s="243"/>
    </row>
    <row r="135" spans="2:3" ht="17.25">
      <c r="B135" s="107"/>
      <c r="C135" s="243"/>
    </row>
    <row r="136" spans="2:3" ht="17.25">
      <c r="B136" s="107"/>
      <c r="C136" s="243"/>
    </row>
    <row r="137" spans="2:3" ht="17.25">
      <c r="B137" s="107"/>
      <c r="C137" s="243"/>
    </row>
    <row r="138" spans="2:3" ht="17.25">
      <c r="B138" s="107"/>
      <c r="C138" s="243"/>
    </row>
    <row r="139" spans="2:3" ht="17.25">
      <c r="B139" s="107"/>
      <c r="C139" s="243"/>
    </row>
    <row r="140" spans="2:3" ht="17.25">
      <c r="B140" s="107"/>
      <c r="C140" s="243"/>
    </row>
    <row r="141" spans="2:3" ht="17.25">
      <c r="B141" s="107"/>
      <c r="C141" s="243"/>
    </row>
    <row r="142" spans="2:3" ht="17.25">
      <c r="B142" s="107"/>
      <c r="C142" s="243"/>
    </row>
    <row r="143" spans="2:3" ht="17.25">
      <c r="B143" s="107"/>
      <c r="C143" s="243"/>
    </row>
    <row r="144" spans="2:3" ht="17.25">
      <c r="B144" s="107"/>
      <c r="C144" s="243"/>
    </row>
    <row r="145" spans="2:3" ht="17.25">
      <c r="B145" s="107"/>
      <c r="C145" s="243"/>
    </row>
    <row r="146" spans="2:3" ht="17.25">
      <c r="B146" s="107"/>
      <c r="C146" s="243"/>
    </row>
    <row r="147" spans="2:3" ht="17.25">
      <c r="B147" s="107"/>
      <c r="C147" s="243"/>
    </row>
    <row r="148" spans="2:3" ht="17.25">
      <c r="B148" s="107"/>
      <c r="C148" s="243"/>
    </row>
    <row r="149" spans="2:3" ht="17.25">
      <c r="B149" s="107"/>
      <c r="C149" s="243"/>
    </row>
    <row r="150" spans="2:3" ht="17.25">
      <c r="B150" s="107"/>
      <c r="C150" s="243"/>
    </row>
    <row r="151" spans="2:3" ht="17.25">
      <c r="B151" s="107"/>
      <c r="C151" s="243"/>
    </row>
    <row r="152" spans="1:10" s="28" customFormat="1" ht="21">
      <c r="A152" s="27"/>
      <c r="B152" s="260"/>
      <c r="C152" s="244"/>
      <c r="D152" s="139"/>
      <c r="E152" s="139"/>
      <c r="G152" s="27"/>
      <c r="J152"/>
    </row>
    <row r="153" spans="1:10" s="28" customFormat="1" ht="21">
      <c r="A153" s="27"/>
      <c r="B153" s="260"/>
      <c r="C153" s="244"/>
      <c r="D153" s="139"/>
      <c r="E153" s="139"/>
      <c r="G153" s="27"/>
      <c r="J153"/>
    </row>
    <row r="154" spans="1:10" s="28" customFormat="1" ht="21">
      <c r="A154" s="27"/>
      <c r="B154" s="260"/>
      <c r="C154" s="244"/>
      <c r="D154" s="139"/>
      <c r="E154" s="139"/>
      <c r="G154" s="27"/>
      <c r="J154"/>
    </row>
    <row r="155" spans="1:10" s="28" customFormat="1" ht="21">
      <c r="A155" s="27"/>
      <c r="B155" s="260"/>
      <c r="C155" s="244"/>
      <c r="D155" s="139"/>
      <c r="E155" s="139"/>
      <c r="G155" s="27"/>
      <c r="J155"/>
    </row>
    <row r="156" spans="1:10" s="28" customFormat="1" ht="21">
      <c r="A156" s="27"/>
      <c r="B156" s="260"/>
      <c r="C156" s="244"/>
      <c r="D156" s="139"/>
      <c r="E156" s="139"/>
      <c r="G156" s="27"/>
      <c r="J156"/>
    </row>
    <row r="157" spans="1:10" s="28" customFormat="1" ht="21">
      <c r="A157" s="27"/>
      <c r="B157" s="260"/>
      <c r="C157" s="244"/>
      <c r="D157" s="139"/>
      <c r="E157" s="139"/>
      <c r="G157" s="27"/>
      <c r="J157"/>
    </row>
    <row r="158" spans="1:10" s="28" customFormat="1" ht="21">
      <c r="A158" s="27"/>
      <c r="B158" s="260"/>
      <c r="C158" s="244"/>
      <c r="D158" s="139"/>
      <c r="E158" s="139"/>
      <c r="G158" s="27"/>
      <c r="J158"/>
    </row>
    <row r="159" spans="1:10" s="28" customFormat="1" ht="21">
      <c r="A159" s="27"/>
      <c r="B159" s="260"/>
      <c r="C159" s="244"/>
      <c r="D159" s="139"/>
      <c r="E159" s="139"/>
      <c r="G159" s="27"/>
      <c r="J159"/>
    </row>
    <row r="160" spans="1:10" s="28" customFormat="1" ht="21">
      <c r="A160" s="27"/>
      <c r="B160" s="260"/>
      <c r="C160" s="244"/>
      <c r="D160" s="139"/>
      <c r="E160" s="139"/>
      <c r="G160" s="27"/>
      <c r="J160"/>
    </row>
    <row r="161" spans="1:10" s="28" customFormat="1" ht="21">
      <c r="A161" s="27"/>
      <c r="B161" s="260"/>
      <c r="C161" s="244"/>
      <c r="D161" s="139"/>
      <c r="E161" s="139"/>
      <c r="G161" s="27"/>
      <c r="J161"/>
    </row>
    <row r="162" spans="1:10" s="28" customFormat="1" ht="21">
      <c r="A162" s="27"/>
      <c r="B162" s="260"/>
      <c r="C162" s="244"/>
      <c r="D162" s="139"/>
      <c r="E162" s="139"/>
      <c r="G162" s="27"/>
      <c r="J162"/>
    </row>
    <row r="163" spans="1:10" s="28" customFormat="1" ht="21">
      <c r="A163" s="27"/>
      <c r="B163" s="260"/>
      <c r="C163" s="244"/>
      <c r="D163" s="139"/>
      <c r="E163" s="139"/>
      <c r="G163" s="27"/>
      <c r="J163"/>
    </row>
    <row r="164" spans="1:10" s="28" customFormat="1" ht="21">
      <c r="A164" s="27"/>
      <c r="B164" s="260"/>
      <c r="C164" s="244"/>
      <c r="D164" s="139"/>
      <c r="E164" s="139"/>
      <c r="G164" s="27"/>
      <c r="J164"/>
    </row>
    <row r="165" spans="1:10" s="28" customFormat="1" ht="21">
      <c r="A165" s="27"/>
      <c r="B165" s="260"/>
      <c r="C165" s="244"/>
      <c r="D165" s="139"/>
      <c r="E165" s="139"/>
      <c r="G165" s="27"/>
      <c r="J165"/>
    </row>
    <row r="166" spans="1:10" s="28" customFormat="1" ht="21">
      <c r="A166" s="27"/>
      <c r="B166" s="260"/>
      <c r="C166" s="244"/>
      <c r="D166" s="139"/>
      <c r="E166" s="139"/>
      <c r="G166" s="27"/>
      <c r="J166"/>
    </row>
    <row r="167" spans="1:10" s="28" customFormat="1" ht="21">
      <c r="A167" s="27"/>
      <c r="B167" s="260"/>
      <c r="C167" s="244"/>
      <c r="D167" s="139"/>
      <c r="E167" s="139"/>
      <c r="G167" s="27"/>
      <c r="J167"/>
    </row>
    <row r="168" spans="1:10" s="28" customFormat="1" ht="21">
      <c r="A168" s="27"/>
      <c r="B168" s="260"/>
      <c r="C168" s="244"/>
      <c r="D168" s="139"/>
      <c r="E168" s="139"/>
      <c r="G168" s="27"/>
      <c r="J168"/>
    </row>
    <row r="169" spans="1:10" s="28" customFormat="1" ht="21">
      <c r="A169" s="27"/>
      <c r="B169" s="260"/>
      <c r="C169" s="244"/>
      <c r="D169" s="139"/>
      <c r="E169" s="139"/>
      <c r="G169" s="27"/>
      <c r="J169"/>
    </row>
    <row r="170" spans="1:10" s="28" customFormat="1" ht="21">
      <c r="A170" s="27"/>
      <c r="B170" s="260"/>
      <c r="C170" s="244"/>
      <c r="D170" s="139"/>
      <c r="E170" s="139"/>
      <c r="G170" s="27"/>
      <c r="J170"/>
    </row>
    <row r="171" spans="1:10" s="28" customFormat="1" ht="21">
      <c r="A171" s="27"/>
      <c r="B171" s="260"/>
      <c r="C171" s="244"/>
      <c r="D171" s="139"/>
      <c r="E171" s="139"/>
      <c r="G171" s="27"/>
      <c r="J171"/>
    </row>
    <row r="172" spans="1:10" s="28" customFormat="1" ht="21">
      <c r="A172" s="27"/>
      <c r="B172" s="260"/>
      <c r="C172" s="244"/>
      <c r="D172" s="139"/>
      <c r="E172" s="139"/>
      <c r="G172" s="27"/>
      <c r="J172"/>
    </row>
    <row r="173" spans="1:10" s="28" customFormat="1" ht="21">
      <c r="A173" s="27"/>
      <c r="B173" s="260"/>
      <c r="C173" s="244"/>
      <c r="D173" s="139"/>
      <c r="E173" s="139"/>
      <c r="G173" s="27"/>
      <c r="J173"/>
    </row>
    <row r="174" spans="1:10" s="28" customFormat="1" ht="21">
      <c r="A174" s="27"/>
      <c r="B174" s="260"/>
      <c r="C174" s="244"/>
      <c r="D174" s="139"/>
      <c r="E174" s="139"/>
      <c r="G174" s="27"/>
      <c r="J174"/>
    </row>
    <row r="175" spans="1:10" s="28" customFormat="1" ht="21">
      <c r="A175" s="27"/>
      <c r="B175" s="260"/>
      <c r="C175" s="244"/>
      <c r="D175" s="139"/>
      <c r="E175" s="139"/>
      <c r="G175" s="27"/>
      <c r="J175"/>
    </row>
    <row r="176" spans="1:10" s="28" customFormat="1" ht="21">
      <c r="A176" s="27"/>
      <c r="B176" s="260"/>
      <c r="C176" s="244"/>
      <c r="D176" s="139"/>
      <c r="E176" s="139"/>
      <c r="G176" s="27"/>
      <c r="J176"/>
    </row>
    <row r="177" spans="1:10" s="28" customFormat="1" ht="21">
      <c r="A177" s="27"/>
      <c r="B177" s="260"/>
      <c r="C177" s="244"/>
      <c r="D177" s="139"/>
      <c r="E177" s="139"/>
      <c r="G177" s="27"/>
      <c r="J177"/>
    </row>
    <row r="178" spans="1:10" s="28" customFormat="1" ht="21">
      <c r="A178" s="27"/>
      <c r="B178" s="260"/>
      <c r="C178" s="244"/>
      <c r="D178" s="139"/>
      <c r="E178" s="139"/>
      <c r="G178" s="27"/>
      <c r="J178"/>
    </row>
    <row r="179" spans="1:10" s="28" customFormat="1" ht="21">
      <c r="A179" s="27"/>
      <c r="B179" s="260"/>
      <c r="C179" s="244"/>
      <c r="D179" s="139"/>
      <c r="E179" s="139"/>
      <c r="G179" s="27"/>
      <c r="J179"/>
    </row>
    <row r="180" spans="1:10" s="28" customFormat="1" ht="21">
      <c r="A180" s="27"/>
      <c r="B180" s="260"/>
      <c r="C180" s="244"/>
      <c r="D180" s="139"/>
      <c r="E180" s="139"/>
      <c r="G180" s="27"/>
      <c r="J180"/>
    </row>
    <row r="181" spans="1:10" s="28" customFormat="1" ht="21">
      <c r="A181" s="27"/>
      <c r="B181" s="260"/>
      <c r="C181" s="244"/>
      <c r="D181" s="139"/>
      <c r="E181" s="139"/>
      <c r="G181" s="27"/>
      <c r="J181"/>
    </row>
    <row r="182" spans="1:10" s="28" customFormat="1" ht="21">
      <c r="A182" s="27"/>
      <c r="B182" s="260"/>
      <c r="C182" s="244"/>
      <c r="D182" s="139"/>
      <c r="E182" s="139"/>
      <c r="G182" s="27"/>
      <c r="J182"/>
    </row>
    <row r="183" spans="1:10" s="28" customFormat="1" ht="21">
      <c r="A183" s="27"/>
      <c r="B183" s="260"/>
      <c r="C183" s="244"/>
      <c r="D183" s="139"/>
      <c r="E183" s="139"/>
      <c r="G183" s="27"/>
      <c r="J183"/>
    </row>
    <row r="184" spans="1:10" s="28" customFormat="1" ht="21">
      <c r="A184" s="27"/>
      <c r="B184" s="260"/>
      <c r="C184" s="244"/>
      <c r="D184" s="139"/>
      <c r="E184" s="139"/>
      <c r="G184" s="27"/>
      <c r="J184"/>
    </row>
    <row r="185" spans="1:10" s="28" customFormat="1" ht="21">
      <c r="A185" s="27"/>
      <c r="B185" s="260"/>
      <c r="C185" s="244"/>
      <c r="D185" s="139"/>
      <c r="E185" s="139"/>
      <c r="G185" s="27"/>
      <c r="J185"/>
    </row>
    <row r="186" spans="1:10" s="28" customFormat="1" ht="21">
      <c r="A186" s="27"/>
      <c r="B186" s="260"/>
      <c r="C186" s="244"/>
      <c r="D186" s="139"/>
      <c r="E186" s="139"/>
      <c r="G186" s="27"/>
      <c r="J186"/>
    </row>
    <row r="187" spans="1:10" s="28" customFormat="1" ht="21">
      <c r="A187" s="27"/>
      <c r="B187" s="260"/>
      <c r="C187" s="244"/>
      <c r="D187" s="139"/>
      <c r="E187" s="139"/>
      <c r="G187" s="27"/>
      <c r="J187"/>
    </row>
    <row r="188" spans="1:10" s="28" customFormat="1" ht="21">
      <c r="A188" s="27"/>
      <c r="B188" s="260"/>
      <c r="C188" s="244"/>
      <c r="D188" s="139"/>
      <c r="E188" s="139"/>
      <c r="G188" s="27"/>
      <c r="J188"/>
    </row>
    <row r="189" spans="1:10" s="28" customFormat="1" ht="21">
      <c r="A189" s="27"/>
      <c r="B189" s="260"/>
      <c r="C189" s="244"/>
      <c r="D189" s="139"/>
      <c r="E189" s="139"/>
      <c r="G189" s="27"/>
      <c r="J189"/>
    </row>
    <row r="190" spans="1:10" s="28" customFormat="1" ht="21">
      <c r="A190" s="27"/>
      <c r="B190" s="260"/>
      <c r="C190" s="244"/>
      <c r="D190" s="139"/>
      <c r="E190" s="139"/>
      <c r="G190" s="27"/>
      <c r="J190"/>
    </row>
    <row r="191" spans="1:10" s="28" customFormat="1" ht="21">
      <c r="A191" s="27"/>
      <c r="B191" s="260"/>
      <c r="C191" s="244"/>
      <c r="D191" s="139"/>
      <c r="E191" s="139"/>
      <c r="G191" s="27"/>
      <c r="J191"/>
    </row>
    <row r="192" spans="1:10" s="28" customFormat="1" ht="21">
      <c r="A192" s="27"/>
      <c r="B192" s="260"/>
      <c r="C192" s="244"/>
      <c r="D192" s="139"/>
      <c r="E192" s="139"/>
      <c r="G192" s="27"/>
      <c r="J192"/>
    </row>
    <row r="193" spans="1:10" s="28" customFormat="1" ht="21">
      <c r="A193" s="27"/>
      <c r="B193" s="260"/>
      <c r="C193" s="244"/>
      <c r="D193" s="139"/>
      <c r="E193" s="139"/>
      <c r="G193" s="27"/>
      <c r="J193"/>
    </row>
    <row r="194" spans="1:10" s="28" customFormat="1" ht="21">
      <c r="A194" s="27"/>
      <c r="B194" s="260"/>
      <c r="C194" s="244"/>
      <c r="D194" s="139"/>
      <c r="E194" s="139"/>
      <c r="G194" s="27"/>
      <c r="J194"/>
    </row>
    <row r="195" spans="1:10" s="28" customFormat="1" ht="21">
      <c r="A195" s="27"/>
      <c r="B195" s="260"/>
      <c r="C195" s="244"/>
      <c r="D195" s="139"/>
      <c r="E195" s="139"/>
      <c r="G195" s="27"/>
      <c r="J195"/>
    </row>
    <row r="196" spans="1:10" s="28" customFormat="1" ht="21">
      <c r="A196" s="27"/>
      <c r="B196" s="260"/>
      <c r="C196" s="244"/>
      <c r="D196" s="139"/>
      <c r="E196" s="139"/>
      <c r="G196" s="27"/>
      <c r="J196"/>
    </row>
    <row r="197" spans="1:10" s="28" customFormat="1" ht="21">
      <c r="A197" s="27"/>
      <c r="B197" s="260"/>
      <c r="C197" s="244"/>
      <c r="D197" s="139"/>
      <c r="E197" s="139"/>
      <c r="G197" s="27"/>
      <c r="J197"/>
    </row>
    <row r="198" spans="1:10" s="28" customFormat="1" ht="21">
      <c r="A198" s="27"/>
      <c r="B198" s="260"/>
      <c r="C198" s="244"/>
      <c r="D198" s="139"/>
      <c r="E198" s="139"/>
      <c r="G198" s="27"/>
      <c r="J198"/>
    </row>
    <row r="199" spans="1:10" s="28" customFormat="1" ht="21">
      <c r="A199" s="27"/>
      <c r="B199" s="260"/>
      <c r="C199" s="244"/>
      <c r="D199" s="139"/>
      <c r="E199" s="139"/>
      <c r="G199" s="27"/>
      <c r="J199"/>
    </row>
    <row r="200" spans="1:10" s="28" customFormat="1" ht="21">
      <c r="A200" s="27"/>
      <c r="B200" s="260"/>
      <c r="C200" s="244"/>
      <c r="D200" s="139"/>
      <c r="E200" s="139"/>
      <c r="G200" s="27"/>
      <c r="J200"/>
    </row>
    <row r="201" spans="1:10" s="28" customFormat="1" ht="21">
      <c r="A201" s="27"/>
      <c r="B201" s="260"/>
      <c r="C201" s="244"/>
      <c r="D201" s="139"/>
      <c r="E201" s="139"/>
      <c r="G201" s="27"/>
      <c r="J201"/>
    </row>
    <row r="202" spans="1:10" s="28" customFormat="1" ht="21">
      <c r="A202" s="27"/>
      <c r="B202" s="260"/>
      <c r="C202" s="244"/>
      <c r="D202" s="139"/>
      <c r="E202" s="139"/>
      <c r="G202" s="27"/>
      <c r="J202"/>
    </row>
    <row r="203" spans="1:10" s="28" customFormat="1" ht="21">
      <c r="A203" s="27"/>
      <c r="B203" s="260"/>
      <c r="C203" s="244"/>
      <c r="D203" s="139"/>
      <c r="E203" s="139"/>
      <c r="G203" s="27"/>
      <c r="J203"/>
    </row>
    <row r="204" spans="1:10" s="28" customFormat="1" ht="21">
      <c r="A204" s="27"/>
      <c r="B204" s="260"/>
      <c r="C204" s="244"/>
      <c r="D204" s="139"/>
      <c r="E204" s="139"/>
      <c r="G204" s="27"/>
      <c r="J204"/>
    </row>
    <row r="205" spans="1:10" s="28" customFormat="1" ht="21">
      <c r="A205" s="27"/>
      <c r="B205" s="260"/>
      <c r="C205" s="244"/>
      <c r="D205" s="139"/>
      <c r="E205" s="139"/>
      <c r="G205" s="27"/>
      <c r="J205"/>
    </row>
    <row r="206" spans="1:10" s="28" customFormat="1" ht="21">
      <c r="A206" s="27"/>
      <c r="B206" s="260"/>
      <c r="C206" s="244"/>
      <c r="D206" s="139"/>
      <c r="E206" s="139"/>
      <c r="G206" s="27"/>
      <c r="J206"/>
    </row>
    <row r="207" spans="1:10" s="28" customFormat="1" ht="21">
      <c r="A207" s="27"/>
      <c r="B207" s="260"/>
      <c r="C207" s="244"/>
      <c r="D207" s="139"/>
      <c r="E207" s="139"/>
      <c r="G207" s="27"/>
      <c r="J207"/>
    </row>
    <row r="208" spans="1:10" s="28" customFormat="1" ht="21">
      <c r="A208" s="27"/>
      <c r="B208" s="260"/>
      <c r="C208" s="244"/>
      <c r="D208" s="139"/>
      <c r="E208" s="139"/>
      <c r="G208" s="27"/>
      <c r="J208"/>
    </row>
    <row r="209" spans="1:10" s="28" customFormat="1" ht="21">
      <c r="A209" s="27"/>
      <c r="B209" s="260"/>
      <c r="C209" s="244"/>
      <c r="D209" s="139"/>
      <c r="E209" s="139"/>
      <c r="G209" s="27"/>
      <c r="J209"/>
    </row>
    <row r="210" spans="1:10" s="28" customFormat="1" ht="21">
      <c r="A210" s="27"/>
      <c r="B210" s="260"/>
      <c r="C210" s="244"/>
      <c r="D210" s="139"/>
      <c r="E210" s="139"/>
      <c r="G210" s="27"/>
      <c r="J210"/>
    </row>
    <row r="211" spans="1:10" s="28" customFormat="1" ht="21">
      <c r="A211" s="27"/>
      <c r="B211" s="260"/>
      <c r="C211" s="244"/>
      <c r="D211" s="139"/>
      <c r="E211" s="139"/>
      <c r="G211" s="27"/>
      <c r="J211"/>
    </row>
    <row r="212" spans="1:10" s="28" customFormat="1" ht="21">
      <c r="A212" s="27"/>
      <c r="B212" s="260"/>
      <c r="C212" s="244"/>
      <c r="D212" s="139"/>
      <c r="E212" s="139"/>
      <c r="G212" s="27"/>
      <c r="J212"/>
    </row>
    <row r="213" spans="1:10" s="28" customFormat="1" ht="21">
      <c r="A213" s="27"/>
      <c r="B213" s="260"/>
      <c r="C213" s="244"/>
      <c r="D213" s="139"/>
      <c r="E213" s="139"/>
      <c r="G213" s="27"/>
      <c r="J213"/>
    </row>
    <row r="214" spans="1:10" s="28" customFormat="1" ht="21">
      <c r="A214" s="27"/>
      <c r="B214" s="260"/>
      <c r="C214" s="244"/>
      <c r="D214" s="139"/>
      <c r="E214" s="139"/>
      <c r="G214" s="27"/>
      <c r="J214"/>
    </row>
    <row r="215" spans="1:10" s="28" customFormat="1" ht="21">
      <c r="A215" s="27"/>
      <c r="B215" s="260"/>
      <c r="C215" s="244"/>
      <c r="D215" s="139"/>
      <c r="E215" s="139"/>
      <c r="G215" s="27"/>
      <c r="J215"/>
    </row>
    <row r="216" spans="1:10" s="28" customFormat="1" ht="21">
      <c r="A216" s="27"/>
      <c r="B216" s="260"/>
      <c r="C216" s="244"/>
      <c r="D216" s="139"/>
      <c r="E216" s="139"/>
      <c r="G216" s="27"/>
      <c r="J216"/>
    </row>
    <row r="217" spans="1:10" s="28" customFormat="1" ht="21">
      <c r="A217" s="27"/>
      <c r="B217" s="260"/>
      <c r="C217" s="244"/>
      <c r="D217" s="139"/>
      <c r="E217" s="139"/>
      <c r="G217" s="27"/>
      <c r="J217"/>
    </row>
    <row r="218" spans="1:10" s="28" customFormat="1" ht="21">
      <c r="A218" s="27"/>
      <c r="B218" s="260"/>
      <c r="C218" s="244"/>
      <c r="D218" s="139"/>
      <c r="E218" s="139"/>
      <c r="G218" s="27"/>
      <c r="J218"/>
    </row>
    <row r="219" spans="1:10" s="28" customFormat="1" ht="21">
      <c r="A219" s="27"/>
      <c r="B219" s="260"/>
      <c r="C219" s="244"/>
      <c r="D219" s="139"/>
      <c r="E219" s="139"/>
      <c r="G219" s="27"/>
      <c r="J219"/>
    </row>
    <row r="220" spans="1:10" s="28" customFormat="1" ht="21">
      <c r="A220" s="27"/>
      <c r="B220" s="260"/>
      <c r="C220" s="244"/>
      <c r="D220" s="139"/>
      <c r="E220" s="139"/>
      <c r="G220" s="27"/>
      <c r="J220"/>
    </row>
    <row r="221" spans="1:10" s="28" customFormat="1" ht="21">
      <c r="A221" s="27"/>
      <c r="B221" s="260"/>
      <c r="C221" s="244"/>
      <c r="D221" s="139"/>
      <c r="E221" s="139"/>
      <c r="G221" s="27"/>
      <c r="J221"/>
    </row>
    <row r="222" spans="1:10" s="28" customFormat="1" ht="21">
      <c r="A222" s="27"/>
      <c r="B222" s="260"/>
      <c r="C222" s="244"/>
      <c r="D222" s="139"/>
      <c r="E222" s="139"/>
      <c r="G222" s="27"/>
      <c r="J222"/>
    </row>
    <row r="223" spans="1:10" s="28" customFormat="1" ht="21">
      <c r="A223" s="27"/>
      <c r="B223" s="260"/>
      <c r="C223" s="244"/>
      <c r="D223" s="139"/>
      <c r="E223" s="139"/>
      <c r="G223" s="27"/>
      <c r="J223"/>
    </row>
    <row r="224" spans="1:10" s="28" customFormat="1" ht="21">
      <c r="A224" s="27"/>
      <c r="B224" s="260"/>
      <c r="C224" s="244"/>
      <c r="D224" s="139"/>
      <c r="E224" s="139"/>
      <c r="G224" s="27"/>
      <c r="J224"/>
    </row>
    <row r="225" spans="1:10" s="28" customFormat="1" ht="21">
      <c r="A225" s="27"/>
      <c r="B225" s="260"/>
      <c r="C225" s="244"/>
      <c r="D225" s="139"/>
      <c r="E225" s="139"/>
      <c r="G225" s="27"/>
      <c r="J225"/>
    </row>
    <row r="226" spans="1:10" s="28" customFormat="1" ht="21.75">
      <c r="A226" s="140"/>
      <c r="B226" s="261"/>
      <c r="C226" s="245"/>
      <c r="D226" s="141"/>
      <c r="E226" s="141"/>
      <c r="F226" s="6"/>
      <c r="G226" s="140"/>
      <c r="H226" s="6"/>
      <c r="J226"/>
    </row>
    <row r="227" spans="1:10" s="28" customFormat="1" ht="21.75">
      <c r="A227" s="140"/>
      <c r="B227" s="261"/>
      <c r="C227" s="245"/>
      <c r="D227" s="141"/>
      <c r="E227" s="141"/>
      <c r="F227" s="6"/>
      <c r="G227" s="140"/>
      <c r="H227" s="6"/>
      <c r="J227"/>
    </row>
    <row r="228" spans="1:10" s="28" customFormat="1" ht="21.75">
      <c r="A228" s="140"/>
      <c r="B228" s="261"/>
      <c r="C228" s="245"/>
      <c r="D228" s="141"/>
      <c r="E228" s="141"/>
      <c r="F228" s="6"/>
      <c r="G228" s="140"/>
      <c r="H228" s="6"/>
      <c r="J228"/>
    </row>
    <row r="229" spans="1:10" s="28" customFormat="1" ht="21.75">
      <c r="A229" s="140"/>
      <c r="B229" s="261"/>
      <c r="C229" s="245"/>
      <c r="D229" s="141"/>
      <c r="E229" s="141"/>
      <c r="F229" s="6"/>
      <c r="G229" s="140"/>
      <c r="H229" s="6"/>
      <c r="J229"/>
    </row>
    <row r="230" spans="1:10" s="28" customFormat="1" ht="21.75">
      <c r="A230" s="140"/>
      <c r="B230" s="261"/>
      <c r="C230" s="245"/>
      <c r="D230" s="141"/>
      <c r="E230" s="141"/>
      <c r="F230" s="6"/>
      <c r="G230" s="140"/>
      <c r="H230" s="6"/>
      <c r="J230"/>
    </row>
    <row r="231" spans="1:10" s="28" customFormat="1" ht="21.75">
      <c r="A231" s="140"/>
      <c r="B231" s="261"/>
      <c r="C231" s="245"/>
      <c r="D231" s="141"/>
      <c r="E231" s="141"/>
      <c r="F231" s="6"/>
      <c r="G231" s="140"/>
      <c r="H231" s="6"/>
      <c r="J231"/>
    </row>
    <row r="232" spans="1:10" s="28" customFormat="1" ht="21.75">
      <c r="A232" s="140"/>
      <c r="B232" s="261"/>
      <c r="C232" s="245"/>
      <c r="D232" s="141"/>
      <c r="E232" s="141"/>
      <c r="F232" s="6"/>
      <c r="G232" s="140"/>
      <c r="H232" s="6"/>
      <c r="J232"/>
    </row>
    <row r="233" spans="1:10" s="28" customFormat="1" ht="21.75">
      <c r="A233" s="140"/>
      <c r="B233" s="261"/>
      <c r="C233" s="245"/>
      <c r="D233" s="141"/>
      <c r="E233" s="141"/>
      <c r="F233" s="6"/>
      <c r="G233" s="140"/>
      <c r="H233" s="6"/>
      <c r="J233"/>
    </row>
    <row r="234" spans="1:10" s="28" customFormat="1" ht="21.75">
      <c r="A234" s="140"/>
      <c r="B234" s="261"/>
      <c r="C234" s="245"/>
      <c r="D234" s="141"/>
      <c r="E234" s="141"/>
      <c r="F234" s="6"/>
      <c r="G234" s="140"/>
      <c r="H234" s="6"/>
      <c r="J234"/>
    </row>
    <row r="235" spans="1:10" s="28" customFormat="1" ht="21.75">
      <c r="A235" s="140"/>
      <c r="B235" s="261"/>
      <c r="C235" s="245"/>
      <c r="D235" s="141"/>
      <c r="E235" s="141"/>
      <c r="F235" s="6"/>
      <c r="G235" s="140"/>
      <c r="H235" s="6"/>
      <c r="J235"/>
    </row>
    <row r="236" spans="1:10" s="28" customFormat="1" ht="21.75">
      <c r="A236" s="140"/>
      <c r="B236" s="261"/>
      <c r="C236" s="245"/>
      <c r="D236" s="141"/>
      <c r="E236" s="141"/>
      <c r="F236" s="6"/>
      <c r="G236" s="140"/>
      <c r="H236" s="6"/>
      <c r="J236"/>
    </row>
    <row r="237" spans="1:10" s="28" customFormat="1" ht="21.75">
      <c r="A237" s="140"/>
      <c r="B237" s="261"/>
      <c r="C237" s="245"/>
      <c r="D237" s="141"/>
      <c r="E237" s="141"/>
      <c r="F237" s="6"/>
      <c r="G237" s="140"/>
      <c r="H237" s="6"/>
      <c r="J237"/>
    </row>
    <row r="238" spans="1:10" s="28" customFormat="1" ht="21.75">
      <c r="A238" s="140"/>
      <c r="B238" s="261"/>
      <c r="C238" s="245"/>
      <c r="D238" s="141"/>
      <c r="E238" s="141"/>
      <c r="F238" s="6"/>
      <c r="G238" s="140"/>
      <c r="H238" s="6"/>
      <c r="J238"/>
    </row>
    <row r="239" spans="1:10" s="28" customFormat="1" ht="21.75">
      <c r="A239" s="140"/>
      <c r="B239" s="261"/>
      <c r="C239" s="245"/>
      <c r="D239" s="141"/>
      <c r="E239" s="141"/>
      <c r="F239" s="6"/>
      <c r="G239" s="140"/>
      <c r="H239" s="6"/>
      <c r="J239"/>
    </row>
    <row r="240" spans="1:10" s="28" customFormat="1" ht="21.75">
      <c r="A240" s="140"/>
      <c r="B240" s="261"/>
      <c r="C240" s="245"/>
      <c r="D240" s="141"/>
      <c r="E240" s="141"/>
      <c r="F240" s="6"/>
      <c r="G240" s="140"/>
      <c r="H240" s="6"/>
      <c r="J240"/>
    </row>
    <row r="241" spans="1:10" s="28" customFormat="1" ht="21.75">
      <c r="A241" s="140"/>
      <c r="B241" s="261"/>
      <c r="C241" s="245"/>
      <c r="D241" s="141"/>
      <c r="E241" s="141"/>
      <c r="F241" s="6"/>
      <c r="G241" s="140"/>
      <c r="H241" s="6"/>
      <c r="J241"/>
    </row>
    <row r="242" spans="1:10" s="28" customFormat="1" ht="21.75">
      <c r="A242" s="140"/>
      <c r="B242" s="261"/>
      <c r="C242" s="245"/>
      <c r="D242" s="141"/>
      <c r="E242" s="141"/>
      <c r="F242" s="6"/>
      <c r="G242" s="140"/>
      <c r="H242" s="6"/>
      <c r="J242"/>
    </row>
    <row r="243" spans="1:10" s="28" customFormat="1" ht="21.75">
      <c r="A243" s="140"/>
      <c r="B243" s="261"/>
      <c r="C243" s="245"/>
      <c r="D243" s="141"/>
      <c r="E243" s="141"/>
      <c r="F243" s="6"/>
      <c r="G243" s="140"/>
      <c r="H243" s="6"/>
      <c r="J243"/>
    </row>
    <row r="244" spans="1:10" s="28" customFormat="1" ht="21.75">
      <c r="A244" s="140"/>
      <c r="B244" s="261"/>
      <c r="C244" s="245"/>
      <c r="D244" s="141"/>
      <c r="E244" s="141"/>
      <c r="F244" s="6"/>
      <c r="G244" s="140"/>
      <c r="H244" s="6"/>
      <c r="J244"/>
    </row>
    <row r="245" spans="1:10" s="28" customFormat="1" ht="21.75">
      <c r="A245" s="140"/>
      <c r="B245" s="261"/>
      <c r="C245" s="245"/>
      <c r="D245" s="141"/>
      <c r="E245" s="141"/>
      <c r="F245" s="6"/>
      <c r="G245" s="140"/>
      <c r="H245" s="6"/>
      <c r="J245"/>
    </row>
    <row r="246" spans="1:10" s="28" customFormat="1" ht="21.75">
      <c r="A246" s="140"/>
      <c r="B246" s="261"/>
      <c r="C246" s="245"/>
      <c r="D246" s="141"/>
      <c r="E246" s="141"/>
      <c r="F246" s="6"/>
      <c r="G246" s="140"/>
      <c r="H246" s="6"/>
      <c r="J246"/>
    </row>
    <row r="247" spans="1:10" s="28" customFormat="1" ht="21.75">
      <c r="A247" s="140"/>
      <c r="B247" s="261"/>
      <c r="C247" s="245"/>
      <c r="D247" s="141"/>
      <c r="E247" s="141"/>
      <c r="F247" s="6"/>
      <c r="G247" s="140"/>
      <c r="H247" s="6"/>
      <c r="J247"/>
    </row>
    <row r="248" spans="1:10" s="28" customFormat="1" ht="21.75">
      <c r="A248" s="140"/>
      <c r="B248" s="261"/>
      <c r="C248" s="245"/>
      <c r="D248" s="141"/>
      <c r="E248" s="141"/>
      <c r="F248" s="6"/>
      <c r="G248" s="140"/>
      <c r="H248" s="6"/>
      <c r="J248"/>
    </row>
    <row r="249" spans="1:10" s="28" customFormat="1" ht="21.75">
      <c r="A249" s="140"/>
      <c r="B249" s="261"/>
      <c r="C249" s="245"/>
      <c r="D249" s="141"/>
      <c r="E249" s="141"/>
      <c r="F249" s="6"/>
      <c r="G249" s="140"/>
      <c r="H249" s="6"/>
      <c r="J249"/>
    </row>
    <row r="250" spans="1:10" s="28" customFormat="1" ht="21.75">
      <c r="A250" s="140"/>
      <c r="B250" s="261"/>
      <c r="C250" s="245"/>
      <c r="D250" s="141"/>
      <c r="E250" s="141"/>
      <c r="F250" s="6"/>
      <c r="G250" s="140"/>
      <c r="H250" s="6"/>
      <c r="J250"/>
    </row>
    <row r="251" spans="1:10" s="28" customFormat="1" ht="21.75">
      <c r="A251" s="140"/>
      <c r="B251" s="261"/>
      <c r="C251" s="245"/>
      <c r="D251" s="141"/>
      <c r="E251" s="141"/>
      <c r="F251" s="6"/>
      <c r="G251" s="140"/>
      <c r="H251" s="6"/>
      <c r="J251"/>
    </row>
    <row r="252" spans="1:10" s="28" customFormat="1" ht="21.75">
      <c r="A252" s="140"/>
      <c r="B252" s="261"/>
      <c r="C252" s="245"/>
      <c r="D252" s="141"/>
      <c r="E252" s="141"/>
      <c r="F252" s="6"/>
      <c r="G252" s="140"/>
      <c r="H252" s="6"/>
      <c r="J252"/>
    </row>
    <row r="253" spans="1:10" s="28" customFormat="1" ht="21.75">
      <c r="A253" s="140"/>
      <c r="B253" s="261"/>
      <c r="C253" s="245"/>
      <c r="D253" s="141"/>
      <c r="E253" s="141"/>
      <c r="F253" s="6"/>
      <c r="G253" s="140"/>
      <c r="H253" s="6"/>
      <c r="J253"/>
    </row>
    <row r="254" spans="1:10" s="28" customFormat="1" ht="21.75">
      <c r="A254" s="140"/>
      <c r="B254" s="261"/>
      <c r="C254" s="245"/>
      <c r="D254" s="141"/>
      <c r="E254" s="141"/>
      <c r="F254" s="6"/>
      <c r="G254" s="140"/>
      <c r="H254" s="6"/>
      <c r="J254"/>
    </row>
    <row r="255" spans="1:10" s="28" customFormat="1" ht="21.75">
      <c r="A255" s="140"/>
      <c r="B255" s="261"/>
      <c r="C255" s="245"/>
      <c r="D255" s="141"/>
      <c r="E255" s="141"/>
      <c r="F255" s="6"/>
      <c r="G255" s="140"/>
      <c r="H255" s="6"/>
      <c r="J255"/>
    </row>
    <row r="256" spans="1:10" s="28" customFormat="1" ht="21.75">
      <c r="A256" s="140"/>
      <c r="B256" s="261"/>
      <c r="C256" s="245"/>
      <c r="D256" s="141"/>
      <c r="E256" s="141"/>
      <c r="F256" s="6"/>
      <c r="G256" s="140"/>
      <c r="H256" s="6"/>
      <c r="J256"/>
    </row>
    <row r="257" spans="1:10" s="28" customFormat="1" ht="21.75">
      <c r="A257" s="140"/>
      <c r="B257" s="261"/>
      <c r="C257" s="245"/>
      <c r="D257" s="141"/>
      <c r="E257" s="141"/>
      <c r="F257" s="6"/>
      <c r="G257" s="140"/>
      <c r="H257" s="6"/>
      <c r="J257"/>
    </row>
    <row r="258" spans="1:10" s="28" customFormat="1" ht="21.75">
      <c r="A258" s="140"/>
      <c r="B258" s="261"/>
      <c r="C258" s="245"/>
      <c r="D258" s="141"/>
      <c r="E258" s="141"/>
      <c r="F258" s="6"/>
      <c r="G258" s="140"/>
      <c r="H258" s="6"/>
      <c r="J258"/>
    </row>
    <row r="259" spans="1:10" s="28" customFormat="1" ht="21.75">
      <c r="A259" s="140"/>
      <c r="B259" s="261"/>
      <c r="C259" s="245"/>
      <c r="D259" s="141"/>
      <c r="E259" s="141"/>
      <c r="F259" s="6"/>
      <c r="G259" s="140"/>
      <c r="H259" s="6"/>
      <c r="J259"/>
    </row>
    <row r="260" spans="1:10" s="28" customFormat="1" ht="21.75">
      <c r="A260" s="140"/>
      <c r="B260" s="261"/>
      <c r="C260" s="245"/>
      <c r="D260" s="141"/>
      <c r="E260" s="141"/>
      <c r="F260" s="6"/>
      <c r="G260" s="140"/>
      <c r="H260" s="6"/>
      <c r="J260"/>
    </row>
    <row r="261" spans="1:10" s="28" customFormat="1" ht="21.75">
      <c r="A261" s="140"/>
      <c r="B261" s="261"/>
      <c r="C261" s="245"/>
      <c r="D261" s="141"/>
      <c r="E261" s="141"/>
      <c r="F261" s="6"/>
      <c r="G261" s="140"/>
      <c r="H261" s="6"/>
      <c r="J261"/>
    </row>
    <row r="262" spans="1:10" s="28" customFormat="1" ht="21.75">
      <c r="A262" s="140"/>
      <c r="B262" s="261"/>
      <c r="C262" s="245"/>
      <c r="D262" s="141"/>
      <c r="E262" s="141"/>
      <c r="F262" s="6"/>
      <c r="G262" s="140"/>
      <c r="H262" s="6"/>
      <c r="J262"/>
    </row>
    <row r="263" spans="1:10" s="28" customFormat="1" ht="21.75">
      <c r="A263" s="140"/>
      <c r="B263" s="261"/>
      <c r="C263" s="245"/>
      <c r="D263" s="141"/>
      <c r="E263" s="141"/>
      <c r="F263" s="6"/>
      <c r="G263" s="140"/>
      <c r="H263" s="6"/>
      <c r="J263"/>
    </row>
    <row r="264" spans="1:10" s="28" customFormat="1" ht="21.75">
      <c r="A264" s="140"/>
      <c r="B264" s="261"/>
      <c r="C264" s="245"/>
      <c r="D264" s="141"/>
      <c r="E264" s="141"/>
      <c r="F264" s="6"/>
      <c r="G264" s="140"/>
      <c r="H264" s="6"/>
      <c r="J264"/>
    </row>
    <row r="265" spans="1:10" s="28" customFormat="1" ht="21.75">
      <c r="A265" s="140"/>
      <c r="B265" s="261"/>
      <c r="C265" s="245"/>
      <c r="D265" s="141"/>
      <c r="E265" s="141"/>
      <c r="F265" s="6"/>
      <c r="G265" s="140"/>
      <c r="H265" s="6"/>
      <c r="J265"/>
    </row>
    <row r="266" spans="1:10" s="28" customFormat="1" ht="21.75">
      <c r="A266" s="140"/>
      <c r="B266" s="261"/>
      <c r="C266" s="245"/>
      <c r="D266" s="141"/>
      <c r="E266" s="141"/>
      <c r="F266" s="6"/>
      <c r="G266" s="140"/>
      <c r="H266" s="6"/>
      <c r="J266"/>
    </row>
    <row r="267" spans="1:10" s="28" customFormat="1" ht="21.75">
      <c r="A267" s="140"/>
      <c r="B267" s="261"/>
      <c r="C267" s="245"/>
      <c r="D267" s="141"/>
      <c r="E267" s="141"/>
      <c r="F267" s="6"/>
      <c r="G267" s="140"/>
      <c r="H267" s="6"/>
      <c r="J267"/>
    </row>
    <row r="268" spans="1:10" s="28" customFormat="1" ht="21.75">
      <c r="A268" s="140"/>
      <c r="B268" s="261"/>
      <c r="C268" s="245"/>
      <c r="D268" s="141"/>
      <c r="E268" s="141"/>
      <c r="F268" s="6"/>
      <c r="G268" s="140"/>
      <c r="H268" s="6"/>
      <c r="J268"/>
    </row>
    <row r="269" spans="1:10" s="28" customFormat="1" ht="21.75">
      <c r="A269" s="140"/>
      <c r="B269" s="261"/>
      <c r="C269" s="245"/>
      <c r="D269" s="141"/>
      <c r="E269" s="141"/>
      <c r="F269" s="6"/>
      <c r="G269" s="140"/>
      <c r="H269" s="6"/>
      <c r="J269"/>
    </row>
    <row r="270" spans="1:10" s="28" customFormat="1" ht="21.75">
      <c r="A270" s="140"/>
      <c r="B270" s="261"/>
      <c r="C270" s="245"/>
      <c r="D270" s="141"/>
      <c r="E270" s="141"/>
      <c r="F270" s="6"/>
      <c r="G270" s="140"/>
      <c r="H270" s="6"/>
      <c r="J270"/>
    </row>
    <row r="271" spans="1:10" s="28" customFormat="1" ht="21.75">
      <c r="A271" s="140"/>
      <c r="B271" s="261"/>
      <c r="C271" s="245"/>
      <c r="D271" s="141"/>
      <c r="E271" s="141"/>
      <c r="F271" s="6"/>
      <c r="G271" s="140"/>
      <c r="H271" s="6"/>
      <c r="J271"/>
    </row>
    <row r="272" spans="1:10" s="28" customFormat="1" ht="21.75">
      <c r="A272" s="140"/>
      <c r="B272" s="261"/>
      <c r="C272" s="245"/>
      <c r="D272" s="141"/>
      <c r="E272" s="141"/>
      <c r="F272" s="6"/>
      <c r="G272" s="140"/>
      <c r="H272" s="6"/>
      <c r="J272"/>
    </row>
    <row r="273" spans="1:10" s="28" customFormat="1" ht="21.75">
      <c r="A273" s="140"/>
      <c r="B273" s="261"/>
      <c r="C273" s="245"/>
      <c r="D273" s="141"/>
      <c r="E273" s="141"/>
      <c r="F273" s="6"/>
      <c r="G273" s="140"/>
      <c r="H273" s="6"/>
      <c r="J273"/>
    </row>
    <row r="274" spans="1:10" s="28" customFormat="1" ht="21.75">
      <c r="A274" s="140"/>
      <c r="B274" s="261"/>
      <c r="C274" s="245"/>
      <c r="D274" s="141"/>
      <c r="E274" s="141"/>
      <c r="F274" s="6"/>
      <c r="G274" s="140"/>
      <c r="H274" s="6"/>
      <c r="J274"/>
    </row>
    <row r="275" spans="1:10" s="28" customFormat="1" ht="21.75">
      <c r="A275" s="140"/>
      <c r="B275" s="261"/>
      <c r="C275" s="245"/>
      <c r="D275" s="141"/>
      <c r="E275" s="141"/>
      <c r="F275" s="6"/>
      <c r="G275" s="140"/>
      <c r="H275" s="6"/>
      <c r="J275"/>
    </row>
    <row r="276" spans="1:10" s="28" customFormat="1" ht="21.75">
      <c r="A276" s="140"/>
      <c r="B276" s="261"/>
      <c r="C276" s="245"/>
      <c r="D276" s="141"/>
      <c r="E276" s="141"/>
      <c r="F276" s="6"/>
      <c r="G276" s="140"/>
      <c r="H276" s="6"/>
      <c r="J276"/>
    </row>
    <row r="277" spans="1:10" s="28" customFormat="1" ht="21.75">
      <c r="A277" s="140"/>
      <c r="B277" s="261"/>
      <c r="C277" s="245"/>
      <c r="D277" s="141"/>
      <c r="E277" s="141"/>
      <c r="F277" s="6"/>
      <c r="G277" s="140"/>
      <c r="H277" s="6"/>
      <c r="J277"/>
    </row>
    <row r="278" spans="1:10" s="28" customFormat="1" ht="21.75">
      <c r="A278" s="140"/>
      <c r="B278" s="261"/>
      <c r="C278" s="245"/>
      <c r="D278" s="141"/>
      <c r="E278" s="141"/>
      <c r="F278" s="6"/>
      <c r="G278" s="140"/>
      <c r="H278" s="6"/>
      <c r="J278"/>
    </row>
    <row r="279" spans="1:10" s="28" customFormat="1" ht="21.75">
      <c r="A279" s="140"/>
      <c r="B279" s="261"/>
      <c r="C279" s="245"/>
      <c r="D279" s="141"/>
      <c r="E279" s="141"/>
      <c r="F279" s="6"/>
      <c r="G279" s="140"/>
      <c r="H279" s="6"/>
      <c r="J279"/>
    </row>
    <row r="280" spans="1:10" s="28" customFormat="1" ht="21.75">
      <c r="A280" s="140"/>
      <c r="B280" s="261"/>
      <c r="C280" s="245"/>
      <c r="D280" s="141"/>
      <c r="E280" s="141"/>
      <c r="F280" s="6"/>
      <c r="G280" s="140"/>
      <c r="H280" s="6"/>
      <c r="J280"/>
    </row>
    <row r="281" spans="1:10" s="28" customFormat="1" ht="21.75">
      <c r="A281" s="140"/>
      <c r="B281" s="261"/>
      <c r="C281" s="245"/>
      <c r="D281" s="141"/>
      <c r="E281" s="141"/>
      <c r="F281" s="6"/>
      <c r="G281" s="140"/>
      <c r="H281" s="6"/>
      <c r="J281"/>
    </row>
    <row r="282" spans="1:10" s="28" customFormat="1" ht="21.75">
      <c r="A282" s="140"/>
      <c r="B282" s="261"/>
      <c r="C282" s="245"/>
      <c r="D282" s="141"/>
      <c r="E282" s="141"/>
      <c r="F282" s="6"/>
      <c r="G282" s="140"/>
      <c r="H282" s="6"/>
      <c r="J282"/>
    </row>
    <row r="283" ht="21.75">
      <c r="I283" s="6"/>
    </row>
  </sheetData>
  <sheetProtection/>
  <printOptions horizontalCentered="1"/>
  <pageMargins left="0.27" right="0" top="0.51" bottom="0.65" header="0.53" footer="0.61"/>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3"/>
  </sheetPr>
  <dimension ref="A1:BD87"/>
  <sheetViews>
    <sheetView zoomScalePageLayoutView="0" workbookViewId="0" topLeftCell="A13">
      <selection activeCell="F29" sqref="F29"/>
    </sheetView>
  </sheetViews>
  <sheetFormatPr defaultColWidth="9.140625" defaultRowHeight="12.75"/>
  <cols>
    <col min="1" max="1" width="13.7109375" style="70" customWidth="1"/>
    <col min="2" max="2" width="4.421875" style="75" customWidth="1"/>
    <col min="3" max="3" width="6.421875" style="552" customWidth="1"/>
    <col min="4" max="4" width="4.00390625" style="75" customWidth="1"/>
    <col min="5" max="5" width="6.421875" style="552" customWidth="1"/>
    <col min="6" max="6" width="4.28125" style="60" customWidth="1"/>
    <col min="7" max="7" width="6.57421875" style="514" customWidth="1"/>
    <col min="8" max="8" width="4.00390625" style="161" customWidth="1"/>
    <col min="9" max="9" width="6.28125" style="514" customWidth="1"/>
    <col min="10" max="10" width="3.8515625" style="161" customWidth="1"/>
    <col min="11" max="11" width="6.57421875" style="514" customWidth="1"/>
    <col min="12" max="12" width="4.421875" style="161" customWidth="1"/>
    <col min="13" max="13" width="5.57421875" style="514" customWidth="1"/>
    <col min="14" max="14" width="4.00390625" style="161" customWidth="1"/>
    <col min="15" max="15" width="6.421875" style="514" customWidth="1"/>
    <col min="16" max="16" width="3.7109375" style="161" customWidth="1"/>
    <col min="17" max="17" width="6.57421875" style="514" customWidth="1"/>
    <col min="18" max="18" width="4.140625" style="161" customWidth="1"/>
    <col min="19" max="19" width="6.7109375" style="514" customWidth="1"/>
    <col min="20" max="20" width="4.00390625" style="161" customWidth="1"/>
    <col min="21" max="21" width="6.28125" style="514" customWidth="1"/>
    <col min="22" max="22" width="4.7109375" style="162" customWidth="1"/>
    <col min="23" max="23" width="6.7109375" style="557" customWidth="1"/>
    <col min="24" max="24" width="4.140625" style="70" customWidth="1"/>
    <col min="25" max="25" width="6.421875" style="557" customWidth="1"/>
    <col min="26" max="26" width="4.7109375" style="70" customWidth="1"/>
    <col min="27" max="27" width="6.421875" style="557" customWidth="1"/>
    <col min="28" max="28" width="4.421875" style="70" customWidth="1"/>
    <col min="29" max="29" width="5.8515625" style="557" customWidth="1"/>
    <col min="30" max="30" width="4.28125" style="70" customWidth="1"/>
    <col min="31" max="31" width="6.7109375" style="557" customWidth="1"/>
    <col min="32" max="32" width="3.8515625" style="70" customWidth="1"/>
    <col min="33" max="33" width="7.28125" style="557" customWidth="1"/>
    <col min="34" max="34" width="4.57421875" style="161" customWidth="1"/>
    <col min="35" max="35" width="8.28125" style="557" bestFit="1" customWidth="1"/>
    <col min="36" max="36" width="5.00390625" style="162" customWidth="1"/>
    <col min="37" max="37" width="9.00390625" style="662" customWidth="1"/>
    <col min="38" max="38" width="5.7109375" style="70" customWidth="1"/>
    <col min="39" max="39" width="8.8515625" style="70" customWidth="1"/>
    <col min="40" max="40" width="4.421875" style="162" customWidth="1"/>
    <col min="41" max="41" width="9.140625" style="161" customWidth="1"/>
    <col min="42" max="42" width="4.7109375" style="161" customWidth="1"/>
    <col min="43" max="43" width="8.421875" style="161" customWidth="1"/>
    <col min="44" max="44" width="4.140625" style="162" customWidth="1"/>
    <col min="45" max="45" width="7.421875" style="70" customWidth="1"/>
    <col min="46" max="46" width="4.00390625" style="70" customWidth="1"/>
    <col min="47" max="47" width="6.57421875" style="70" customWidth="1"/>
    <col min="48" max="48" width="4.140625" style="162" customWidth="1"/>
    <col min="49" max="49" width="6.8515625" style="70" customWidth="1"/>
    <col min="50" max="50" width="5.8515625" style="162" customWidth="1"/>
    <col min="51" max="51" width="8.421875" style="70" customWidth="1"/>
    <col min="52" max="52" width="5.28125" style="70" customWidth="1"/>
    <col min="53" max="53" width="9.7109375" style="95" customWidth="1"/>
    <col min="54" max="54" width="11.00390625" style="0" customWidth="1"/>
    <col min="55" max="55" width="10.8515625" style="162" customWidth="1"/>
    <col min="56" max="56" width="10.28125" style="70" customWidth="1"/>
    <col min="57" max="16384" width="9.140625" style="70" customWidth="1"/>
  </cols>
  <sheetData>
    <row r="1" spans="1:56" s="61" customFormat="1" ht="23.25" customHeight="1">
      <c r="A1" s="222" t="s">
        <v>519</v>
      </c>
      <c r="B1" s="249"/>
      <c r="C1" s="538"/>
      <c r="D1" s="249"/>
      <c r="E1" s="538"/>
      <c r="F1" s="60"/>
      <c r="G1" s="514"/>
      <c r="H1" s="161"/>
      <c r="I1" s="514"/>
      <c r="J1" s="161"/>
      <c r="K1" s="514"/>
      <c r="L1" s="161"/>
      <c r="M1" s="514"/>
      <c r="N1" s="161"/>
      <c r="O1" s="514"/>
      <c r="P1" s="161"/>
      <c r="Q1" s="514"/>
      <c r="R1" s="161"/>
      <c r="S1" s="514"/>
      <c r="T1" s="161"/>
      <c r="U1" s="514"/>
      <c r="V1" s="162"/>
      <c r="W1" s="514"/>
      <c r="X1" s="161"/>
      <c r="Y1" s="514"/>
      <c r="Z1" s="161"/>
      <c r="AA1" s="514"/>
      <c r="AB1" s="161"/>
      <c r="AC1" s="514"/>
      <c r="AD1" s="161"/>
      <c r="AE1" s="514"/>
      <c r="AF1" s="161"/>
      <c r="AG1" s="514"/>
      <c r="AH1" s="161"/>
      <c r="AI1" s="514"/>
      <c r="AJ1" s="162"/>
      <c r="AK1" s="653"/>
      <c r="AL1" s="161"/>
      <c r="AM1" s="161"/>
      <c r="AR1" s="162"/>
      <c r="AT1" s="76"/>
      <c r="AU1" s="76" t="s">
        <v>151</v>
      </c>
      <c r="AX1" s="162"/>
      <c r="AY1" s="70"/>
      <c r="AZ1" s="70"/>
      <c r="BA1" s="74"/>
      <c r="BC1" s="162"/>
      <c r="BD1" s="70"/>
    </row>
    <row r="2" spans="1:56" s="61" customFormat="1" ht="34.5" customHeight="1" thickBot="1">
      <c r="A2" s="291" t="s">
        <v>207</v>
      </c>
      <c r="B2" s="250"/>
      <c r="C2" s="539"/>
      <c r="D2" s="250"/>
      <c r="E2" s="539"/>
      <c r="F2"/>
      <c r="G2" s="476"/>
      <c r="H2"/>
      <c r="I2" s="476"/>
      <c r="J2"/>
      <c r="K2" s="476"/>
      <c r="L2"/>
      <c r="M2" s="476"/>
      <c r="N2"/>
      <c r="O2" s="476"/>
      <c r="P2"/>
      <c r="Q2" s="476"/>
      <c r="R2"/>
      <c r="S2" s="476"/>
      <c r="T2"/>
      <c r="U2" s="476"/>
      <c r="V2"/>
      <c r="W2" s="476"/>
      <c r="X2"/>
      <c r="Y2" s="476"/>
      <c r="Z2"/>
      <c r="AA2" s="476"/>
      <c r="AB2"/>
      <c r="AC2" s="476"/>
      <c r="AD2"/>
      <c r="AE2" s="476"/>
      <c r="AF2"/>
      <c r="AG2" s="476"/>
      <c r="AH2"/>
      <c r="AI2" s="476"/>
      <c r="AJ2"/>
      <c r="AK2" s="486" t="s">
        <v>102</v>
      </c>
      <c r="AL2"/>
      <c r="AM2"/>
      <c r="AN2"/>
      <c r="AO2"/>
      <c r="AP2"/>
      <c r="AQ2"/>
      <c r="AR2"/>
      <c r="AS2"/>
      <c r="AT2"/>
      <c r="AU2"/>
      <c r="AV2"/>
      <c r="AW2"/>
      <c r="AX2"/>
      <c r="AY2"/>
      <c r="AZ2" s="70"/>
      <c r="BA2" s="74"/>
      <c r="BC2" s="162"/>
      <c r="BD2" s="70"/>
    </row>
    <row r="3" spans="1:43" s="61" customFormat="1" ht="71.25" customHeight="1">
      <c r="A3" s="1248" t="s">
        <v>1</v>
      </c>
      <c r="B3" s="1296" t="s">
        <v>71</v>
      </c>
      <c r="C3" s="1296"/>
      <c r="D3" s="1296" t="s">
        <v>184</v>
      </c>
      <c r="E3" s="1296"/>
      <c r="F3" s="1296" t="s">
        <v>84</v>
      </c>
      <c r="G3" s="1296"/>
      <c r="H3" s="1296" t="s">
        <v>73</v>
      </c>
      <c r="I3" s="1296"/>
      <c r="J3" s="1296" t="s">
        <v>85</v>
      </c>
      <c r="K3" s="1296"/>
      <c r="L3" s="1296" t="s">
        <v>74</v>
      </c>
      <c r="M3" s="1296"/>
      <c r="N3" s="1296" t="s">
        <v>75</v>
      </c>
      <c r="O3" s="1296"/>
      <c r="P3" s="1296" t="s">
        <v>169</v>
      </c>
      <c r="Q3" s="1296"/>
      <c r="R3" s="322" t="s">
        <v>76</v>
      </c>
      <c r="S3" s="556"/>
      <c r="T3" s="1297" t="s">
        <v>77</v>
      </c>
      <c r="U3" s="1297"/>
      <c r="V3" s="1297" t="s">
        <v>78</v>
      </c>
      <c r="W3" s="1297"/>
      <c r="X3" s="1296" t="s">
        <v>79</v>
      </c>
      <c r="Y3" s="1296"/>
      <c r="Z3" s="1297" t="s">
        <v>197</v>
      </c>
      <c r="AA3" s="1297"/>
      <c r="AB3" s="1297" t="s">
        <v>81</v>
      </c>
      <c r="AC3" s="1297"/>
      <c r="AD3" s="1297" t="s">
        <v>82</v>
      </c>
      <c r="AE3" s="1297"/>
      <c r="AF3" s="1297" t="s">
        <v>93</v>
      </c>
      <c r="AG3" s="1297"/>
      <c r="AH3" s="1297" t="s">
        <v>83</v>
      </c>
      <c r="AI3" s="1297"/>
      <c r="AJ3" s="1298" t="s">
        <v>66</v>
      </c>
      <c r="AK3" s="1298"/>
      <c r="AL3" s="70"/>
      <c r="AM3" s="74"/>
      <c r="AN3"/>
      <c r="AO3"/>
      <c r="AP3"/>
      <c r="AQ3"/>
    </row>
    <row r="4" spans="1:43" s="264" customFormat="1" ht="19.5" customHeight="1" thickBot="1">
      <c r="A4" s="1249"/>
      <c r="B4" s="262" t="s">
        <v>10</v>
      </c>
      <c r="C4" s="540" t="s">
        <v>9</v>
      </c>
      <c r="D4" s="262" t="s">
        <v>10</v>
      </c>
      <c r="E4" s="540" t="s">
        <v>9</v>
      </c>
      <c r="F4" s="262" t="s">
        <v>10</v>
      </c>
      <c r="G4" s="540" t="s">
        <v>9</v>
      </c>
      <c r="H4" s="262" t="s">
        <v>10</v>
      </c>
      <c r="I4" s="540" t="s">
        <v>9</v>
      </c>
      <c r="J4" s="262" t="s">
        <v>10</v>
      </c>
      <c r="K4" s="540" t="s">
        <v>9</v>
      </c>
      <c r="L4" s="262" t="s">
        <v>10</v>
      </c>
      <c r="M4" s="540" t="s">
        <v>9</v>
      </c>
      <c r="N4" s="262" t="s">
        <v>10</v>
      </c>
      <c r="O4" s="540" t="s">
        <v>9</v>
      </c>
      <c r="P4" s="263" t="s">
        <v>10</v>
      </c>
      <c r="Q4" s="540" t="s">
        <v>9</v>
      </c>
      <c r="R4" s="263" t="s">
        <v>10</v>
      </c>
      <c r="S4" s="540" t="s">
        <v>9</v>
      </c>
      <c r="T4" s="263" t="s">
        <v>10</v>
      </c>
      <c r="U4" s="540" t="s">
        <v>9</v>
      </c>
      <c r="V4" s="263" t="s">
        <v>10</v>
      </c>
      <c r="W4" s="540" t="s">
        <v>9</v>
      </c>
      <c r="X4" s="263" t="s">
        <v>10</v>
      </c>
      <c r="Y4" s="540" t="s">
        <v>9</v>
      </c>
      <c r="Z4" s="263" t="s">
        <v>10</v>
      </c>
      <c r="AA4" s="540" t="s">
        <v>9</v>
      </c>
      <c r="AB4" s="263" t="s">
        <v>10</v>
      </c>
      <c r="AC4" s="540" t="s">
        <v>9</v>
      </c>
      <c r="AD4" s="263" t="s">
        <v>10</v>
      </c>
      <c r="AE4" s="540" t="s">
        <v>9</v>
      </c>
      <c r="AF4" s="263" t="s">
        <v>10</v>
      </c>
      <c r="AG4" s="540" t="s">
        <v>9</v>
      </c>
      <c r="AH4" s="263" t="s">
        <v>10</v>
      </c>
      <c r="AI4" s="540" t="s">
        <v>9</v>
      </c>
      <c r="AJ4" s="263" t="s">
        <v>10</v>
      </c>
      <c r="AK4" s="654" t="s">
        <v>9</v>
      </c>
      <c r="AM4" s="265"/>
      <c r="AN4"/>
      <c r="AO4"/>
      <c r="AP4"/>
      <c r="AQ4"/>
    </row>
    <row r="5" spans="1:43" s="61" customFormat="1" ht="22.5" customHeight="1">
      <c r="A5" s="77" t="s">
        <v>86</v>
      </c>
      <c r="B5" s="62"/>
      <c r="C5" s="541"/>
      <c r="D5" s="62"/>
      <c r="E5" s="541"/>
      <c r="F5" s="63"/>
      <c r="G5" s="505"/>
      <c r="H5" s="64"/>
      <c r="I5" s="505"/>
      <c r="J5" s="64"/>
      <c r="K5" s="505"/>
      <c r="L5" s="64"/>
      <c r="M5" s="505"/>
      <c r="N5" s="64"/>
      <c r="O5" s="505"/>
      <c r="P5" s="64"/>
      <c r="Q5" s="505"/>
      <c r="R5" s="64"/>
      <c r="S5" s="505"/>
      <c r="T5" s="65"/>
      <c r="U5" s="505"/>
      <c r="V5" s="64"/>
      <c r="W5" s="505"/>
      <c r="X5" s="65"/>
      <c r="Y5" s="505"/>
      <c r="Z5" s="64"/>
      <c r="AA5" s="505"/>
      <c r="AB5" s="65"/>
      <c r="AC5" s="505"/>
      <c r="AD5" s="64"/>
      <c r="AE5" s="505"/>
      <c r="AF5" s="65"/>
      <c r="AG5" s="505"/>
      <c r="AH5" s="65"/>
      <c r="AI5" s="505"/>
      <c r="AJ5" s="65"/>
      <c r="AK5" s="655"/>
      <c r="AL5" s="70"/>
      <c r="AM5" s="74"/>
      <c r="AN5"/>
      <c r="AO5"/>
      <c r="AP5"/>
      <c r="AQ5"/>
    </row>
    <row r="6" spans="1:43" s="163" customFormat="1" ht="21" customHeight="1">
      <c r="A6" s="125" t="s">
        <v>87</v>
      </c>
      <c r="B6" s="577"/>
      <c r="C6" s="578"/>
      <c r="D6" s="577"/>
      <c r="E6" s="578"/>
      <c r="F6" s="577"/>
      <c r="G6" s="578"/>
      <c r="H6" s="577"/>
      <c r="I6" s="578"/>
      <c r="J6" s="577"/>
      <c r="K6" s="578"/>
      <c r="L6" s="577"/>
      <c r="M6" s="578"/>
      <c r="N6" s="577"/>
      <c r="O6" s="578"/>
      <c r="P6" s="577"/>
      <c r="Q6" s="578"/>
      <c r="R6" s="577"/>
      <c r="S6" s="578"/>
      <c r="T6" s="577"/>
      <c r="U6" s="578"/>
      <c r="V6" s="577"/>
      <c r="W6" s="578"/>
      <c r="X6" s="867">
        <v>0</v>
      </c>
      <c r="Y6" s="578">
        <v>105.5</v>
      </c>
      <c r="Z6" s="577"/>
      <c r="AA6" s="578"/>
      <c r="AB6" s="577"/>
      <c r="AC6" s="578"/>
      <c r="AD6" s="577"/>
      <c r="AE6" s="578"/>
      <c r="AF6" s="577">
        <v>6</v>
      </c>
      <c r="AG6" s="578">
        <v>597</v>
      </c>
      <c r="AH6" s="577"/>
      <c r="AI6" s="578"/>
      <c r="AJ6" s="663">
        <f aca="true" t="shared" si="0" ref="AJ6:AK10">SUM(B6,D6,F6,H6,J6,L6,N6,P6,R6,T6,V6,Z6,X6,AB6,AD6,AF6,AH6)</f>
        <v>6</v>
      </c>
      <c r="AK6" s="516">
        <f t="shared" si="0"/>
        <v>702.5</v>
      </c>
      <c r="AN6"/>
      <c r="AO6"/>
      <c r="AP6"/>
      <c r="AQ6"/>
    </row>
    <row r="7" spans="1:43" s="163" customFormat="1" ht="21" customHeight="1">
      <c r="A7" s="125" t="s">
        <v>88</v>
      </c>
      <c r="B7" s="867">
        <v>0</v>
      </c>
      <c r="C7" s="578">
        <v>255.4</v>
      </c>
      <c r="D7" s="867">
        <v>0</v>
      </c>
      <c r="E7" s="578">
        <v>290.4</v>
      </c>
      <c r="F7" s="867">
        <v>0</v>
      </c>
      <c r="G7" s="578">
        <v>263.8</v>
      </c>
      <c r="H7" s="867">
        <v>0</v>
      </c>
      <c r="I7" s="578">
        <v>308</v>
      </c>
      <c r="J7" s="577"/>
      <c r="K7" s="578"/>
      <c r="L7" s="577"/>
      <c r="M7" s="578"/>
      <c r="N7" s="577"/>
      <c r="O7" s="578"/>
      <c r="P7" s="577">
        <v>1</v>
      </c>
      <c r="Q7" s="578">
        <v>706.7</v>
      </c>
      <c r="R7" s="577"/>
      <c r="S7" s="578"/>
      <c r="T7" s="577">
        <v>3</v>
      </c>
      <c r="U7" s="578">
        <v>397.8</v>
      </c>
      <c r="V7" s="867">
        <v>0</v>
      </c>
      <c r="W7" s="578">
        <v>302.7</v>
      </c>
      <c r="X7" s="577">
        <v>25</v>
      </c>
      <c r="Y7" s="578">
        <v>595.4</v>
      </c>
      <c r="Z7" s="867">
        <v>0</v>
      </c>
      <c r="AA7" s="578">
        <v>30.8</v>
      </c>
      <c r="AB7" s="577"/>
      <c r="AC7" s="578"/>
      <c r="AD7" s="867">
        <v>0</v>
      </c>
      <c r="AE7" s="578">
        <v>745</v>
      </c>
      <c r="AF7" s="577">
        <v>4</v>
      </c>
      <c r="AG7" s="578">
        <v>924.7</v>
      </c>
      <c r="AH7" s="577">
        <v>3</v>
      </c>
      <c r="AI7" s="578">
        <v>378.9</v>
      </c>
      <c r="AJ7" s="663">
        <f t="shared" si="0"/>
        <v>36</v>
      </c>
      <c r="AK7" s="516">
        <f t="shared" si="0"/>
        <v>5199.599999999999</v>
      </c>
      <c r="AN7"/>
      <c r="AO7"/>
      <c r="AP7"/>
      <c r="AQ7"/>
    </row>
    <row r="8" spans="1:43" s="163" customFormat="1" ht="21" customHeight="1">
      <c r="A8" s="125" t="s">
        <v>89</v>
      </c>
      <c r="B8" s="577">
        <v>1</v>
      </c>
      <c r="C8" s="578">
        <v>651.8</v>
      </c>
      <c r="D8" s="577"/>
      <c r="E8" s="578"/>
      <c r="F8" s="577"/>
      <c r="G8" s="578"/>
      <c r="H8" s="577"/>
      <c r="I8" s="578"/>
      <c r="J8" s="867">
        <v>0</v>
      </c>
      <c r="K8" s="578">
        <v>251.1</v>
      </c>
      <c r="L8" s="577">
        <v>5</v>
      </c>
      <c r="M8" s="578">
        <v>232.3</v>
      </c>
      <c r="N8" s="577"/>
      <c r="O8" s="578"/>
      <c r="P8" s="577"/>
      <c r="Q8" s="578"/>
      <c r="R8" s="577"/>
      <c r="S8" s="578"/>
      <c r="T8" s="577">
        <v>1</v>
      </c>
      <c r="U8" s="578">
        <v>312.1</v>
      </c>
      <c r="V8" s="577"/>
      <c r="W8" s="578"/>
      <c r="X8" s="577"/>
      <c r="Y8" s="578"/>
      <c r="Z8" s="867">
        <v>0</v>
      </c>
      <c r="AA8" s="578">
        <v>321.5</v>
      </c>
      <c r="AB8" s="577"/>
      <c r="AC8" s="578"/>
      <c r="AD8" s="577"/>
      <c r="AE8" s="578"/>
      <c r="AF8" s="577">
        <v>4</v>
      </c>
      <c r="AG8" s="578">
        <v>479.6</v>
      </c>
      <c r="AH8" s="577">
        <v>3</v>
      </c>
      <c r="AI8" s="578">
        <v>379.2</v>
      </c>
      <c r="AJ8" s="663">
        <f t="shared" si="0"/>
        <v>14</v>
      </c>
      <c r="AK8" s="516">
        <f t="shared" si="0"/>
        <v>2627.6</v>
      </c>
      <c r="AN8"/>
      <c r="AO8"/>
      <c r="AP8"/>
      <c r="AQ8"/>
    </row>
    <row r="9" spans="1:43" s="294" customFormat="1" ht="21" customHeight="1">
      <c r="A9" s="199" t="s">
        <v>90</v>
      </c>
      <c r="B9" s="855"/>
      <c r="C9" s="856"/>
      <c r="D9" s="855"/>
      <c r="E9" s="856"/>
      <c r="F9" s="855"/>
      <c r="G9" s="856"/>
      <c r="H9" s="855">
        <v>2</v>
      </c>
      <c r="I9" s="856">
        <v>44</v>
      </c>
      <c r="J9" s="855"/>
      <c r="K9" s="856"/>
      <c r="L9" s="855"/>
      <c r="M9" s="856"/>
      <c r="N9" s="855">
        <v>3</v>
      </c>
      <c r="O9" s="856">
        <v>144.9</v>
      </c>
      <c r="P9" s="855"/>
      <c r="Q9" s="856"/>
      <c r="R9" s="855"/>
      <c r="S9" s="856"/>
      <c r="T9" s="855">
        <v>2</v>
      </c>
      <c r="U9" s="856">
        <v>471.3</v>
      </c>
      <c r="V9" s="855"/>
      <c r="W9" s="856"/>
      <c r="X9" s="855"/>
      <c r="Y9" s="856"/>
      <c r="Z9" s="855"/>
      <c r="AA9" s="856"/>
      <c r="AB9" s="855"/>
      <c r="AC9" s="856"/>
      <c r="AD9" s="855"/>
      <c r="AE9" s="856"/>
      <c r="AF9" s="855">
        <v>3</v>
      </c>
      <c r="AG9" s="856">
        <v>295.7</v>
      </c>
      <c r="AH9" s="855">
        <v>2</v>
      </c>
      <c r="AI9" s="856">
        <v>260.8</v>
      </c>
      <c r="AJ9" s="857">
        <f t="shared" si="0"/>
        <v>12</v>
      </c>
      <c r="AK9" s="659">
        <f t="shared" si="0"/>
        <v>1216.7</v>
      </c>
      <c r="AN9" s="312"/>
      <c r="AO9" s="312"/>
      <c r="AP9" s="312"/>
      <c r="AQ9" s="312"/>
    </row>
    <row r="10" spans="1:43" s="61" customFormat="1" ht="22.5" customHeight="1" thickBot="1">
      <c r="A10" s="177" t="s">
        <v>149</v>
      </c>
      <c r="B10" s="852"/>
      <c r="C10" s="853"/>
      <c r="D10" s="852"/>
      <c r="E10" s="853"/>
      <c r="F10" s="852"/>
      <c r="G10" s="854"/>
      <c r="H10" s="852"/>
      <c r="I10" s="853"/>
      <c r="J10" s="852"/>
      <c r="K10" s="853"/>
      <c r="L10" s="852"/>
      <c r="M10" s="853"/>
      <c r="N10" s="852"/>
      <c r="O10" s="853"/>
      <c r="P10" s="852"/>
      <c r="Q10" s="853"/>
      <c r="R10" s="852"/>
      <c r="S10" s="853"/>
      <c r="T10" s="852"/>
      <c r="U10" s="853"/>
      <c r="V10" s="852"/>
      <c r="W10" s="853"/>
      <c r="X10" s="852">
        <v>25</v>
      </c>
      <c r="Y10" s="853">
        <v>278.6</v>
      </c>
      <c r="Z10" s="852"/>
      <c r="AA10" s="853"/>
      <c r="AB10" s="852"/>
      <c r="AC10" s="853"/>
      <c r="AD10" s="852"/>
      <c r="AE10" s="853"/>
      <c r="AF10" s="852">
        <v>1</v>
      </c>
      <c r="AG10" s="853">
        <v>82.5</v>
      </c>
      <c r="AH10" s="852">
        <v>2</v>
      </c>
      <c r="AI10" s="853">
        <v>230.2</v>
      </c>
      <c r="AJ10" s="850">
        <f t="shared" si="0"/>
        <v>28</v>
      </c>
      <c r="AK10" s="851">
        <f t="shared" si="0"/>
        <v>591.3</v>
      </c>
      <c r="AL10" s="70"/>
      <c r="AM10" s="74"/>
      <c r="AN10"/>
      <c r="AO10"/>
      <c r="AP10"/>
      <c r="AQ10"/>
    </row>
    <row r="11" spans="1:43" s="61" customFormat="1" ht="23.25" customHeight="1" thickBot="1">
      <c r="A11" s="101" t="s">
        <v>66</v>
      </c>
      <c r="B11" s="177">
        <f aca="true" t="shared" si="1" ref="B11:AK11">SUM(B6:B10)</f>
        <v>1</v>
      </c>
      <c r="C11" s="542">
        <f t="shared" si="1"/>
        <v>907.1999999999999</v>
      </c>
      <c r="D11" s="177">
        <f t="shared" si="1"/>
        <v>0</v>
      </c>
      <c r="E11" s="542">
        <f t="shared" si="1"/>
        <v>290.4</v>
      </c>
      <c r="F11" s="177">
        <f t="shared" si="1"/>
        <v>0</v>
      </c>
      <c r="G11" s="542">
        <f t="shared" si="1"/>
        <v>263.8</v>
      </c>
      <c r="H11" s="177">
        <f t="shared" si="1"/>
        <v>2</v>
      </c>
      <c r="I11" s="542">
        <f t="shared" si="1"/>
        <v>352</v>
      </c>
      <c r="J11" s="177">
        <f t="shared" si="1"/>
        <v>0</v>
      </c>
      <c r="K11" s="542">
        <f t="shared" si="1"/>
        <v>251.1</v>
      </c>
      <c r="L11" s="177">
        <f>SUM(L6:L10)</f>
        <v>5</v>
      </c>
      <c r="M11" s="542">
        <f>SUM(M6:M10)</f>
        <v>232.3</v>
      </c>
      <c r="N11" s="177">
        <f t="shared" si="1"/>
        <v>3</v>
      </c>
      <c r="O11" s="542">
        <f t="shared" si="1"/>
        <v>144.9</v>
      </c>
      <c r="P11" s="177">
        <f t="shared" si="1"/>
        <v>1</v>
      </c>
      <c r="Q11" s="542">
        <f t="shared" si="1"/>
        <v>706.7</v>
      </c>
      <c r="R11" s="177">
        <f t="shared" si="1"/>
        <v>0</v>
      </c>
      <c r="S11" s="542">
        <f t="shared" si="1"/>
        <v>0</v>
      </c>
      <c r="T11" s="177">
        <f t="shared" si="1"/>
        <v>6</v>
      </c>
      <c r="U11" s="542">
        <f t="shared" si="1"/>
        <v>1181.2</v>
      </c>
      <c r="V11" s="177">
        <f t="shared" si="1"/>
        <v>0</v>
      </c>
      <c r="W11" s="542">
        <f t="shared" si="1"/>
        <v>302.7</v>
      </c>
      <c r="X11" s="177">
        <f t="shared" si="1"/>
        <v>50</v>
      </c>
      <c r="Y11" s="542">
        <f t="shared" si="1"/>
        <v>979.5</v>
      </c>
      <c r="Z11" s="177">
        <f t="shared" si="1"/>
        <v>0</v>
      </c>
      <c r="AA11" s="542">
        <f t="shared" si="1"/>
        <v>352.3</v>
      </c>
      <c r="AB11" s="177">
        <f t="shared" si="1"/>
        <v>0</v>
      </c>
      <c r="AC11" s="542">
        <f t="shared" si="1"/>
        <v>0</v>
      </c>
      <c r="AD11" s="177">
        <f t="shared" si="1"/>
        <v>0</v>
      </c>
      <c r="AE11" s="542">
        <f t="shared" si="1"/>
        <v>745</v>
      </c>
      <c r="AF11" s="177">
        <f t="shared" si="1"/>
        <v>18</v>
      </c>
      <c r="AG11" s="542">
        <f t="shared" si="1"/>
        <v>2379.5</v>
      </c>
      <c r="AH11" s="177">
        <f t="shared" si="1"/>
        <v>10</v>
      </c>
      <c r="AI11" s="542">
        <f t="shared" si="1"/>
        <v>1249.1</v>
      </c>
      <c r="AJ11" s="177">
        <f t="shared" si="1"/>
        <v>96</v>
      </c>
      <c r="AK11" s="657">
        <f t="shared" si="1"/>
        <v>10337.699999999999</v>
      </c>
      <c r="AL11" s="70"/>
      <c r="AM11" s="74"/>
      <c r="AN11"/>
      <c r="AO11"/>
      <c r="AP11"/>
      <c r="AQ11"/>
    </row>
    <row r="12" spans="1:43" s="61" customFormat="1" ht="23.25" customHeight="1">
      <c r="A12" s="99"/>
      <c r="B12" s="125"/>
      <c r="C12" s="1114"/>
      <c r="D12" s="125"/>
      <c r="E12" s="1114"/>
      <c r="F12" s="125"/>
      <c r="G12" s="1114"/>
      <c r="H12" s="125"/>
      <c r="I12" s="1114"/>
      <c r="J12" s="125"/>
      <c r="K12" s="1114"/>
      <c r="L12" s="125"/>
      <c r="M12" s="1114"/>
      <c r="N12" s="125"/>
      <c r="O12" s="1114"/>
      <c r="P12" s="125"/>
      <c r="Q12" s="1114"/>
      <c r="R12" s="125"/>
      <c r="S12" s="1114"/>
      <c r="T12" s="125"/>
      <c r="U12" s="1114"/>
      <c r="V12" s="125"/>
      <c r="W12" s="1114"/>
      <c r="X12" s="125"/>
      <c r="Y12" s="1114"/>
      <c r="Z12" s="125"/>
      <c r="AA12" s="1114"/>
      <c r="AB12" s="125"/>
      <c r="AC12" s="1114"/>
      <c r="AD12" s="125"/>
      <c r="AE12" s="1114"/>
      <c r="AF12" s="125"/>
      <c r="AG12" s="1114"/>
      <c r="AH12" s="125"/>
      <c r="AI12" s="1114"/>
      <c r="AJ12" s="125"/>
      <c r="AK12" s="549"/>
      <c r="AL12" s="70"/>
      <c r="AM12" s="74"/>
      <c r="AN12"/>
      <c r="AO12"/>
      <c r="AP12"/>
      <c r="AQ12"/>
    </row>
    <row r="13" spans="1:42" s="61" customFormat="1" ht="18.75" customHeight="1">
      <c r="A13" s="125"/>
      <c r="B13" s="69"/>
      <c r="C13" s="543"/>
      <c r="D13" s="69"/>
      <c r="E13" s="543"/>
      <c r="F13" s="99"/>
      <c r="G13" s="553"/>
      <c r="H13" s="99"/>
      <c r="I13" s="553"/>
      <c r="J13" s="180"/>
      <c r="K13" s="553"/>
      <c r="L13" s="180"/>
      <c r="M13" s="553"/>
      <c r="N13" s="180"/>
      <c r="O13" s="553"/>
      <c r="P13" s="99"/>
      <c r="Q13" s="553"/>
      <c r="R13" s="180"/>
      <c r="S13" s="553"/>
      <c r="T13" s="181"/>
      <c r="U13" s="515"/>
      <c r="V13" s="181"/>
      <c r="W13" s="515"/>
      <c r="X13" s="181"/>
      <c r="Y13" s="515"/>
      <c r="Z13" s="181"/>
      <c r="AA13" s="515"/>
      <c r="AB13" s="181"/>
      <c r="AC13" s="515"/>
      <c r="AD13" s="181"/>
      <c r="AE13" s="515"/>
      <c r="AF13" s="181"/>
      <c r="AG13" s="515"/>
      <c r="AH13" s="181"/>
      <c r="AI13" s="515"/>
      <c r="AJ13" s="181"/>
      <c r="AK13" s="549"/>
      <c r="AL13" s="70"/>
      <c r="AM13" s="74"/>
      <c r="AO13" s="162"/>
      <c r="AP13" s="70"/>
    </row>
    <row r="14" spans="1:56" s="61" customFormat="1" ht="21.75" customHeight="1" thickBot="1">
      <c r="A14" s="291" t="s">
        <v>368</v>
      </c>
      <c r="B14" s="250"/>
      <c r="C14" s="539"/>
      <c r="D14" s="250"/>
      <c r="E14" s="539"/>
      <c r="F14"/>
      <c r="G14" s="476"/>
      <c r="H14"/>
      <c r="I14" s="476"/>
      <c r="J14"/>
      <c r="K14" s="476"/>
      <c r="L14"/>
      <c r="M14" s="476"/>
      <c r="N14"/>
      <c r="O14" s="476"/>
      <c r="P14"/>
      <c r="Q14" s="476"/>
      <c r="R14"/>
      <c r="S14" s="476"/>
      <c r="T14"/>
      <c r="U14" s="476"/>
      <c r="V14"/>
      <c r="W14" s="476"/>
      <c r="X14"/>
      <c r="Y14" s="476"/>
      <c r="Z14"/>
      <c r="AA14" s="476"/>
      <c r="AB14"/>
      <c r="AC14" s="476"/>
      <c r="AD14"/>
      <c r="AE14" s="476"/>
      <c r="AF14"/>
      <c r="AG14" s="476"/>
      <c r="AH14"/>
      <c r="AI14" s="476"/>
      <c r="AJ14"/>
      <c r="AK14" s="486" t="s">
        <v>102</v>
      </c>
      <c r="AL14"/>
      <c r="AM14"/>
      <c r="AN14"/>
      <c r="AO14"/>
      <c r="AP14"/>
      <c r="AQ14"/>
      <c r="AR14"/>
      <c r="AS14"/>
      <c r="AT14"/>
      <c r="AU14"/>
      <c r="AV14"/>
      <c r="AW14"/>
      <c r="AX14"/>
      <c r="AY14"/>
      <c r="AZ14" s="70"/>
      <c r="BA14" s="74"/>
      <c r="BC14" s="162"/>
      <c r="BD14" s="70"/>
    </row>
    <row r="15" spans="1:43" s="61" customFormat="1" ht="71.25" customHeight="1">
      <c r="A15" s="1248" t="s">
        <v>1</v>
      </c>
      <c r="B15" s="1296" t="s">
        <v>71</v>
      </c>
      <c r="C15" s="1296"/>
      <c r="D15" s="1296" t="s">
        <v>184</v>
      </c>
      <c r="E15" s="1296"/>
      <c r="F15" s="1296" t="s">
        <v>84</v>
      </c>
      <c r="G15" s="1296"/>
      <c r="H15" s="1296" t="s">
        <v>73</v>
      </c>
      <c r="I15" s="1296"/>
      <c r="J15" s="1296" t="s">
        <v>85</v>
      </c>
      <c r="K15" s="1296"/>
      <c r="L15" s="1296" t="s">
        <v>74</v>
      </c>
      <c r="M15" s="1296"/>
      <c r="N15" s="1296" t="s">
        <v>75</v>
      </c>
      <c r="O15" s="1296"/>
      <c r="P15" s="1296" t="s">
        <v>169</v>
      </c>
      <c r="Q15" s="1296"/>
      <c r="R15" s="322" t="s">
        <v>76</v>
      </c>
      <c r="S15" s="556"/>
      <c r="T15" s="1297" t="s">
        <v>77</v>
      </c>
      <c r="U15" s="1297"/>
      <c r="V15" s="1297" t="s">
        <v>78</v>
      </c>
      <c r="W15" s="1297"/>
      <c r="X15" s="1296" t="s">
        <v>79</v>
      </c>
      <c r="Y15" s="1296"/>
      <c r="Z15" s="1297" t="s">
        <v>197</v>
      </c>
      <c r="AA15" s="1297"/>
      <c r="AB15" s="1297" t="s">
        <v>81</v>
      </c>
      <c r="AC15" s="1297"/>
      <c r="AD15" s="1297" t="s">
        <v>82</v>
      </c>
      <c r="AE15" s="1297"/>
      <c r="AF15" s="1297" t="s">
        <v>93</v>
      </c>
      <c r="AG15" s="1297"/>
      <c r="AH15" s="1297" t="s">
        <v>83</v>
      </c>
      <c r="AI15" s="1297"/>
      <c r="AJ15" s="1298" t="s">
        <v>66</v>
      </c>
      <c r="AK15" s="1298"/>
      <c r="AL15" s="70"/>
      <c r="AM15" s="74"/>
      <c r="AN15"/>
      <c r="AO15"/>
      <c r="AP15"/>
      <c r="AQ15"/>
    </row>
    <row r="16" spans="1:43" s="264" customFormat="1" ht="19.5" customHeight="1" thickBot="1">
      <c r="A16" s="1249"/>
      <c r="B16" s="262" t="s">
        <v>10</v>
      </c>
      <c r="C16" s="540" t="s">
        <v>9</v>
      </c>
      <c r="D16" s="262" t="s">
        <v>10</v>
      </c>
      <c r="E16" s="540" t="s">
        <v>9</v>
      </c>
      <c r="F16" s="262" t="s">
        <v>10</v>
      </c>
      <c r="G16" s="540" t="s">
        <v>9</v>
      </c>
      <c r="H16" s="262" t="s">
        <v>10</v>
      </c>
      <c r="I16" s="540" t="s">
        <v>9</v>
      </c>
      <c r="J16" s="262" t="s">
        <v>10</v>
      </c>
      <c r="K16" s="540" t="s">
        <v>9</v>
      </c>
      <c r="L16" s="262" t="s">
        <v>10</v>
      </c>
      <c r="M16" s="540" t="s">
        <v>9</v>
      </c>
      <c r="N16" s="262" t="s">
        <v>10</v>
      </c>
      <c r="O16" s="540" t="s">
        <v>9</v>
      </c>
      <c r="P16" s="263" t="s">
        <v>10</v>
      </c>
      <c r="Q16" s="540" t="s">
        <v>9</v>
      </c>
      <c r="R16" s="263" t="s">
        <v>10</v>
      </c>
      <c r="S16" s="540" t="s">
        <v>9</v>
      </c>
      <c r="T16" s="263" t="s">
        <v>10</v>
      </c>
      <c r="U16" s="540" t="s">
        <v>9</v>
      </c>
      <c r="V16" s="263" t="s">
        <v>10</v>
      </c>
      <c r="W16" s="540" t="s">
        <v>9</v>
      </c>
      <c r="X16" s="263" t="s">
        <v>10</v>
      </c>
      <c r="Y16" s="540" t="s">
        <v>9</v>
      </c>
      <c r="Z16" s="263" t="s">
        <v>10</v>
      </c>
      <c r="AA16" s="540" t="s">
        <v>9</v>
      </c>
      <c r="AB16" s="263" t="s">
        <v>10</v>
      </c>
      <c r="AC16" s="540" t="s">
        <v>9</v>
      </c>
      <c r="AD16" s="263" t="s">
        <v>10</v>
      </c>
      <c r="AE16" s="540" t="s">
        <v>9</v>
      </c>
      <c r="AF16" s="263" t="s">
        <v>10</v>
      </c>
      <c r="AG16" s="540" t="s">
        <v>9</v>
      </c>
      <c r="AH16" s="263" t="s">
        <v>10</v>
      </c>
      <c r="AI16" s="540" t="s">
        <v>9</v>
      </c>
      <c r="AJ16" s="263" t="s">
        <v>10</v>
      </c>
      <c r="AK16" s="654" t="s">
        <v>9</v>
      </c>
      <c r="AM16" s="265"/>
      <c r="AN16"/>
      <c r="AO16"/>
      <c r="AP16"/>
      <c r="AQ16"/>
    </row>
    <row r="17" spans="1:43" s="61" customFormat="1" ht="22.5" customHeight="1">
      <c r="A17" s="77" t="s">
        <v>86</v>
      </c>
      <c r="B17" s="62"/>
      <c r="C17" s="541"/>
      <c r="D17" s="62"/>
      <c r="E17" s="541"/>
      <c r="F17" s="63"/>
      <c r="G17" s="505"/>
      <c r="H17" s="64"/>
      <c r="I17" s="505"/>
      <c r="J17" s="64"/>
      <c r="K17" s="505"/>
      <c r="L17" s="64"/>
      <c r="M17" s="505"/>
      <c r="N17" s="64"/>
      <c r="O17" s="505"/>
      <c r="P17" s="64"/>
      <c r="Q17" s="505"/>
      <c r="R17" s="64"/>
      <c r="S17" s="505"/>
      <c r="T17" s="65"/>
      <c r="U17" s="505"/>
      <c r="V17" s="64"/>
      <c r="W17" s="505"/>
      <c r="X17" s="65"/>
      <c r="Y17" s="505"/>
      <c r="Z17" s="64"/>
      <c r="AA17" s="505"/>
      <c r="AB17" s="65"/>
      <c r="AC17" s="505"/>
      <c r="AD17" s="64"/>
      <c r="AE17" s="505"/>
      <c r="AF17" s="65"/>
      <c r="AG17" s="505"/>
      <c r="AH17" s="65"/>
      <c r="AI17" s="505"/>
      <c r="AJ17" s="65"/>
      <c r="AK17" s="655"/>
      <c r="AL17" s="70"/>
      <c r="AM17" s="74"/>
      <c r="AN17"/>
      <c r="AO17"/>
      <c r="AP17"/>
      <c r="AQ17"/>
    </row>
    <row r="18" spans="1:43" s="163" customFormat="1" ht="21" customHeight="1">
      <c r="A18" s="125" t="s">
        <v>87</v>
      </c>
      <c r="B18" s="577"/>
      <c r="C18" s="578"/>
      <c r="D18" s="577"/>
      <c r="E18" s="578"/>
      <c r="F18" s="577"/>
      <c r="G18" s="578"/>
      <c r="H18" s="577"/>
      <c r="I18" s="578"/>
      <c r="J18" s="577"/>
      <c r="K18" s="578"/>
      <c r="L18" s="577">
        <v>2</v>
      </c>
      <c r="M18" s="578">
        <v>48.3</v>
      </c>
      <c r="N18" s="577"/>
      <c r="O18" s="578"/>
      <c r="P18" s="577"/>
      <c r="Q18" s="578"/>
      <c r="R18" s="577"/>
      <c r="S18" s="578"/>
      <c r="T18" s="577"/>
      <c r="U18" s="578"/>
      <c r="V18" s="577"/>
      <c r="W18" s="578"/>
      <c r="X18" s="577"/>
      <c r="Y18" s="578"/>
      <c r="Z18" s="577"/>
      <c r="AA18" s="578"/>
      <c r="AB18" s="577"/>
      <c r="AC18" s="578"/>
      <c r="AD18" s="577"/>
      <c r="AE18" s="578"/>
      <c r="AF18" s="577"/>
      <c r="AG18" s="578"/>
      <c r="AH18" s="577"/>
      <c r="AI18" s="578"/>
      <c r="AJ18" s="663">
        <f aca="true" t="shared" si="2" ref="AJ18:AJ28">SUM(B18,D18,F18,H18,J18,L18,N18,P18,R18,T18,V18,Z18,X18,AB18,AD18,AF18,AH18)</f>
        <v>2</v>
      </c>
      <c r="AK18" s="516">
        <f aca="true" t="shared" si="3" ref="AK18:AK28">SUM(C18,E18,G18,I18,K18,M18,O18,Q18,S18,U18,W18,AA18,Y18,AC18,AE18,AG18,AI18)</f>
        <v>48.3</v>
      </c>
      <c r="AN18"/>
      <c r="AO18"/>
      <c r="AP18"/>
      <c r="AQ18"/>
    </row>
    <row r="19" spans="1:43" s="163" customFormat="1" ht="21" customHeight="1">
      <c r="A19" s="125" t="s">
        <v>88</v>
      </c>
      <c r="B19" s="577"/>
      <c r="C19" s="578"/>
      <c r="D19" s="577"/>
      <c r="E19" s="578"/>
      <c r="F19" s="577"/>
      <c r="G19" s="578"/>
      <c r="H19" s="577"/>
      <c r="I19" s="578"/>
      <c r="J19" s="577"/>
      <c r="K19" s="578"/>
      <c r="L19" s="577">
        <v>2</v>
      </c>
      <c r="M19" s="578">
        <v>48.3</v>
      </c>
      <c r="N19" s="577"/>
      <c r="O19" s="578"/>
      <c r="P19" s="577"/>
      <c r="Q19" s="578"/>
      <c r="R19" s="577"/>
      <c r="S19" s="578"/>
      <c r="T19" s="577"/>
      <c r="U19" s="578"/>
      <c r="V19" s="577">
        <v>9</v>
      </c>
      <c r="W19" s="578">
        <v>161.5</v>
      </c>
      <c r="X19" s="577"/>
      <c r="Y19" s="578"/>
      <c r="Z19" s="577"/>
      <c r="AA19" s="578"/>
      <c r="AB19" s="577"/>
      <c r="AC19" s="578"/>
      <c r="AD19" s="577"/>
      <c r="AE19" s="578"/>
      <c r="AF19" s="577"/>
      <c r="AG19" s="578"/>
      <c r="AH19" s="577"/>
      <c r="AI19" s="578"/>
      <c r="AJ19" s="663">
        <f t="shared" si="2"/>
        <v>11</v>
      </c>
      <c r="AK19" s="516">
        <f t="shared" si="3"/>
        <v>209.8</v>
      </c>
      <c r="AN19"/>
      <c r="AO19"/>
      <c r="AP19"/>
      <c r="AQ19"/>
    </row>
    <row r="20" spans="1:43" s="163" customFormat="1" ht="21" customHeight="1">
      <c r="A20" s="125" t="s">
        <v>89</v>
      </c>
      <c r="B20" s="577"/>
      <c r="C20" s="578"/>
      <c r="D20" s="577"/>
      <c r="E20" s="578"/>
      <c r="F20" s="577"/>
      <c r="G20" s="578"/>
      <c r="H20" s="577"/>
      <c r="I20" s="578"/>
      <c r="J20" s="577"/>
      <c r="K20" s="578"/>
      <c r="L20" s="577">
        <v>2</v>
      </c>
      <c r="M20" s="578">
        <v>48.3</v>
      </c>
      <c r="N20" s="577"/>
      <c r="O20" s="578"/>
      <c r="P20" s="577"/>
      <c r="Q20" s="578"/>
      <c r="R20" s="577"/>
      <c r="S20" s="578"/>
      <c r="T20" s="577"/>
      <c r="U20" s="578"/>
      <c r="V20" s="577"/>
      <c r="W20" s="578"/>
      <c r="X20" s="577"/>
      <c r="Y20" s="578"/>
      <c r="Z20" s="577"/>
      <c r="AA20" s="578"/>
      <c r="AB20" s="577"/>
      <c r="AC20" s="578"/>
      <c r="AD20" s="577"/>
      <c r="AE20" s="578"/>
      <c r="AF20" s="577"/>
      <c r="AG20" s="578"/>
      <c r="AH20" s="577"/>
      <c r="AI20" s="578"/>
      <c r="AJ20" s="663">
        <f t="shared" si="2"/>
        <v>2</v>
      </c>
      <c r="AK20" s="516">
        <f t="shared" si="3"/>
        <v>48.3</v>
      </c>
      <c r="AN20"/>
      <c r="AO20"/>
      <c r="AP20"/>
      <c r="AQ20"/>
    </row>
    <row r="21" spans="1:43" s="294" customFormat="1" ht="21" customHeight="1">
      <c r="A21" s="199" t="s">
        <v>90</v>
      </c>
      <c r="B21" s="855"/>
      <c r="C21" s="856"/>
      <c r="D21" s="855"/>
      <c r="E21" s="856"/>
      <c r="F21" s="855"/>
      <c r="G21" s="856"/>
      <c r="H21" s="855"/>
      <c r="I21" s="856"/>
      <c r="J21" s="855"/>
      <c r="K21" s="856"/>
      <c r="L21" s="855">
        <v>2</v>
      </c>
      <c r="M21" s="856">
        <v>48.3</v>
      </c>
      <c r="N21" s="855"/>
      <c r="O21" s="856"/>
      <c r="P21" s="855"/>
      <c r="Q21" s="856"/>
      <c r="R21" s="855"/>
      <c r="S21" s="856"/>
      <c r="T21" s="855"/>
      <c r="U21" s="856"/>
      <c r="V21" s="855"/>
      <c r="W21" s="856"/>
      <c r="X21" s="855"/>
      <c r="Y21" s="856"/>
      <c r="Z21" s="855"/>
      <c r="AA21" s="856"/>
      <c r="AB21" s="855"/>
      <c r="AC21" s="856"/>
      <c r="AD21" s="855"/>
      <c r="AE21" s="856"/>
      <c r="AF21" s="855"/>
      <c r="AG21" s="856"/>
      <c r="AH21" s="855"/>
      <c r="AI21" s="856"/>
      <c r="AJ21" s="857">
        <f t="shared" si="2"/>
        <v>2</v>
      </c>
      <c r="AK21" s="659">
        <f t="shared" si="3"/>
        <v>48.3</v>
      </c>
      <c r="AN21" s="312"/>
      <c r="AO21" s="312"/>
      <c r="AP21" s="312"/>
      <c r="AQ21" s="312"/>
    </row>
    <row r="22" spans="1:43" s="78" customFormat="1" ht="21" customHeight="1">
      <c r="A22" s="1113" t="s">
        <v>16</v>
      </c>
      <c r="B22" s="577"/>
      <c r="C22" s="578"/>
      <c r="D22" s="577"/>
      <c r="E22" s="578"/>
      <c r="F22" s="577"/>
      <c r="G22" s="578"/>
      <c r="H22" s="577"/>
      <c r="I22" s="578"/>
      <c r="J22" s="577"/>
      <c r="K22" s="578"/>
      <c r="L22" s="577"/>
      <c r="M22" s="578"/>
      <c r="N22" s="577"/>
      <c r="O22" s="578"/>
      <c r="P22" s="577"/>
      <c r="Q22" s="578"/>
      <c r="R22" s="577"/>
      <c r="S22" s="578"/>
      <c r="T22" s="577"/>
      <c r="U22" s="578"/>
      <c r="V22" s="577"/>
      <c r="W22" s="578"/>
      <c r="X22" s="577"/>
      <c r="Y22" s="578"/>
      <c r="Z22" s="577"/>
      <c r="AA22" s="578"/>
      <c r="AB22" s="577"/>
      <c r="AC22" s="578"/>
      <c r="AD22" s="577"/>
      <c r="AE22" s="578"/>
      <c r="AF22" s="577"/>
      <c r="AG22" s="578"/>
      <c r="AH22" s="577"/>
      <c r="AI22" s="578"/>
      <c r="AJ22" s="663"/>
      <c r="AK22" s="516"/>
      <c r="AN22" s="218"/>
      <c r="AO22" s="218"/>
      <c r="AP22" s="218"/>
      <c r="AQ22" s="218"/>
    </row>
    <row r="23" spans="1:43" s="78" customFormat="1" ht="21" customHeight="1">
      <c r="A23" s="10" t="s">
        <v>229</v>
      </c>
      <c r="B23" s="577"/>
      <c r="C23" s="578"/>
      <c r="D23" s="577"/>
      <c r="E23" s="578"/>
      <c r="F23" s="577"/>
      <c r="G23" s="578"/>
      <c r="H23" s="577"/>
      <c r="I23" s="578"/>
      <c r="J23" s="577"/>
      <c r="K23" s="578"/>
      <c r="L23" s="577">
        <v>2</v>
      </c>
      <c r="M23" s="578">
        <v>48.3</v>
      </c>
      <c r="N23" s="577"/>
      <c r="O23" s="578"/>
      <c r="P23" s="577"/>
      <c r="Q23" s="578"/>
      <c r="R23" s="577"/>
      <c r="S23" s="578"/>
      <c r="T23" s="577"/>
      <c r="U23" s="578"/>
      <c r="V23" s="577"/>
      <c r="W23" s="578"/>
      <c r="X23" s="577"/>
      <c r="Y23" s="578"/>
      <c r="Z23" s="577"/>
      <c r="AA23" s="578"/>
      <c r="AB23" s="577"/>
      <c r="AC23" s="578"/>
      <c r="AD23" s="577"/>
      <c r="AE23" s="578"/>
      <c r="AF23" s="577"/>
      <c r="AG23" s="578"/>
      <c r="AH23" s="577"/>
      <c r="AI23" s="578"/>
      <c r="AJ23" s="663">
        <f aca="true" t="shared" si="4" ref="AJ23:AK27">SUM(B23,D23,F23,H23,J23,L23,N23,P23,R23,T23,V23,Z23,X23,AB23,AD23,AF23,AH23)</f>
        <v>2</v>
      </c>
      <c r="AK23" s="516">
        <f t="shared" si="4"/>
        <v>48.3</v>
      </c>
      <c r="AN23" s="218"/>
      <c r="AO23" s="218"/>
      <c r="AP23" s="218"/>
      <c r="AQ23" s="218"/>
    </row>
    <row r="24" spans="1:43" s="78" customFormat="1" ht="21" customHeight="1">
      <c r="A24" s="10" t="s">
        <v>17</v>
      </c>
      <c r="B24" s="577"/>
      <c r="C24" s="578"/>
      <c r="D24" s="577"/>
      <c r="E24" s="578"/>
      <c r="F24" s="577"/>
      <c r="G24" s="578"/>
      <c r="H24" s="577"/>
      <c r="I24" s="578"/>
      <c r="J24" s="577"/>
      <c r="K24" s="578"/>
      <c r="L24" s="577">
        <v>2</v>
      </c>
      <c r="M24" s="578">
        <v>48.3</v>
      </c>
      <c r="N24" s="577"/>
      <c r="O24" s="578"/>
      <c r="P24" s="577"/>
      <c r="Q24" s="578"/>
      <c r="R24" s="577"/>
      <c r="S24" s="578"/>
      <c r="T24" s="577"/>
      <c r="U24" s="578"/>
      <c r="V24" s="577">
        <v>2</v>
      </c>
      <c r="W24" s="578">
        <v>10.2</v>
      </c>
      <c r="X24" s="577"/>
      <c r="Y24" s="578"/>
      <c r="Z24" s="577"/>
      <c r="AA24" s="578"/>
      <c r="AB24" s="577"/>
      <c r="AC24" s="578"/>
      <c r="AD24" s="577"/>
      <c r="AE24" s="578"/>
      <c r="AF24" s="577"/>
      <c r="AG24" s="578"/>
      <c r="AH24" s="577"/>
      <c r="AI24" s="578"/>
      <c r="AJ24" s="663">
        <f t="shared" si="4"/>
        <v>4</v>
      </c>
      <c r="AK24" s="516">
        <f t="shared" si="4"/>
        <v>58.5</v>
      </c>
      <c r="AN24" s="218"/>
      <c r="AO24" s="218"/>
      <c r="AP24" s="218"/>
      <c r="AQ24" s="218"/>
    </row>
    <row r="25" spans="1:43" s="78" customFormat="1" ht="21" customHeight="1">
      <c r="A25" s="10" t="s">
        <v>18</v>
      </c>
      <c r="B25" s="577"/>
      <c r="C25" s="578"/>
      <c r="D25" s="577"/>
      <c r="E25" s="578"/>
      <c r="F25" s="577"/>
      <c r="G25" s="578"/>
      <c r="H25" s="577"/>
      <c r="I25" s="578"/>
      <c r="J25" s="577"/>
      <c r="K25" s="578"/>
      <c r="L25" s="577">
        <v>2</v>
      </c>
      <c r="M25" s="578">
        <v>48.3</v>
      </c>
      <c r="N25" s="577"/>
      <c r="O25" s="578"/>
      <c r="P25" s="577"/>
      <c r="Q25" s="578"/>
      <c r="R25" s="577"/>
      <c r="S25" s="578"/>
      <c r="T25" s="577"/>
      <c r="U25" s="578"/>
      <c r="V25" s="577"/>
      <c r="W25" s="578"/>
      <c r="X25" s="577"/>
      <c r="Y25" s="578"/>
      <c r="Z25" s="577"/>
      <c r="AA25" s="578"/>
      <c r="AB25" s="577"/>
      <c r="AC25" s="578"/>
      <c r="AD25" s="577"/>
      <c r="AE25" s="578"/>
      <c r="AF25" s="577"/>
      <c r="AG25" s="578"/>
      <c r="AH25" s="577"/>
      <c r="AI25" s="578"/>
      <c r="AJ25" s="663">
        <f t="shared" si="4"/>
        <v>2</v>
      </c>
      <c r="AK25" s="516">
        <f t="shared" si="4"/>
        <v>48.3</v>
      </c>
      <c r="AN25" s="218"/>
      <c r="AO25" s="218"/>
      <c r="AP25" s="218"/>
      <c r="AQ25" s="218"/>
    </row>
    <row r="26" spans="1:43" s="78" customFormat="1" ht="21" customHeight="1">
      <c r="A26" s="10" t="s">
        <v>19</v>
      </c>
      <c r="B26" s="577"/>
      <c r="C26" s="578"/>
      <c r="D26" s="577"/>
      <c r="E26" s="578"/>
      <c r="F26" s="577"/>
      <c r="G26" s="578"/>
      <c r="H26" s="577"/>
      <c r="I26" s="578"/>
      <c r="J26" s="577"/>
      <c r="K26" s="578"/>
      <c r="L26" s="577">
        <v>2</v>
      </c>
      <c r="M26" s="578">
        <v>48.3</v>
      </c>
      <c r="N26" s="577"/>
      <c r="O26" s="578"/>
      <c r="P26" s="577"/>
      <c r="Q26" s="578"/>
      <c r="R26" s="577"/>
      <c r="S26" s="578"/>
      <c r="T26" s="577"/>
      <c r="U26" s="578"/>
      <c r="V26" s="577"/>
      <c r="W26" s="578"/>
      <c r="X26" s="577"/>
      <c r="Y26" s="578"/>
      <c r="Z26" s="577"/>
      <c r="AA26" s="578"/>
      <c r="AB26" s="577"/>
      <c r="AC26" s="578"/>
      <c r="AD26" s="577"/>
      <c r="AE26" s="578"/>
      <c r="AF26" s="577"/>
      <c r="AG26" s="578"/>
      <c r="AH26" s="577"/>
      <c r="AI26" s="578"/>
      <c r="AJ26" s="663">
        <f t="shared" si="4"/>
        <v>2</v>
      </c>
      <c r="AK26" s="516">
        <f t="shared" si="4"/>
        <v>48.3</v>
      </c>
      <c r="AN26" s="218"/>
      <c r="AO26" s="218"/>
      <c r="AP26" s="218"/>
      <c r="AQ26" s="218"/>
    </row>
    <row r="27" spans="1:43" s="294" customFormat="1" ht="21" customHeight="1">
      <c r="A27" s="866" t="s">
        <v>228</v>
      </c>
      <c r="B27" s="855"/>
      <c r="C27" s="856"/>
      <c r="D27" s="855"/>
      <c r="E27" s="856"/>
      <c r="F27" s="855"/>
      <c r="G27" s="856"/>
      <c r="H27" s="855"/>
      <c r="I27" s="856"/>
      <c r="J27" s="855"/>
      <c r="K27" s="856"/>
      <c r="L27" s="855">
        <v>2</v>
      </c>
      <c r="M27" s="856">
        <v>48.3</v>
      </c>
      <c r="N27" s="855"/>
      <c r="O27" s="856"/>
      <c r="P27" s="855"/>
      <c r="Q27" s="856"/>
      <c r="R27" s="855"/>
      <c r="S27" s="856"/>
      <c r="T27" s="855"/>
      <c r="U27" s="856"/>
      <c r="V27" s="855"/>
      <c r="W27" s="856"/>
      <c r="X27" s="855"/>
      <c r="Y27" s="856"/>
      <c r="Z27" s="855"/>
      <c r="AA27" s="856"/>
      <c r="AB27" s="855"/>
      <c r="AC27" s="856"/>
      <c r="AD27" s="855"/>
      <c r="AE27" s="856"/>
      <c r="AF27" s="855"/>
      <c r="AG27" s="856"/>
      <c r="AH27" s="855"/>
      <c r="AI27" s="856"/>
      <c r="AJ27" s="857">
        <f t="shared" si="4"/>
        <v>2</v>
      </c>
      <c r="AK27" s="659">
        <f t="shared" si="4"/>
        <v>48.3</v>
      </c>
      <c r="AN27" s="312"/>
      <c r="AO27" s="312"/>
      <c r="AP27" s="312"/>
      <c r="AQ27" s="312"/>
    </row>
    <row r="28" spans="1:43" s="61" customFormat="1" ht="22.5" customHeight="1" thickBot="1">
      <c r="A28" s="177" t="s">
        <v>190</v>
      </c>
      <c r="B28" s="852"/>
      <c r="C28" s="853"/>
      <c r="D28" s="852"/>
      <c r="E28" s="853"/>
      <c r="F28" s="852"/>
      <c r="G28" s="854"/>
      <c r="H28" s="852"/>
      <c r="I28" s="853"/>
      <c r="J28" s="852"/>
      <c r="K28" s="853"/>
      <c r="L28" s="852">
        <v>2</v>
      </c>
      <c r="M28" s="853">
        <v>48.3</v>
      </c>
      <c r="N28" s="852"/>
      <c r="O28" s="853"/>
      <c r="P28" s="852"/>
      <c r="Q28" s="853"/>
      <c r="R28" s="852"/>
      <c r="S28" s="853"/>
      <c r="T28" s="852"/>
      <c r="U28" s="853"/>
      <c r="V28" s="852"/>
      <c r="W28" s="853"/>
      <c r="X28" s="852"/>
      <c r="Y28" s="853"/>
      <c r="Z28" s="852"/>
      <c r="AA28" s="853"/>
      <c r="AB28" s="852"/>
      <c r="AC28" s="853"/>
      <c r="AD28" s="852"/>
      <c r="AE28" s="853"/>
      <c r="AF28" s="852"/>
      <c r="AG28" s="853"/>
      <c r="AH28" s="852"/>
      <c r="AI28" s="853"/>
      <c r="AJ28" s="850">
        <f t="shared" si="2"/>
        <v>2</v>
      </c>
      <c r="AK28" s="851">
        <f t="shared" si="3"/>
        <v>48.3</v>
      </c>
      <c r="AL28" s="70"/>
      <c r="AM28" s="74"/>
      <c r="AN28"/>
      <c r="AO28"/>
      <c r="AP28"/>
      <c r="AQ28"/>
    </row>
    <row r="29" spans="1:43" s="61" customFormat="1" ht="23.25" customHeight="1" thickBot="1">
      <c r="A29" s="101" t="s">
        <v>66</v>
      </c>
      <c r="B29" s="177"/>
      <c r="C29" s="542"/>
      <c r="D29" s="177"/>
      <c r="E29" s="542"/>
      <c r="F29" s="177"/>
      <c r="G29" s="542"/>
      <c r="H29" s="177"/>
      <c r="I29" s="542"/>
      <c r="J29" s="177"/>
      <c r="K29" s="542"/>
      <c r="L29" s="177">
        <f>SUM(L18:L28)</f>
        <v>20</v>
      </c>
      <c r="M29" s="542">
        <f>SUM(M18:M28)</f>
        <v>483.00000000000006</v>
      </c>
      <c r="N29" s="177"/>
      <c r="O29" s="542"/>
      <c r="P29" s="177"/>
      <c r="Q29" s="542"/>
      <c r="R29" s="177"/>
      <c r="S29" s="542"/>
      <c r="T29" s="177"/>
      <c r="U29" s="542"/>
      <c r="V29" s="177">
        <f>SUM(V18:V28)</f>
        <v>11</v>
      </c>
      <c r="W29" s="542">
        <f>SUM(W18:W28)</f>
        <v>171.7</v>
      </c>
      <c r="X29" s="177"/>
      <c r="Y29" s="542"/>
      <c r="Z29" s="177"/>
      <c r="AA29" s="542"/>
      <c r="AB29" s="177"/>
      <c r="AC29" s="542"/>
      <c r="AD29" s="177"/>
      <c r="AE29" s="542"/>
      <c r="AF29" s="177"/>
      <c r="AG29" s="542"/>
      <c r="AH29" s="177"/>
      <c r="AI29" s="542"/>
      <c r="AJ29" s="177">
        <f>SUM(AJ18:AJ28)</f>
        <v>31</v>
      </c>
      <c r="AK29" s="657">
        <f>SUM(AK18:AK28)</f>
        <v>654.6999999999999</v>
      </c>
      <c r="AL29" s="70"/>
      <c r="AM29" s="74"/>
      <c r="AN29"/>
      <c r="AO29"/>
      <c r="AP29"/>
      <c r="AQ29"/>
    </row>
    <row r="30" spans="1:43" s="61" customFormat="1" ht="23.25" customHeight="1">
      <c r="A30" s="99"/>
      <c r="B30" s="125"/>
      <c r="C30" s="1114"/>
      <c r="D30" s="125"/>
      <c r="E30" s="1114"/>
      <c r="F30" s="125"/>
      <c r="G30" s="1114"/>
      <c r="H30" s="125"/>
      <c r="I30" s="1114"/>
      <c r="J30" s="125"/>
      <c r="K30" s="1114"/>
      <c r="L30" s="125"/>
      <c r="M30" s="1114"/>
      <c r="N30" s="125"/>
      <c r="O30" s="1114"/>
      <c r="P30" s="125"/>
      <c r="Q30" s="1114"/>
      <c r="R30" s="125"/>
      <c r="S30" s="1114"/>
      <c r="T30" s="125"/>
      <c r="U30" s="1114"/>
      <c r="V30" s="125"/>
      <c r="W30" s="1114"/>
      <c r="X30" s="125"/>
      <c r="Y30" s="1114"/>
      <c r="Z30" s="125"/>
      <c r="AA30" s="1114"/>
      <c r="AB30" s="125"/>
      <c r="AC30" s="1114"/>
      <c r="AD30" s="125"/>
      <c r="AE30" s="1114"/>
      <c r="AF30" s="125"/>
      <c r="AG30" s="1114"/>
      <c r="AH30" s="125"/>
      <c r="AI30" s="1114"/>
      <c r="AJ30" s="125"/>
      <c r="AK30" s="549"/>
      <c r="AL30" s="70"/>
      <c r="AM30" s="74"/>
      <c r="AN30"/>
      <c r="AO30"/>
      <c r="AP30"/>
      <c r="AQ30"/>
    </row>
    <row r="31" spans="1:42" s="61" customFormat="1" ht="27.75" customHeight="1">
      <c r="A31" s="125"/>
      <c r="B31" s="69"/>
      <c r="C31" s="543"/>
      <c r="D31" s="69"/>
      <c r="E31" s="543"/>
      <c r="F31" s="99"/>
      <c r="G31" s="553"/>
      <c r="H31" s="99"/>
      <c r="I31" s="553"/>
      <c r="J31" s="180"/>
      <c r="K31" s="553"/>
      <c r="L31" s="180"/>
      <c r="M31" s="553"/>
      <c r="N31" s="180"/>
      <c r="O31" s="553"/>
      <c r="P31" s="99"/>
      <c r="Q31" s="553"/>
      <c r="R31" s="180"/>
      <c r="S31" s="553"/>
      <c r="T31" s="181"/>
      <c r="U31" s="515"/>
      <c r="V31" s="181"/>
      <c r="W31" s="515"/>
      <c r="X31" s="181"/>
      <c r="Y31" s="515"/>
      <c r="Z31" s="181"/>
      <c r="AA31" s="515"/>
      <c r="AB31" s="181"/>
      <c r="AC31" s="515"/>
      <c r="AD31" s="181"/>
      <c r="AE31" s="515"/>
      <c r="AF31" s="181"/>
      <c r="AG31" s="515"/>
      <c r="AH31" s="181"/>
      <c r="AI31" s="515"/>
      <c r="AJ31" s="181"/>
      <c r="AK31" s="549"/>
      <c r="AL31" s="70"/>
      <c r="AM31" s="74"/>
      <c r="AO31" s="162"/>
      <c r="AP31" s="70"/>
    </row>
    <row r="32" spans="1:52" s="61" customFormat="1" ht="23.25" customHeight="1" thickBot="1">
      <c r="A32" s="292" t="s">
        <v>208</v>
      </c>
      <c r="B32" s="112"/>
      <c r="C32" s="544"/>
      <c r="D32" s="112"/>
      <c r="E32" s="544"/>
      <c r="F32" s="60"/>
      <c r="G32" s="514"/>
      <c r="H32" s="161"/>
      <c r="I32" s="514"/>
      <c r="J32" s="161"/>
      <c r="K32" s="514"/>
      <c r="L32" s="161"/>
      <c r="M32" s="514"/>
      <c r="N32" s="161"/>
      <c r="O32" s="514"/>
      <c r="P32" s="60"/>
      <c r="Q32" s="514"/>
      <c r="R32" s="161"/>
      <c r="S32" s="514"/>
      <c r="T32" s="70"/>
      <c r="U32" s="557"/>
      <c r="V32" s="70"/>
      <c r="W32" s="557"/>
      <c r="X32" s="70"/>
      <c r="Y32" s="557"/>
      <c r="Z32" s="70"/>
      <c r="AA32" s="557"/>
      <c r="AB32" s="161"/>
      <c r="AC32" s="557"/>
      <c r="AD32" s="70"/>
      <c r="AE32" s="557"/>
      <c r="AF32" s="162"/>
      <c r="AG32"/>
      <c r="AH32" s="70"/>
      <c r="AI32" s="557"/>
      <c r="AJ32" s="162"/>
      <c r="AK32" s="486" t="s">
        <v>102</v>
      </c>
      <c r="AL32" s="161"/>
      <c r="AM32" s="161"/>
      <c r="AN32" s="162"/>
      <c r="AO32" s="70"/>
      <c r="AP32" s="70"/>
      <c r="AQ32" s="70"/>
      <c r="AR32" s="162"/>
      <c r="AS32" s="70"/>
      <c r="AT32" s="162"/>
      <c r="AU32" s="70"/>
      <c r="AV32" s="70"/>
      <c r="AW32" s="74"/>
      <c r="AY32" s="162"/>
      <c r="AZ32" s="70"/>
    </row>
    <row r="33" spans="1:42" s="61" customFormat="1" ht="71.25" customHeight="1">
      <c r="A33" s="1248" t="s">
        <v>1</v>
      </c>
      <c r="B33" s="1296" t="s">
        <v>71</v>
      </c>
      <c r="C33" s="1296"/>
      <c r="D33" s="1296" t="s">
        <v>184</v>
      </c>
      <c r="E33" s="1296"/>
      <c r="F33" s="1296" t="s">
        <v>84</v>
      </c>
      <c r="G33" s="1296"/>
      <c r="H33" s="1296" t="s">
        <v>73</v>
      </c>
      <c r="I33" s="1296"/>
      <c r="J33" s="1296" t="s">
        <v>85</v>
      </c>
      <c r="K33" s="1296"/>
      <c r="L33" s="1296" t="s">
        <v>74</v>
      </c>
      <c r="M33" s="1296"/>
      <c r="N33" s="1296" t="s">
        <v>75</v>
      </c>
      <c r="O33" s="1296"/>
      <c r="P33" s="1296" t="s">
        <v>169</v>
      </c>
      <c r="Q33" s="1296"/>
      <c r="R33" s="322" t="s">
        <v>76</v>
      </c>
      <c r="S33" s="556"/>
      <c r="T33" s="1297" t="s">
        <v>77</v>
      </c>
      <c r="U33" s="1297"/>
      <c r="V33" s="1296" t="s">
        <v>78</v>
      </c>
      <c r="W33" s="1296"/>
      <c r="X33" s="1296" t="s">
        <v>79</v>
      </c>
      <c r="Y33" s="1296"/>
      <c r="Z33" s="1297" t="s">
        <v>197</v>
      </c>
      <c r="AA33" s="1297"/>
      <c r="AB33" s="1297" t="s">
        <v>81</v>
      </c>
      <c r="AC33" s="1297"/>
      <c r="AD33" s="1296" t="s">
        <v>82</v>
      </c>
      <c r="AE33" s="1296"/>
      <c r="AF33" s="1297" t="s">
        <v>93</v>
      </c>
      <c r="AG33" s="1297"/>
      <c r="AH33" s="1297" t="s">
        <v>83</v>
      </c>
      <c r="AI33" s="1297"/>
      <c r="AJ33" s="1298" t="s">
        <v>66</v>
      </c>
      <c r="AK33" s="1298"/>
      <c r="AL33" s="70"/>
      <c r="AM33" s="74"/>
      <c r="AO33" s="162"/>
      <c r="AP33" s="70"/>
    </row>
    <row r="34" spans="1:41" s="264" customFormat="1" ht="19.5" customHeight="1" thickBot="1">
      <c r="A34" s="1249"/>
      <c r="B34" s="262" t="s">
        <v>10</v>
      </c>
      <c r="C34" s="540" t="s">
        <v>9</v>
      </c>
      <c r="D34" s="262" t="s">
        <v>10</v>
      </c>
      <c r="E34" s="540" t="s">
        <v>9</v>
      </c>
      <c r="F34" s="262" t="s">
        <v>10</v>
      </c>
      <c r="G34" s="540" t="s">
        <v>9</v>
      </c>
      <c r="H34" s="262" t="s">
        <v>10</v>
      </c>
      <c r="I34" s="540" t="s">
        <v>9</v>
      </c>
      <c r="J34" s="262" t="s">
        <v>10</v>
      </c>
      <c r="K34" s="540" t="s">
        <v>9</v>
      </c>
      <c r="L34" s="262" t="s">
        <v>10</v>
      </c>
      <c r="M34" s="540" t="s">
        <v>9</v>
      </c>
      <c r="N34" s="262" t="s">
        <v>10</v>
      </c>
      <c r="O34" s="540" t="s">
        <v>9</v>
      </c>
      <c r="P34" s="262" t="s">
        <v>10</v>
      </c>
      <c r="Q34" s="540" t="s">
        <v>9</v>
      </c>
      <c r="R34" s="262" t="s">
        <v>10</v>
      </c>
      <c r="S34" s="540" t="s">
        <v>9</v>
      </c>
      <c r="T34" s="262" t="s">
        <v>10</v>
      </c>
      <c r="U34" s="540" t="s">
        <v>9</v>
      </c>
      <c r="V34" s="263" t="s">
        <v>10</v>
      </c>
      <c r="W34" s="540" t="s">
        <v>9</v>
      </c>
      <c r="X34" s="263" t="s">
        <v>10</v>
      </c>
      <c r="Y34" s="540" t="s">
        <v>9</v>
      </c>
      <c r="Z34" s="263" t="s">
        <v>10</v>
      </c>
      <c r="AA34" s="540" t="s">
        <v>9</v>
      </c>
      <c r="AB34" s="263" t="s">
        <v>10</v>
      </c>
      <c r="AC34" s="540" t="s">
        <v>9</v>
      </c>
      <c r="AD34" s="263" t="s">
        <v>10</v>
      </c>
      <c r="AE34" s="540" t="s">
        <v>9</v>
      </c>
      <c r="AF34" s="263" t="s">
        <v>10</v>
      </c>
      <c r="AG34" s="540" t="s">
        <v>9</v>
      </c>
      <c r="AH34" s="263" t="s">
        <v>10</v>
      </c>
      <c r="AI34" s="540" t="s">
        <v>9</v>
      </c>
      <c r="AJ34" s="263" t="s">
        <v>10</v>
      </c>
      <c r="AK34" s="654" t="s">
        <v>9</v>
      </c>
      <c r="AM34" s="265"/>
      <c r="AO34" s="266"/>
    </row>
    <row r="35" spans="1:40" s="61" customFormat="1" ht="21" customHeight="1">
      <c r="A35" s="77" t="s">
        <v>86</v>
      </c>
      <c r="B35" s="62"/>
      <c r="C35" s="541"/>
      <c r="D35" s="62"/>
      <c r="E35" s="541"/>
      <c r="F35" s="63"/>
      <c r="G35" s="505"/>
      <c r="H35" s="64"/>
      <c r="I35" s="505"/>
      <c r="J35" s="64"/>
      <c r="K35" s="505"/>
      <c r="L35" s="64"/>
      <c r="M35" s="505"/>
      <c r="N35" s="64"/>
      <c r="O35" s="505"/>
      <c r="P35" s="64"/>
      <c r="Q35" s="505"/>
      <c r="R35" s="64"/>
      <c r="S35" s="505"/>
      <c r="T35" s="64"/>
      <c r="U35" s="505"/>
      <c r="V35" s="65"/>
      <c r="W35" s="505"/>
      <c r="X35" s="65"/>
      <c r="Y35" s="505"/>
      <c r="Z35" s="64"/>
      <c r="AA35" s="505"/>
      <c r="AB35" s="65"/>
      <c r="AC35" s="505"/>
      <c r="AD35" s="64"/>
      <c r="AE35" s="505"/>
      <c r="AF35" s="65"/>
      <c r="AG35" s="505"/>
      <c r="AH35" s="65"/>
      <c r="AI35" s="505"/>
      <c r="AJ35" s="70"/>
      <c r="AK35" s="658"/>
      <c r="AM35" s="162"/>
      <c r="AN35" s="70"/>
    </row>
    <row r="36" spans="1:41" s="61" customFormat="1" ht="19.5" customHeight="1">
      <c r="A36" s="77" t="s">
        <v>87</v>
      </c>
      <c r="B36" s="214"/>
      <c r="C36" s="546"/>
      <c r="D36" s="214"/>
      <c r="E36" s="546"/>
      <c r="F36" s="214"/>
      <c r="G36" s="546"/>
      <c r="H36" s="214"/>
      <c r="I36" s="546"/>
      <c r="J36" s="214">
        <v>4</v>
      </c>
      <c r="K36" s="546">
        <v>682.4</v>
      </c>
      <c r="L36" s="214"/>
      <c r="M36" s="546"/>
      <c r="N36" s="214"/>
      <c r="O36" s="546"/>
      <c r="P36" s="214"/>
      <c r="Q36" s="546"/>
      <c r="R36" s="214"/>
      <c r="S36" s="546"/>
      <c r="T36" s="214"/>
      <c r="U36" s="546"/>
      <c r="V36" s="214"/>
      <c r="W36" s="546"/>
      <c r="X36" s="214"/>
      <c r="Y36" s="546"/>
      <c r="Z36" s="214"/>
      <c r="AA36" s="546"/>
      <c r="AB36" s="214"/>
      <c r="AC36" s="546"/>
      <c r="AD36" s="214">
        <v>3</v>
      </c>
      <c r="AE36" s="546">
        <v>52.2</v>
      </c>
      <c r="AF36" s="214"/>
      <c r="AG36" s="546"/>
      <c r="AH36" s="214"/>
      <c r="AI36" s="546"/>
      <c r="AJ36" s="100">
        <f aca="true" t="shared" si="5" ref="AJ36:AK39">SUM(B36,D36,F36,J36,N36,H36,P36,R36,T36,V36,Z36,X36,AB36,AD36,AF36,AH36)</f>
        <v>7</v>
      </c>
      <c r="AK36" s="516">
        <f t="shared" si="5"/>
        <v>734.6</v>
      </c>
      <c r="AL36" s="106"/>
      <c r="AM36" s="270"/>
      <c r="AN36" s="186"/>
      <c r="AO36" s="187"/>
    </row>
    <row r="37" spans="1:41" s="61" customFormat="1" ht="19.5" customHeight="1">
      <c r="A37" s="77" t="s">
        <v>88</v>
      </c>
      <c r="B37" s="214"/>
      <c r="C37" s="546"/>
      <c r="D37" s="214"/>
      <c r="E37" s="546"/>
      <c r="F37" s="214"/>
      <c r="G37" s="546"/>
      <c r="H37" s="214"/>
      <c r="I37" s="546"/>
      <c r="J37" s="214">
        <v>4</v>
      </c>
      <c r="K37" s="546">
        <v>682.4</v>
      </c>
      <c r="L37" s="214"/>
      <c r="M37" s="546"/>
      <c r="N37" s="214"/>
      <c r="O37" s="546"/>
      <c r="P37" s="214"/>
      <c r="Q37" s="546"/>
      <c r="R37" s="214"/>
      <c r="S37" s="546"/>
      <c r="T37" s="214"/>
      <c r="U37" s="546"/>
      <c r="V37" s="214">
        <v>10</v>
      </c>
      <c r="W37" s="546">
        <v>527.6</v>
      </c>
      <c r="X37" s="214"/>
      <c r="Y37" s="546"/>
      <c r="Z37" s="214"/>
      <c r="AA37" s="546"/>
      <c r="AB37" s="214"/>
      <c r="AC37" s="546"/>
      <c r="AD37" s="214">
        <v>1</v>
      </c>
      <c r="AE37" s="546">
        <v>17.4</v>
      </c>
      <c r="AF37" s="214">
        <v>7</v>
      </c>
      <c r="AG37" s="546">
        <v>786.9</v>
      </c>
      <c r="AH37" s="214"/>
      <c r="AI37" s="546"/>
      <c r="AJ37" s="100">
        <f t="shared" si="5"/>
        <v>22</v>
      </c>
      <c r="AK37" s="516">
        <f t="shared" si="5"/>
        <v>2014.3000000000002</v>
      </c>
      <c r="AL37" s="106"/>
      <c r="AM37" s="270"/>
      <c r="AN37" s="186"/>
      <c r="AO37" s="187"/>
    </row>
    <row r="38" spans="1:41" s="61" customFormat="1" ht="19.5" customHeight="1">
      <c r="A38" s="77" t="s">
        <v>89</v>
      </c>
      <c r="B38" s="214"/>
      <c r="C38" s="546"/>
      <c r="D38" s="214"/>
      <c r="E38" s="546"/>
      <c r="F38" s="214"/>
      <c r="G38" s="546"/>
      <c r="H38" s="214"/>
      <c r="I38" s="546"/>
      <c r="J38" s="214">
        <v>1</v>
      </c>
      <c r="K38" s="546">
        <v>170.6</v>
      </c>
      <c r="L38" s="214"/>
      <c r="M38" s="546"/>
      <c r="N38" s="214"/>
      <c r="O38" s="546"/>
      <c r="P38" s="214"/>
      <c r="Q38" s="546"/>
      <c r="R38" s="214"/>
      <c r="S38" s="546"/>
      <c r="T38" s="214"/>
      <c r="U38" s="546"/>
      <c r="V38" s="214">
        <v>12</v>
      </c>
      <c r="W38" s="546">
        <v>848.4</v>
      </c>
      <c r="X38" s="214"/>
      <c r="Y38" s="546"/>
      <c r="Z38" s="214"/>
      <c r="AA38" s="546"/>
      <c r="AB38" s="214"/>
      <c r="AC38" s="546"/>
      <c r="AD38" s="214"/>
      <c r="AE38" s="546"/>
      <c r="AF38" s="214">
        <v>6</v>
      </c>
      <c r="AG38" s="546">
        <v>788.1</v>
      </c>
      <c r="AH38" s="214"/>
      <c r="AI38" s="546"/>
      <c r="AJ38" s="100">
        <f t="shared" si="5"/>
        <v>19</v>
      </c>
      <c r="AK38" s="516">
        <f t="shared" si="5"/>
        <v>1807.1</v>
      </c>
      <c r="AL38" s="106"/>
      <c r="AM38" s="270"/>
      <c r="AN38" s="186"/>
      <c r="AO38" s="187"/>
    </row>
    <row r="39" spans="1:39" s="294" customFormat="1" ht="19.5" customHeight="1">
      <c r="A39" s="199" t="s">
        <v>90</v>
      </c>
      <c r="B39" s="215"/>
      <c r="C39" s="547"/>
      <c r="D39" s="215"/>
      <c r="E39" s="547"/>
      <c r="F39" s="215"/>
      <c r="G39" s="547"/>
      <c r="H39" s="215"/>
      <c r="I39" s="547"/>
      <c r="J39" s="215">
        <v>2</v>
      </c>
      <c r="K39" s="547">
        <v>341.2</v>
      </c>
      <c r="L39" s="215"/>
      <c r="M39" s="547"/>
      <c r="N39" s="215"/>
      <c r="O39" s="547"/>
      <c r="P39" s="215"/>
      <c r="Q39" s="547"/>
      <c r="R39" s="215"/>
      <c r="S39" s="547"/>
      <c r="T39" s="215"/>
      <c r="U39" s="547"/>
      <c r="V39" s="215">
        <v>4</v>
      </c>
      <c r="W39" s="547">
        <v>295.6</v>
      </c>
      <c r="X39" s="215"/>
      <c r="Y39" s="547"/>
      <c r="Z39" s="215"/>
      <c r="AA39" s="547"/>
      <c r="AB39" s="215"/>
      <c r="AC39" s="547"/>
      <c r="AD39" s="215">
        <v>2</v>
      </c>
      <c r="AE39" s="547">
        <v>34.8</v>
      </c>
      <c r="AF39" s="215">
        <v>3</v>
      </c>
      <c r="AG39" s="547">
        <v>411.4</v>
      </c>
      <c r="AH39" s="215"/>
      <c r="AI39" s="547"/>
      <c r="AJ39" s="192">
        <f t="shared" si="5"/>
        <v>11</v>
      </c>
      <c r="AK39" s="659">
        <f t="shared" si="5"/>
        <v>1083</v>
      </c>
      <c r="AM39" s="20"/>
    </row>
    <row r="40" spans="1:39" s="78" customFormat="1" ht="19.5" customHeight="1">
      <c r="A40" s="77" t="s">
        <v>16</v>
      </c>
      <c r="B40" s="214"/>
      <c r="C40" s="546"/>
      <c r="D40" s="214"/>
      <c r="E40" s="546"/>
      <c r="F40" s="214"/>
      <c r="G40" s="546"/>
      <c r="H40" s="214"/>
      <c r="I40" s="546"/>
      <c r="J40" s="214"/>
      <c r="K40" s="546"/>
      <c r="L40" s="214"/>
      <c r="M40" s="546"/>
      <c r="N40" s="214"/>
      <c r="O40" s="546"/>
      <c r="P40" s="214"/>
      <c r="Q40" s="546"/>
      <c r="R40" s="214"/>
      <c r="S40" s="546"/>
      <c r="T40" s="214"/>
      <c r="U40" s="546"/>
      <c r="V40" s="214"/>
      <c r="W40" s="546"/>
      <c r="X40" s="214"/>
      <c r="Y40" s="546"/>
      <c r="Z40" s="214"/>
      <c r="AA40" s="546"/>
      <c r="AB40" s="214"/>
      <c r="AC40" s="546"/>
      <c r="AD40" s="214"/>
      <c r="AE40" s="546"/>
      <c r="AF40" s="214"/>
      <c r="AG40" s="546"/>
      <c r="AH40" s="214"/>
      <c r="AI40" s="546"/>
      <c r="AJ40" s="100"/>
      <c r="AK40" s="516"/>
      <c r="AM40" s="17"/>
    </row>
    <row r="41" spans="1:39" s="78" customFormat="1" ht="19.5" customHeight="1">
      <c r="A41" s="125" t="s">
        <v>96</v>
      </c>
      <c r="B41" s="214"/>
      <c r="C41" s="546"/>
      <c r="D41" s="214"/>
      <c r="E41" s="546"/>
      <c r="F41" s="214"/>
      <c r="G41" s="546"/>
      <c r="H41" s="214"/>
      <c r="I41" s="546"/>
      <c r="J41" s="214"/>
      <c r="K41" s="546"/>
      <c r="L41" s="214"/>
      <c r="M41" s="546"/>
      <c r="N41" s="214"/>
      <c r="O41" s="546"/>
      <c r="P41" s="214"/>
      <c r="Q41" s="546"/>
      <c r="R41" s="214"/>
      <c r="S41" s="546"/>
      <c r="T41" s="214"/>
      <c r="U41" s="546"/>
      <c r="V41" s="214"/>
      <c r="W41" s="546"/>
      <c r="X41" s="214"/>
      <c r="Y41" s="546"/>
      <c r="Z41" s="214"/>
      <c r="AA41" s="546"/>
      <c r="AB41" s="214"/>
      <c r="AC41" s="546"/>
      <c r="AD41" s="214">
        <v>1</v>
      </c>
      <c r="AE41" s="546">
        <v>17.4</v>
      </c>
      <c r="AF41" s="214"/>
      <c r="AG41" s="546"/>
      <c r="AH41" s="214"/>
      <c r="AI41" s="546"/>
      <c r="AJ41" s="100">
        <f>SUM(B41,D41,F41,J41,N41,H41,P41,R41,T41,V41,Z41,X41,AB41,AD41,AF41,AH41)</f>
        <v>1</v>
      </c>
      <c r="AK41" s="516">
        <f>SUM(C41,E41,G41,K41,O41,I41,Q41,S41,U41,W41,AA41,Y41,AC41,AE41,AG41,AI41)</f>
        <v>17.4</v>
      </c>
      <c r="AM41" s="17"/>
    </row>
    <row r="42" spans="1:39" s="294" customFormat="1" ht="19.5" customHeight="1">
      <c r="A42" s="199" t="s">
        <v>92</v>
      </c>
      <c r="B42" s="215"/>
      <c r="C42" s="547"/>
      <c r="D42" s="215"/>
      <c r="E42" s="547"/>
      <c r="F42" s="215"/>
      <c r="G42" s="547"/>
      <c r="H42" s="215"/>
      <c r="I42" s="547"/>
      <c r="J42" s="215"/>
      <c r="K42" s="547"/>
      <c r="L42" s="215"/>
      <c r="M42" s="547"/>
      <c r="N42" s="215"/>
      <c r="O42" s="547"/>
      <c r="P42" s="215"/>
      <c r="Q42" s="547"/>
      <c r="R42" s="215"/>
      <c r="S42" s="547"/>
      <c r="T42" s="215"/>
      <c r="U42" s="547"/>
      <c r="V42" s="215"/>
      <c r="W42" s="547"/>
      <c r="X42" s="215"/>
      <c r="Y42" s="547"/>
      <c r="Z42" s="215"/>
      <c r="AA42" s="547"/>
      <c r="AB42" s="215"/>
      <c r="AC42" s="547"/>
      <c r="AD42" s="215">
        <v>1</v>
      </c>
      <c r="AE42" s="547">
        <v>17.4</v>
      </c>
      <c r="AF42" s="215"/>
      <c r="AG42" s="547"/>
      <c r="AH42" s="215"/>
      <c r="AI42" s="547"/>
      <c r="AJ42" s="192">
        <f>SUM(B42,D42,F42,J42,N42,H42,P42,R42,T42,V42,Z42,X42,AB42,AD42,AF42,AH42)</f>
        <v>1</v>
      </c>
      <c r="AK42" s="659">
        <f>SUM(C42,E42,G42,K42,O42,I42,Q42,S42,U42,W42,AA42,Y42,AC42,AE42,AG42,AI42)</f>
        <v>17.4</v>
      </c>
      <c r="AM42" s="20"/>
    </row>
    <row r="43" spans="1:40" s="61" customFormat="1" ht="19.5" customHeight="1">
      <c r="A43" s="77" t="s">
        <v>21</v>
      </c>
      <c r="B43" s="62"/>
      <c r="C43" s="541"/>
      <c r="D43" s="62"/>
      <c r="E43" s="541"/>
      <c r="F43" s="327"/>
      <c r="G43" s="554"/>
      <c r="H43" s="328"/>
      <c r="I43" s="554"/>
      <c r="J43" s="329"/>
      <c r="K43" s="555"/>
      <c r="L43" s="329"/>
      <c r="M43" s="555"/>
      <c r="N43" s="329"/>
      <c r="O43" s="555"/>
      <c r="P43" s="328"/>
      <c r="Q43" s="554"/>
      <c r="R43" s="328"/>
      <c r="S43" s="554"/>
      <c r="T43" s="329"/>
      <c r="U43" s="555"/>
      <c r="V43" s="329"/>
      <c r="W43" s="554"/>
      <c r="X43" s="329"/>
      <c r="Y43" s="555"/>
      <c r="Z43" s="329"/>
      <c r="AA43" s="555"/>
      <c r="AB43" s="329"/>
      <c r="AC43" s="555"/>
      <c r="AD43" s="329"/>
      <c r="AE43" s="555"/>
      <c r="AF43" s="329"/>
      <c r="AG43" s="555"/>
      <c r="AH43" s="330"/>
      <c r="AI43" s="558"/>
      <c r="AJ43" s="100"/>
      <c r="AK43" s="516"/>
      <c r="AM43" s="162"/>
      <c r="AN43" s="70"/>
    </row>
    <row r="44" spans="1:43" s="294" customFormat="1" ht="19.5" customHeight="1">
      <c r="A44" s="199" t="s">
        <v>95</v>
      </c>
      <c r="B44" s="295"/>
      <c r="C44" s="547"/>
      <c r="D44" s="215"/>
      <c r="E44" s="547"/>
      <c r="F44" s="215"/>
      <c r="G44" s="547"/>
      <c r="H44" s="215"/>
      <c r="I44" s="547"/>
      <c r="J44" s="215">
        <v>4</v>
      </c>
      <c r="K44" s="547">
        <v>682.4</v>
      </c>
      <c r="L44" s="215"/>
      <c r="M44" s="547"/>
      <c r="N44" s="215"/>
      <c r="O44" s="547"/>
      <c r="P44" s="215"/>
      <c r="Q44" s="547"/>
      <c r="R44" s="215"/>
      <c r="S44" s="547"/>
      <c r="T44" s="215"/>
      <c r="U44" s="547"/>
      <c r="V44" s="215"/>
      <c r="W44" s="547"/>
      <c r="X44" s="215"/>
      <c r="Y44" s="547"/>
      <c r="Z44" s="215"/>
      <c r="AA44" s="547"/>
      <c r="AB44" s="215"/>
      <c r="AC44" s="547"/>
      <c r="AD44" s="215">
        <v>1</v>
      </c>
      <c r="AE44" s="547">
        <v>17.4</v>
      </c>
      <c r="AF44" s="215"/>
      <c r="AG44" s="547"/>
      <c r="AH44" s="215"/>
      <c r="AI44" s="547"/>
      <c r="AJ44" s="192">
        <f>SUM(B44,D44,F44,J44,N44,H44,P44,R44,T44,V44,Z44,X44,AB44,AD44,AF44,AH44)</f>
        <v>5</v>
      </c>
      <c r="AK44" s="659">
        <f>SUM(C44,E44,G44,K44,O44,I44,Q44,S44,U44,W44,AA44,Y44,AC44,AE44,AG44,AI44)</f>
        <v>699.8</v>
      </c>
      <c r="AM44" s="20"/>
      <c r="AN44" s="19"/>
      <c r="AO44" s="19"/>
      <c r="AP44" s="19"/>
      <c r="AQ44" s="19"/>
    </row>
    <row r="45" spans="1:40" s="61" customFormat="1" ht="19.5" customHeight="1">
      <c r="A45" s="77" t="s">
        <v>364</v>
      </c>
      <c r="B45" s="62"/>
      <c r="C45" s="541"/>
      <c r="D45" s="62"/>
      <c r="E45" s="541"/>
      <c r="F45" s="327"/>
      <c r="G45" s="554"/>
      <c r="H45" s="328"/>
      <c r="I45" s="554"/>
      <c r="J45" s="329"/>
      <c r="K45" s="555"/>
      <c r="L45" s="329"/>
      <c r="M45" s="555"/>
      <c r="N45" s="329"/>
      <c r="O45" s="555"/>
      <c r="P45" s="328"/>
      <c r="Q45" s="554"/>
      <c r="R45" s="328"/>
      <c r="S45" s="554"/>
      <c r="T45" s="329"/>
      <c r="U45" s="555"/>
      <c r="V45" s="329"/>
      <c r="W45" s="554"/>
      <c r="X45" s="329"/>
      <c r="Y45" s="555"/>
      <c r="Z45" s="329"/>
      <c r="AA45" s="555"/>
      <c r="AB45" s="329"/>
      <c r="AC45" s="555"/>
      <c r="AD45" s="329"/>
      <c r="AE45" s="555"/>
      <c r="AF45" s="329"/>
      <c r="AG45" s="555"/>
      <c r="AH45" s="330"/>
      <c r="AI45" s="558"/>
      <c r="AJ45" s="100"/>
      <c r="AK45" s="516"/>
      <c r="AM45" s="162"/>
      <c r="AN45" s="70"/>
    </row>
    <row r="46" spans="1:43" s="163" customFormat="1" ht="19.5" customHeight="1">
      <c r="A46" s="125" t="s">
        <v>94</v>
      </c>
      <c r="B46" s="183"/>
      <c r="C46" s="546"/>
      <c r="D46" s="214"/>
      <c r="E46" s="546"/>
      <c r="F46" s="214"/>
      <c r="G46" s="546"/>
      <c r="H46" s="214"/>
      <c r="I46" s="546"/>
      <c r="J46" s="214"/>
      <c r="K46" s="546"/>
      <c r="L46" s="214"/>
      <c r="M46" s="546"/>
      <c r="N46" s="214"/>
      <c r="O46" s="546"/>
      <c r="P46" s="214"/>
      <c r="Q46" s="546"/>
      <c r="R46" s="214"/>
      <c r="S46" s="546"/>
      <c r="T46" s="214"/>
      <c r="U46" s="546"/>
      <c r="V46" s="214"/>
      <c r="W46" s="546"/>
      <c r="X46" s="214"/>
      <c r="Y46" s="546"/>
      <c r="Z46" s="214"/>
      <c r="AA46" s="546"/>
      <c r="AB46" s="214"/>
      <c r="AC46" s="546"/>
      <c r="AD46" s="214">
        <v>2</v>
      </c>
      <c r="AE46" s="546">
        <v>34.8</v>
      </c>
      <c r="AF46" s="214"/>
      <c r="AG46" s="546"/>
      <c r="AH46" s="214"/>
      <c r="AI46" s="546"/>
      <c r="AJ46" s="100">
        <f>SUM(B46,D46,F46,J46,N46,H46,P46,R46,T46,V46,Z46,X46,AB46,AD46,AF46,AH46)</f>
        <v>2</v>
      </c>
      <c r="AK46" s="516">
        <f>SUM(C46,E46,G46,K46,O46,I46,Q46,S46,U46,W46,AA46,Y46,AC46,AE46,AG46,AI46)</f>
        <v>34.8</v>
      </c>
      <c r="AM46" s="185"/>
      <c r="AN46" s="13"/>
      <c r="AO46" s="13"/>
      <c r="AP46" s="13"/>
      <c r="AQ46" s="13"/>
    </row>
    <row r="47" spans="1:43" s="61" customFormat="1" ht="22.5" customHeight="1" thickBot="1">
      <c r="A47" s="179" t="s">
        <v>363</v>
      </c>
      <c r="B47" s="268"/>
      <c r="C47" s="545"/>
      <c r="D47" s="268"/>
      <c r="E47" s="545"/>
      <c r="F47" s="268"/>
      <c r="G47" s="545"/>
      <c r="H47" s="268"/>
      <c r="I47" s="545"/>
      <c r="J47" s="268">
        <v>12</v>
      </c>
      <c r="K47" s="545">
        <v>2047.2</v>
      </c>
      <c r="L47" s="268"/>
      <c r="M47" s="545"/>
      <c r="N47" s="268"/>
      <c r="O47" s="545"/>
      <c r="P47" s="268"/>
      <c r="Q47" s="545"/>
      <c r="R47" s="268"/>
      <c r="S47" s="545"/>
      <c r="T47" s="268"/>
      <c r="U47" s="545"/>
      <c r="V47" s="268"/>
      <c r="W47" s="545"/>
      <c r="X47" s="268"/>
      <c r="Y47" s="545"/>
      <c r="Z47" s="268"/>
      <c r="AA47" s="545"/>
      <c r="AB47" s="268"/>
      <c r="AC47" s="545"/>
      <c r="AD47" s="268">
        <v>6</v>
      </c>
      <c r="AE47" s="545">
        <v>104.4</v>
      </c>
      <c r="AF47" s="268"/>
      <c r="AG47" s="545"/>
      <c r="AH47" s="268"/>
      <c r="AI47" s="545"/>
      <c r="AJ47" s="579">
        <f>SUM(B47,D47,F47,J47,N47,H47,P47,T47,V47,Z47,X47,AB47,AD47,AF47,AH47)</f>
        <v>18</v>
      </c>
      <c r="AK47" s="656">
        <f>SUM(C47,E47,G47,K47,O47,I47,Q47,U47,W47,AA47,Y47,AC47,AE47,AG47,AI47)</f>
        <v>2151.6</v>
      </c>
      <c r="AL47" s="70"/>
      <c r="AM47" s="74"/>
      <c r="AN47"/>
      <c r="AO47"/>
      <c r="AP47"/>
      <c r="AQ47"/>
    </row>
    <row r="48" spans="1:40" s="195" customFormat="1" ht="23.25" customHeight="1" thickBot="1">
      <c r="A48" s="267" t="s">
        <v>66</v>
      </c>
      <c r="B48" s="297">
        <f aca="true" t="shared" si="6" ref="B48:AK48">SUM(B35:B47)</f>
        <v>0</v>
      </c>
      <c r="C48" s="548">
        <f t="shared" si="6"/>
        <v>0</v>
      </c>
      <c r="D48" s="297">
        <f t="shared" si="6"/>
        <v>0</v>
      </c>
      <c r="E48" s="548">
        <f t="shared" si="6"/>
        <v>0</v>
      </c>
      <c r="F48" s="297">
        <f t="shared" si="6"/>
        <v>0</v>
      </c>
      <c r="G48" s="548">
        <f t="shared" si="6"/>
        <v>0</v>
      </c>
      <c r="H48" s="297">
        <f t="shared" si="6"/>
        <v>0</v>
      </c>
      <c r="I48" s="548">
        <f t="shared" si="6"/>
        <v>0</v>
      </c>
      <c r="J48" s="297">
        <f t="shared" si="6"/>
        <v>27</v>
      </c>
      <c r="K48" s="548">
        <f t="shared" si="6"/>
        <v>4606.2</v>
      </c>
      <c r="L48" s="297">
        <f>SUM(L35:L47)</f>
        <v>0</v>
      </c>
      <c r="M48" s="548">
        <f>SUM(M35:M47)</f>
        <v>0</v>
      </c>
      <c r="N48" s="297">
        <f t="shared" si="6"/>
        <v>0</v>
      </c>
      <c r="O48" s="548">
        <f t="shared" si="6"/>
        <v>0</v>
      </c>
      <c r="P48" s="297">
        <f t="shared" si="6"/>
        <v>0</v>
      </c>
      <c r="Q48" s="548">
        <f t="shared" si="6"/>
        <v>0</v>
      </c>
      <c r="R48" s="297">
        <f t="shared" si="6"/>
        <v>0</v>
      </c>
      <c r="S48" s="548">
        <f t="shared" si="6"/>
        <v>0</v>
      </c>
      <c r="T48" s="297">
        <f t="shared" si="6"/>
        <v>0</v>
      </c>
      <c r="U48" s="548">
        <f t="shared" si="6"/>
        <v>0</v>
      </c>
      <c r="V48" s="297">
        <f t="shared" si="6"/>
        <v>26</v>
      </c>
      <c r="W48" s="548">
        <f t="shared" si="6"/>
        <v>1671.6</v>
      </c>
      <c r="X48" s="297">
        <f t="shared" si="6"/>
        <v>0</v>
      </c>
      <c r="Y48" s="548">
        <f t="shared" si="6"/>
        <v>0</v>
      </c>
      <c r="Z48" s="297">
        <f t="shared" si="6"/>
        <v>0</v>
      </c>
      <c r="AA48" s="548">
        <f t="shared" si="6"/>
        <v>0</v>
      </c>
      <c r="AB48" s="297">
        <f t="shared" si="6"/>
        <v>0</v>
      </c>
      <c r="AC48" s="548">
        <f t="shared" si="6"/>
        <v>0</v>
      </c>
      <c r="AD48" s="297">
        <f t="shared" si="6"/>
        <v>17</v>
      </c>
      <c r="AE48" s="548">
        <f t="shared" si="6"/>
        <v>295.79999999999995</v>
      </c>
      <c r="AF48" s="297">
        <f t="shared" si="6"/>
        <v>16</v>
      </c>
      <c r="AG48" s="548">
        <f t="shared" si="6"/>
        <v>1986.4</v>
      </c>
      <c r="AH48" s="297">
        <f t="shared" si="6"/>
        <v>0</v>
      </c>
      <c r="AI48" s="548">
        <f t="shared" si="6"/>
        <v>0</v>
      </c>
      <c r="AJ48" s="297">
        <f t="shared" si="6"/>
        <v>86</v>
      </c>
      <c r="AK48" s="548">
        <f t="shared" si="6"/>
        <v>8560</v>
      </c>
      <c r="AL48" s="44"/>
      <c r="AM48" s="44"/>
      <c r="AN48" s="44"/>
    </row>
    <row r="49" spans="1:40" s="195" customFormat="1" ht="41.25" customHeight="1">
      <c r="A49" s="99"/>
      <c r="B49" s="296"/>
      <c r="C49" s="549"/>
      <c r="D49" s="296"/>
      <c r="E49" s="549"/>
      <c r="F49" s="296"/>
      <c r="G49" s="549"/>
      <c r="H49" s="296"/>
      <c r="I49" s="549"/>
      <c r="J49" s="296"/>
      <c r="K49" s="549"/>
      <c r="L49" s="296"/>
      <c r="M49" s="549"/>
      <c r="N49" s="296"/>
      <c r="O49" s="549"/>
      <c r="P49" s="296"/>
      <c r="Q49" s="549"/>
      <c r="R49" s="296"/>
      <c r="S49" s="549"/>
      <c r="T49" s="296"/>
      <c r="U49" s="549"/>
      <c r="V49" s="296"/>
      <c r="W49" s="549"/>
      <c r="X49" s="296"/>
      <c r="Y49" s="549"/>
      <c r="Z49" s="296"/>
      <c r="AA49" s="549"/>
      <c r="AB49" s="296"/>
      <c r="AC49" s="549"/>
      <c r="AD49" s="296"/>
      <c r="AE49" s="549"/>
      <c r="AF49" s="296"/>
      <c r="AG49" s="549"/>
      <c r="AH49" s="336"/>
      <c r="AI49" s="549"/>
      <c r="AJ49" s="296"/>
      <c r="AK49" s="549"/>
      <c r="AL49" s="44"/>
      <c r="AM49" s="44"/>
      <c r="AN49" s="44"/>
    </row>
    <row r="50" spans="1:52" s="61" customFormat="1" ht="20.25" customHeight="1" thickBot="1">
      <c r="A50" s="292" t="s">
        <v>209</v>
      </c>
      <c r="B50" s="112"/>
      <c r="C50" s="544"/>
      <c r="D50" s="112"/>
      <c r="E50" s="544"/>
      <c r="F50" s="60"/>
      <c r="G50" s="514"/>
      <c r="H50" s="161"/>
      <c r="I50" s="514"/>
      <c r="J50" s="161"/>
      <c r="K50" s="514"/>
      <c r="L50" s="161"/>
      <c r="M50" s="514"/>
      <c r="N50" s="161"/>
      <c r="O50" s="514"/>
      <c r="P50" s="60"/>
      <c r="Q50" s="514"/>
      <c r="R50" s="161"/>
      <c r="S50" s="514"/>
      <c r="T50" s="70"/>
      <c r="U50" s="557"/>
      <c r="V50" s="70"/>
      <c r="W50" s="557"/>
      <c r="X50" s="70"/>
      <c r="Y50" s="557"/>
      <c r="Z50" s="70"/>
      <c r="AA50" s="557"/>
      <c r="AB50" s="161"/>
      <c r="AC50" s="557"/>
      <c r="AD50" s="70"/>
      <c r="AE50" s="557"/>
      <c r="AF50" s="162"/>
      <c r="AG50" s="557"/>
      <c r="AH50" s="70"/>
      <c r="AI50" s="557"/>
      <c r="AJ50" s="162"/>
      <c r="AK50" s="486" t="s">
        <v>102</v>
      </c>
      <c r="AL50" s="161"/>
      <c r="AM50" s="161"/>
      <c r="AN50" s="162"/>
      <c r="AO50" s="70"/>
      <c r="AP50" s="70"/>
      <c r="AQ50" s="70"/>
      <c r="AR50" s="162"/>
      <c r="AS50" s="70"/>
      <c r="AT50" s="162"/>
      <c r="AU50" s="70"/>
      <c r="AV50" s="70"/>
      <c r="AW50" s="74"/>
      <c r="AY50" s="162"/>
      <c r="AZ50" s="70"/>
    </row>
    <row r="51" spans="1:42" s="61" customFormat="1" ht="72.75" customHeight="1">
      <c r="A51" s="1248" t="s">
        <v>1</v>
      </c>
      <c r="B51" s="1296" t="s">
        <v>71</v>
      </c>
      <c r="C51" s="1296"/>
      <c r="D51" s="1296" t="s">
        <v>184</v>
      </c>
      <c r="E51" s="1296"/>
      <c r="F51" s="1296" t="s">
        <v>84</v>
      </c>
      <c r="G51" s="1296"/>
      <c r="H51" s="1296" t="s">
        <v>73</v>
      </c>
      <c r="I51" s="1296"/>
      <c r="J51" s="1296" t="s">
        <v>85</v>
      </c>
      <c r="K51" s="1296"/>
      <c r="L51" s="1296" t="s">
        <v>74</v>
      </c>
      <c r="M51" s="1296"/>
      <c r="N51" s="1296" t="s">
        <v>75</v>
      </c>
      <c r="O51" s="1296"/>
      <c r="P51" s="1296" t="s">
        <v>169</v>
      </c>
      <c r="Q51" s="1296"/>
      <c r="R51" s="322" t="s">
        <v>76</v>
      </c>
      <c r="S51" s="556"/>
      <c r="T51" s="1297" t="s">
        <v>77</v>
      </c>
      <c r="U51" s="1297"/>
      <c r="V51" s="1296" t="s">
        <v>78</v>
      </c>
      <c r="W51" s="1296"/>
      <c r="X51" s="1296" t="s">
        <v>79</v>
      </c>
      <c r="Y51" s="1296"/>
      <c r="Z51" s="1297" t="s">
        <v>197</v>
      </c>
      <c r="AA51" s="1297"/>
      <c r="AB51" s="1297" t="s">
        <v>81</v>
      </c>
      <c r="AC51" s="1297"/>
      <c r="AD51" s="1296" t="s">
        <v>82</v>
      </c>
      <c r="AE51" s="1296"/>
      <c r="AF51" s="1297" t="s">
        <v>93</v>
      </c>
      <c r="AG51" s="1297"/>
      <c r="AH51" s="1297" t="s">
        <v>83</v>
      </c>
      <c r="AI51" s="1297"/>
      <c r="AJ51" s="1298" t="s">
        <v>66</v>
      </c>
      <c r="AK51" s="1298"/>
      <c r="AL51" s="70"/>
      <c r="AM51" s="74"/>
      <c r="AO51" s="162"/>
      <c r="AP51" s="70"/>
    </row>
    <row r="52" spans="1:41" s="264" customFormat="1" ht="19.5" customHeight="1" thickBot="1">
      <c r="A52" s="1249"/>
      <c r="B52" s="262" t="s">
        <v>10</v>
      </c>
      <c r="C52" s="540" t="s">
        <v>9</v>
      </c>
      <c r="D52" s="262" t="s">
        <v>10</v>
      </c>
      <c r="E52" s="540" t="s">
        <v>9</v>
      </c>
      <c r="F52" s="262" t="s">
        <v>10</v>
      </c>
      <c r="G52" s="540" t="s">
        <v>9</v>
      </c>
      <c r="H52" s="262" t="s">
        <v>10</v>
      </c>
      <c r="I52" s="540" t="s">
        <v>9</v>
      </c>
      <c r="J52" s="262" t="s">
        <v>10</v>
      </c>
      <c r="K52" s="540" t="s">
        <v>9</v>
      </c>
      <c r="L52" s="262" t="s">
        <v>10</v>
      </c>
      <c r="M52" s="540" t="s">
        <v>9</v>
      </c>
      <c r="N52" s="262" t="s">
        <v>10</v>
      </c>
      <c r="O52" s="540" t="s">
        <v>9</v>
      </c>
      <c r="P52" s="262" t="s">
        <v>10</v>
      </c>
      <c r="Q52" s="540" t="s">
        <v>9</v>
      </c>
      <c r="R52" s="262" t="s">
        <v>10</v>
      </c>
      <c r="S52" s="540" t="s">
        <v>9</v>
      </c>
      <c r="T52" s="262" t="s">
        <v>10</v>
      </c>
      <c r="U52" s="540" t="s">
        <v>9</v>
      </c>
      <c r="V52" s="263" t="s">
        <v>10</v>
      </c>
      <c r="W52" s="540" t="s">
        <v>9</v>
      </c>
      <c r="X52" s="263" t="s">
        <v>10</v>
      </c>
      <c r="Y52" s="540" t="s">
        <v>9</v>
      </c>
      <c r="Z52" s="263" t="s">
        <v>10</v>
      </c>
      <c r="AA52" s="540" t="s">
        <v>9</v>
      </c>
      <c r="AB52" s="263" t="s">
        <v>10</v>
      </c>
      <c r="AC52" s="540" t="s">
        <v>9</v>
      </c>
      <c r="AD52" s="263" t="s">
        <v>10</v>
      </c>
      <c r="AE52" s="540" t="s">
        <v>9</v>
      </c>
      <c r="AF52" s="263" t="s">
        <v>10</v>
      </c>
      <c r="AG52" s="540" t="s">
        <v>9</v>
      </c>
      <c r="AH52" s="263" t="s">
        <v>10</v>
      </c>
      <c r="AI52" s="540" t="s">
        <v>9</v>
      </c>
      <c r="AJ52" s="263" t="s">
        <v>10</v>
      </c>
      <c r="AK52" s="654" t="s">
        <v>9</v>
      </c>
      <c r="AM52" s="265"/>
      <c r="AO52" s="266"/>
    </row>
    <row r="53" spans="1:40" s="61" customFormat="1" ht="21" customHeight="1">
      <c r="A53" s="77" t="s">
        <v>86</v>
      </c>
      <c r="B53" s="62"/>
      <c r="C53" s="541"/>
      <c r="D53" s="62"/>
      <c r="E53" s="541"/>
      <c r="F53" s="63"/>
      <c r="G53" s="505"/>
      <c r="H53" s="64"/>
      <c r="I53" s="505"/>
      <c r="J53" s="64"/>
      <c r="K53" s="505"/>
      <c r="L53" s="64"/>
      <c r="M53" s="505"/>
      <c r="N53" s="64"/>
      <c r="O53" s="505"/>
      <c r="P53" s="64"/>
      <c r="Q53" s="505"/>
      <c r="R53" s="64"/>
      <c r="S53" s="505"/>
      <c r="T53" s="64"/>
      <c r="U53" s="505"/>
      <c r="V53" s="65"/>
      <c r="W53" s="505"/>
      <c r="X53" s="65"/>
      <c r="Y53" s="505"/>
      <c r="Z53" s="64"/>
      <c r="AA53" s="505"/>
      <c r="AB53" s="65"/>
      <c r="AC53" s="505"/>
      <c r="AD53" s="64"/>
      <c r="AE53" s="505"/>
      <c r="AF53" s="65"/>
      <c r="AG53" s="505"/>
      <c r="AH53" s="65"/>
      <c r="AI53" s="505"/>
      <c r="AJ53" s="70"/>
      <c r="AK53" s="658"/>
      <c r="AM53" s="162"/>
      <c r="AN53" s="70"/>
    </row>
    <row r="54" spans="1:41" s="333" customFormat="1" ht="19.5" customHeight="1">
      <c r="A54" s="196" t="s">
        <v>89</v>
      </c>
      <c r="B54" s="215"/>
      <c r="C54" s="547"/>
      <c r="D54" s="215"/>
      <c r="E54" s="547"/>
      <c r="F54" s="215"/>
      <c r="G54" s="547"/>
      <c r="H54" s="215"/>
      <c r="I54" s="547"/>
      <c r="J54" s="215"/>
      <c r="K54" s="547"/>
      <c r="L54" s="215"/>
      <c r="M54" s="547"/>
      <c r="N54" s="215">
        <v>3</v>
      </c>
      <c r="O54" s="547">
        <v>262.8</v>
      </c>
      <c r="P54" s="215"/>
      <c r="Q54" s="547"/>
      <c r="R54" s="215"/>
      <c r="S54" s="547"/>
      <c r="T54" s="215"/>
      <c r="U54" s="547"/>
      <c r="V54" s="215"/>
      <c r="W54" s="547"/>
      <c r="X54" s="215"/>
      <c r="Y54" s="547"/>
      <c r="Z54" s="215"/>
      <c r="AA54" s="547"/>
      <c r="AB54" s="215"/>
      <c r="AC54" s="547"/>
      <c r="AD54" s="215"/>
      <c r="AE54" s="547"/>
      <c r="AF54" s="215"/>
      <c r="AG54" s="547"/>
      <c r="AH54" s="215"/>
      <c r="AI54" s="547"/>
      <c r="AJ54" s="192">
        <f>SUM(B54,D54,F54,L54,J54,N54,H54,P54,R54,T54,V54,Z54,X54,AB54,AD54,AF54,AH54)</f>
        <v>3</v>
      </c>
      <c r="AK54" s="659">
        <f>SUM(C54,E54,G54,K54,M54,O54,I54,Q54,S54,U54,W54,AA54,Y54,AC54,AE54,AG54,AI54)</f>
        <v>262.8</v>
      </c>
      <c r="AL54" s="311"/>
      <c r="AM54" s="331"/>
      <c r="AN54" s="331"/>
      <c r="AO54" s="332"/>
    </row>
    <row r="55" spans="1:40" s="61" customFormat="1" ht="21" customHeight="1">
      <c r="A55" s="77" t="s">
        <v>189</v>
      </c>
      <c r="B55" s="62"/>
      <c r="C55" s="550"/>
      <c r="D55" s="66"/>
      <c r="E55" s="550"/>
      <c r="F55" s="327"/>
      <c r="G55" s="554"/>
      <c r="H55" s="328"/>
      <c r="I55" s="554"/>
      <c r="J55" s="329"/>
      <c r="K55" s="555"/>
      <c r="L55" s="329"/>
      <c r="M55" s="555"/>
      <c r="N55" s="329"/>
      <c r="O55" s="555"/>
      <c r="P55" s="328"/>
      <c r="Q55" s="554"/>
      <c r="R55" s="328"/>
      <c r="S55" s="554"/>
      <c r="T55" s="329"/>
      <c r="U55" s="555"/>
      <c r="V55" s="329"/>
      <c r="W55" s="554"/>
      <c r="X55" s="329"/>
      <c r="Y55" s="554"/>
      <c r="Z55" s="329"/>
      <c r="AA55" s="555"/>
      <c r="AB55" s="329"/>
      <c r="AC55" s="555"/>
      <c r="AD55" s="329"/>
      <c r="AE55" s="555"/>
      <c r="AF55" s="329"/>
      <c r="AG55" s="555"/>
      <c r="AH55" s="330"/>
      <c r="AI55" s="558"/>
      <c r="AJ55" s="100"/>
      <c r="AK55" s="516"/>
      <c r="AM55" s="162"/>
      <c r="AN55" s="70"/>
    </row>
    <row r="56" spans="1:40" s="61" customFormat="1" ht="19.5" customHeight="1">
      <c r="A56" s="77" t="s">
        <v>99</v>
      </c>
      <c r="B56" s="214"/>
      <c r="C56" s="546"/>
      <c r="D56" s="214"/>
      <c r="E56" s="546"/>
      <c r="F56" s="214"/>
      <c r="G56" s="546"/>
      <c r="H56" s="214"/>
      <c r="I56" s="546"/>
      <c r="J56" s="214"/>
      <c r="K56" s="546"/>
      <c r="L56" s="214"/>
      <c r="M56" s="546"/>
      <c r="N56" s="214">
        <v>2</v>
      </c>
      <c r="O56" s="546">
        <v>213.1</v>
      </c>
      <c r="P56" s="214"/>
      <c r="Q56" s="546"/>
      <c r="R56" s="214"/>
      <c r="S56" s="546"/>
      <c r="T56" s="214"/>
      <c r="U56" s="546"/>
      <c r="V56" s="214"/>
      <c r="W56" s="546"/>
      <c r="X56" s="214"/>
      <c r="Y56" s="546"/>
      <c r="Z56" s="214"/>
      <c r="AA56" s="546"/>
      <c r="AB56" s="214"/>
      <c r="AC56" s="546"/>
      <c r="AD56" s="214"/>
      <c r="AE56" s="546"/>
      <c r="AF56" s="214"/>
      <c r="AG56" s="546"/>
      <c r="AH56" s="214"/>
      <c r="AI56" s="546"/>
      <c r="AJ56" s="100">
        <f aca="true" t="shared" si="7" ref="AJ56:AJ62">SUM(B56,D56,F56,L56,J56,N56,H56,P56,R56,T56,V56,Z56,X56,AB56,AD56,AF56,AH56)</f>
        <v>2</v>
      </c>
      <c r="AK56" s="516">
        <f aca="true" t="shared" si="8" ref="AK56:AK62">SUM(C56,E56,G56,K56,M56,O56,I56,Q56,S56,U56,W56,AA56,Y56,AC56,AE56,AG56,AI56)</f>
        <v>213.1</v>
      </c>
      <c r="AM56" s="162"/>
      <c r="AN56" s="70"/>
    </row>
    <row r="57" spans="1:40" s="61" customFormat="1" ht="19.5" customHeight="1">
      <c r="A57" s="77" t="s">
        <v>94</v>
      </c>
      <c r="B57" s="214">
        <v>2</v>
      </c>
      <c r="C57" s="546">
        <v>1717.7</v>
      </c>
      <c r="D57" s="214"/>
      <c r="E57" s="546"/>
      <c r="F57" s="214"/>
      <c r="G57" s="546"/>
      <c r="H57" s="214"/>
      <c r="I57" s="546"/>
      <c r="J57" s="214"/>
      <c r="K57" s="546"/>
      <c r="L57" s="214"/>
      <c r="M57" s="546"/>
      <c r="N57" s="214">
        <v>3</v>
      </c>
      <c r="O57" s="546">
        <v>272.4</v>
      </c>
      <c r="P57" s="214"/>
      <c r="Q57" s="546"/>
      <c r="R57" s="214"/>
      <c r="S57" s="546"/>
      <c r="T57" s="214"/>
      <c r="U57" s="546"/>
      <c r="V57" s="214">
        <v>3</v>
      </c>
      <c r="W57" s="546">
        <v>104.5</v>
      </c>
      <c r="X57" s="214"/>
      <c r="Y57" s="546"/>
      <c r="Z57" s="214"/>
      <c r="AA57" s="546"/>
      <c r="AB57" s="214"/>
      <c r="AC57" s="546"/>
      <c r="AD57" s="214"/>
      <c r="AE57" s="546"/>
      <c r="AF57" s="214">
        <v>1</v>
      </c>
      <c r="AG57" s="546">
        <v>858.8</v>
      </c>
      <c r="AH57" s="214"/>
      <c r="AI57" s="546"/>
      <c r="AJ57" s="100">
        <f t="shared" si="7"/>
        <v>9</v>
      </c>
      <c r="AK57" s="516">
        <f t="shared" si="8"/>
        <v>2953.3999999999996</v>
      </c>
      <c r="AM57" s="162"/>
      <c r="AN57" s="70"/>
    </row>
    <row r="58" spans="1:40" s="61" customFormat="1" ht="19.5" customHeight="1">
      <c r="A58" s="77" t="s">
        <v>125</v>
      </c>
      <c r="B58" s="214"/>
      <c r="C58" s="546"/>
      <c r="D58" s="214"/>
      <c r="E58" s="546"/>
      <c r="F58" s="214"/>
      <c r="G58" s="546"/>
      <c r="H58" s="214"/>
      <c r="I58" s="546"/>
      <c r="J58" s="214"/>
      <c r="K58" s="546"/>
      <c r="L58" s="214"/>
      <c r="M58" s="546"/>
      <c r="N58" s="214">
        <v>2</v>
      </c>
      <c r="O58" s="546">
        <v>217</v>
      </c>
      <c r="P58" s="214"/>
      <c r="Q58" s="546"/>
      <c r="R58" s="214"/>
      <c r="S58" s="546"/>
      <c r="T58" s="214"/>
      <c r="U58" s="546"/>
      <c r="V58" s="214"/>
      <c r="W58" s="546"/>
      <c r="X58" s="214"/>
      <c r="Y58" s="546"/>
      <c r="Z58" s="214"/>
      <c r="AA58" s="546"/>
      <c r="AB58" s="214"/>
      <c r="AC58" s="546"/>
      <c r="AD58" s="214"/>
      <c r="AE58" s="546"/>
      <c r="AF58" s="214"/>
      <c r="AG58" s="546"/>
      <c r="AH58" s="214"/>
      <c r="AI58" s="546"/>
      <c r="AJ58" s="100">
        <f t="shared" si="7"/>
        <v>2</v>
      </c>
      <c r="AK58" s="516">
        <f t="shared" si="8"/>
        <v>217</v>
      </c>
      <c r="AM58" s="162"/>
      <c r="AN58" s="70"/>
    </row>
    <row r="59" spans="1:40" s="61" customFormat="1" ht="19.5" customHeight="1">
      <c r="A59" s="77" t="s">
        <v>128</v>
      </c>
      <c r="B59" s="214"/>
      <c r="C59" s="546"/>
      <c r="D59" s="214"/>
      <c r="E59" s="546"/>
      <c r="F59" s="214"/>
      <c r="G59" s="546"/>
      <c r="H59" s="214"/>
      <c r="I59" s="546"/>
      <c r="J59" s="214"/>
      <c r="K59" s="546"/>
      <c r="L59" s="214"/>
      <c r="M59" s="546"/>
      <c r="N59" s="214"/>
      <c r="O59" s="546"/>
      <c r="P59" s="214"/>
      <c r="Q59" s="546"/>
      <c r="R59" s="214"/>
      <c r="S59" s="546"/>
      <c r="T59" s="214"/>
      <c r="U59" s="546"/>
      <c r="V59" s="214"/>
      <c r="W59" s="546"/>
      <c r="X59" s="214"/>
      <c r="Y59" s="546"/>
      <c r="Z59" s="214"/>
      <c r="AA59" s="546"/>
      <c r="AB59" s="214"/>
      <c r="AC59" s="546"/>
      <c r="AD59" s="214"/>
      <c r="AE59" s="546"/>
      <c r="AF59" s="214"/>
      <c r="AG59" s="546"/>
      <c r="AH59" s="214"/>
      <c r="AI59" s="546"/>
      <c r="AJ59" s="100">
        <f t="shared" si="7"/>
        <v>0</v>
      </c>
      <c r="AK59" s="516">
        <f t="shared" si="8"/>
        <v>0</v>
      </c>
      <c r="AM59" s="162"/>
      <c r="AN59" s="70"/>
    </row>
    <row r="60" spans="1:40" s="61" customFormat="1" ht="19.5" customHeight="1">
      <c r="A60" s="77" t="s">
        <v>100</v>
      </c>
      <c r="B60" s="214"/>
      <c r="C60" s="546"/>
      <c r="D60" s="214"/>
      <c r="E60" s="546"/>
      <c r="F60" s="214"/>
      <c r="G60" s="546"/>
      <c r="H60" s="214"/>
      <c r="I60" s="546"/>
      <c r="J60" s="214"/>
      <c r="K60" s="546"/>
      <c r="L60" s="214"/>
      <c r="M60" s="546"/>
      <c r="N60" s="214">
        <v>3</v>
      </c>
      <c r="O60" s="546">
        <v>329.9</v>
      </c>
      <c r="P60" s="214"/>
      <c r="Q60" s="546"/>
      <c r="R60" s="214"/>
      <c r="S60" s="546"/>
      <c r="T60" s="214"/>
      <c r="U60" s="546"/>
      <c r="V60" s="214"/>
      <c r="W60" s="546"/>
      <c r="X60" s="214"/>
      <c r="Y60" s="546"/>
      <c r="Z60" s="214"/>
      <c r="AA60" s="546"/>
      <c r="AB60" s="214"/>
      <c r="AC60" s="546"/>
      <c r="AD60" s="214"/>
      <c r="AE60" s="546"/>
      <c r="AF60" s="214"/>
      <c r="AG60" s="546"/>
      <c r="AH60" s="214"/>
      <c r="AI60" s="546"/>
      <c r="AJ60" s="100">
        <f t="shared" si="7"/>
        <v>3</v>
      </c>
      <c r="AK60" s="516">
        <f t="shared" si="8"/>
        <v>329.9</v>
      </c>
      <c r="AM60" s="162"/>
      <c r="AN60" s="70"/>
    </row>
    <row r="61" spans="1:40" s="333" customFormat="1" ht="19.5" customHeight="1">
      <c r="A61" s="196" t="s">
        <v>101</v>
      </c>
      <c r="B61" s="215"/>
      <c r="C61" s="547"/>
      <c r="D61" s="215"/>
      <c r="E61" s="547"/>
      <c r="F61" s="215"/>
      <c r="G61" s="547"/>
      <c r="H61" s="215"/>
      <c r="I61" s="547"/>
      <c r="J61" s="215"/>
      <c r="K61" s="547"/>
      <c r="L61" s="215"/>
      <c r="M61" s="547"/>
      <c r="N61" s="215">
        <v>3</v>
      </c>
      <c r="O61" s="547">
        <v>299.1</v>
      </c>
      <c r="P61" s="215"/>
      <c r="Q61" s="547"/>
      <c r="R61" s="215"/>
      <c r="S61" s="547"/>
      <c r="T61" s="215"/>
      <c r="U61" s="547"/>
      <c r="V61" s="215"/>
      <c r="W61" s="547"/>
      <c r="X61" s="215"/>
      <c r="Y61" s="547"/>
      <c r="Z61" s="215"/>
      <c r="AA61" s="547"/>
      <c r="AB61" s="215"/>
      <c r="AC61" s="547"/>
      <c r="AD61" s="215"/>
      <c r="AE61" s="547"/>
      <c r="AF61" s="215"/>
      <c r="AG61" s="547"/>
      <c r="AH61" s="215"/>
      <c r="AI61" s="547"/>
      <c r="AJ61" s="192">
        <f t="shared" si="7"/>
        <v>3</v>
      </c>
      <c r="AK61" s="659">
        <f t="shared" si="8"/>
        <v>299.1</v>
      </c>
      <c r="AM61" s="334"/>
      <c r="AN61" s="335"/>
    </row>
    <row r="62" spans="1:40" s="61" customFormat="1" ht="19.5" customHeight="1" thickBot="1">
      <c r="A62" s="77" t="s">
        <v>190</v>
      </c>
      <c r="B62" s="214"/>
      <c r="C62" s="546"/>
      <c r="D62" s="214"/>
      <c r="E62" s="546"/>
      <c r="F62" s="214"/>
      <c r="G62" s="546"/>
      <c r="H62" s="214"/>
      <c r="I62" s="546"/>
      <c r="J62" s="214"/>
      <c r="K62" s="546"/>
      <c r="L62" s="214"/>
      <c r="M62" s="546"/>
      <c r="N62" s="214">
        <v>1</v>
      </c>
      <c r="O62" s="546">
        <v>72.7</v>
      </c>
      <c r="P62" s="214"/>
      <c r="Q62" s="546"/>
      <c r="R62" s="214"/>
      <c r="S62" s="546"/>
      <c r="T62" s="214"/>
      <c r="U62" s="546"/>
      <c r="V62" s="214"/>
      <c r="W62" s="546"/>
      <c r="X62" s="214"/>
      <c r="Y62" s="546"/>
      <c r="Z62" s="214"/>
      <c r="AA62" s="546"/>
      <c r="AB62" s="214"/>
      <c r="AC62" s="546"/>
      <c r="AD62" s="214"/>
      <c r="AE62" s="546"/>
      <c r="AF62" s="214"/>
      <c r="AG62" s="546"/>
      <c r="AH62" s="214"/>
      <c r="AI62" s="546"/>
      <c r="AJ62" s="100">
        <f t="shared" si="7"/>
        <v>1</v>
      </c>
      <c r="AK62" s="516">
        <f t="shared" si="8"/>
        <v>72.7</v>
      </c>
      <c r="AM62" s="162"/>
      <c r="AN62" s="70"/>
    </row>
    <row r="63" spans="1:40" s="195" customFormat="1" ht="20.25" customHeight="1" thickBot="1">
      <c r="A63" s="267" t="s">
        <v>66</v>
      </c>
      <c r="B63" s="189">
        <f>SUM(B56:B62)</f>
        <v>2</v>
      </c>
      <c r="C63" s="513">
        <f>SUM(C56:C62)</f>
        <v>1717.7</v>
      </c>
      <c r="D63" s="189" t="s">
        <v>12</v>
      </c>
      <c r="E63" s="513">
        <f>SUM(E53:E55)</f>
        <v>0</v>
      </c>
      <c r="F63" s="189" t="s">
        <v>12</v>
      </c>
      <c r="G63" s="513">
        <f>SUM(G56:G62)</f>
        <v>0</v>
      </c>
      <c r="H63" s="189" t="s">
        <v>12</v>
      </c>
      <c r="I63" s="513">
        <f>SUM(I53:I55)</f>
        <v>0</v>
      </c>
      <c r="J63" s="189" t="s">
        <v>12</v>
      </c>
      <c r="K63" s="513">
        <f>SUM(K53:K55)</f>
        <v>0</v>
      </c>
      <c r="L63" s="189">
        <f aca="true" t="shared" si="9" ref="L63:AG63">SUM(L57:L62)</f>
        <v>0</v>
      </c>
      <c r="M63" s="513">
        <f t="shared" si="9"/>
        <v>0</v>
      </c>
      <c r="N63" s="189">
        <f t="shared" si="9"/>
        <v>12</v>
      </c>
      <c r="O63" s="513">
        <f t="shared" si="9"/>
        <v>1191.1000000000001</v>
      </c>
      <c r="P63" s="189" t="s">
        <v>12</v>
      </c>
      <c r="Q63" s="513">
        <f t="shared" si="9"/>
        <v>0</v>
      </c>
      <c r="R63" s="189" t="s">
        <v>12</v>
      </c>
      <c r="S63" s="513">
        <f t="shared" si="9"/>
        <v>0</v>
      </c>
      <c r="T63" s="189" t="s">
        <v>12</v>
      </c>
      <c r="U63" s="513">
        <f t="shared" si="9"/>
        <v>0</v>
      </c>
      <c r="V63" s="189">
        <f t="shared" si="9"/>
        <v>3</v>
      </c>
      <c r="W63" s="513">
        <f t="shared" si="9"/>
        <v>104.5</v>
      </c>
      <c r="X63" s="189" t="s">
        <v>12</v>
      </c>
      <c r="Y63" s="513">
        <f t="shared" si="9"/>
        <v>0</v>
      </c>
      <c r="Z63" s="189">
        <f t="shared" si="9"/>
        <v>0</v>
      </c>
      <c r="AA63" s="513">
        <f t="shared" si="9"/>
        <v>0</v>
      </c>
      <c r="AB63" s="189">
        <f t="shared" si="9"/>
        <v>0</v>
      </c>
      <c r="AC63" s="513">
        <f t="shared" si="9"/>
        <v>0</v>
      </c>
      <c r="AD63" s="189" t="s">
        <v>12</v>
      </c>
      <c r="AE63" s="513">
        <f t="shared" si="9"/>
        <v>0</v>
      </c>
      <c r="AF63" s="189">
        <f t="shared" si="9"/>
        <v>1</v>
      </c>
      <c r="AG63" s="513">
        <f t="shared" si="9"/>
        <v>858.8</v>
      </c>
      <c r="AH63" s="189">
        <f>SUM(AH54:AH62)</f>
        <v>0</v>
      </c>
      <c r="AI63" s="498">
        <f>SUM(AI54:AI62)</f>
        <v>0</v>
      </c>
      <c r="AJ63" s="189">
        <f>SUM(AJ54:AJ62)</f>
        <v>23</v>
      </c>
      <c r="AK63" s="660">
        <f>SUM(AK54:AK62)</f>
        <v>4348</v>
      </c>
      <c r="AL63" s="44"/>
      <c r="AM63" s="44"/>
      <c r="AN63" s="44"/>
    </row>
    <row r="64" spans="2:37" ht="25.5" customHeight="1">
      <c r="B64" s="95"/>
      <c r="C64" s="551"/>
      <c r="D64" s="95"/>
      <c r="E64" s="551"/>
      <c r="G64" s="476"/>
      <c r="I64" s="476"/>
      <c r="K64" s="476"/>
      <c r="M64" s="476"/>
      <c r="O64" s="476"/>
      <c r="Q64" s="476"/>
      <c r="S64" s="476"/>
      <c r="U64" s="476"/>
      <c r="W64" s="476"/>
      <c r="Y64" s="476"/>
      <c r="AA64" s="476"/>
      <c r="AC64" s="476"/>
      <c r="AE64" s="476"/>
      <c r="AG64" s="476"/>
      <c r="AI64" s="476"/>
      <c r="AJ64" s="274"/>
      <c r="AK64" s="661"/>
    </row>
    <row r="65" spans="2:37" ht="25.5" customHeight="1">
      <c r="B65" s="95"/>
      <c r="C65" s="551"/>
      <c r="D65" s="95"/>
      <c r="E65" s="551"/>
      <c r="G65" s="476"/>
      <c r="I65" s="476"/>
      <c r="K65" s="476"/>
      <c r="M65" s="476"/>
      <c r="O65" s="476"/>
      <c r="Q65" s="476"/>
      <c r="S65" s="476"/>
      <c r="U65" s="476"/>
      <c r="W65" s="476"/>
      <c r="Y65" s="476"/>
      <c r="AA65" s="476"/>
      <c r="AC65" s="476"/>
      <c r="AE65" s="476"/>
      <c r="AG65" s="476"/>
      <c r="AI65" s="476"/>
      <c r="AK65" s="661"/>
    </row>
    <row r="66" spans="2:37" ht="25.5" customHeight="1">
      <c r="B66" s="95"/>
      <c r="C66" s="551"/>
      <c r="D66" s="95"/>
      <c r="E66" s="551"/>
      <c r="G66" s="476"/>
      <c r="I66" s="476"/>
      <c r="K66" s="476"/>
      <c r="M66" s="476"/>
      <c r="O66" s="476"/>
      <c r="Q66" s="476"/>
      <c r="S66" s="476"/>
      <c r="U66" s="476"/>
      <c r="W66" s="476"/>
      <c r="Y66" s="476"/>
      <c r="AA66" s="476"/>
      <c r="AC66" s="476"/>
      <c r="AE66" s="476"/>
      <c r="AG66" s="476"/>
      <c r="AI66" s="476"/>
      <c r="AK66" s="661"/>
    </row>
    <row r="67" spans="2:37" ht="25.5" customHeight="1">
      <c r="B67" s="95"/>
      <c r="C67" s="551"/>
      <c r="D67" s="95"/>
      <c r="E67" s="551"/>
      <c r="G67" s="476"/>
      <c r="I67" s="476"/>
      <c r="K67" s="476"/>
      <c r="M67" s="476"/>
      <c r="O67" s="476"/>
      <c r="Q67" s="476"/>
      <c r="S67" s="476"/>
      <c r="U67" s="476"/>
      <c r="W67" s="476"/>
      <c r="Y67" s="476"/>
      <c r="AA67" s="476"/>
      <c r="AC67" s="476"/>
      <c r="AE67" s="476"/>
      <c r="AG67" s="476"/>
      <c r="AI67" s="476"/>
      <c r="AK67" s="661"/>
    </row>
    <row r="68" spans="2:37" ht="20.25" customHeight="1">
      <c r="B68" s="95"/>
      <c r="C68" s="551"/>
      <c r="D68" s="95"/>
      <c r="E68" s="551"/>
      <c r="G68" s="476"/>
      <c r="I68" s="476"/>
      <c r="K68" s="476"/>
      <c r="M68" s="476"/>
      <c r="O68" s="476"/>
      <c r="Q68" s="476"/>
      <c r="S68" s="476"/>
      <c r="U68" s="476"/>
      <c r="W68" s="476"/>
      <c r="Y68" s="476"/>
      <c r="AA68" s="476"/>
      <c r="AC68" s="476"/>
      <c r="AE68" s="476"/>
      <c r="AG68" s="476"/>
      <c r="AI68" s="476"/>
      <c r="AK68" s="661"/>
    </row>
    <row r="69" spans="2:37" ht="20.25" customHeight="1">
      <c r="B69" s="95"/>
      <c r="C69" s="551"/>
      <c r="D69" s="95"/>
      <c r="E69" s="551"/>
      <c r="G69" s="476"/>
      <c r="I69" s="476"/>
      <c r="K69" s="476"/>
      <c r="M69" s="476"/>
      <c r="O69" s="476"/>
      <c r="Q69" s="476"/>
      <c r="S69" s="476"/>
      <c r="U69" s="476"/>
      <c r="W69" s="476"/>
      <c r="Y69" s="476"/>
      <c r="AA69" s="476"/>
      <c r="AC69" s="476"/>
      <c r="AE69" s="476"/>
      <c r="AG69" s="476"/>
      <c r="AI69" s="476"/>
      <c r="AK69" s="661"/>
    </row>
    <row r="70" spans="2:37" ht="20.25" customHeight="1">
      <c r="B70" s="95"/>
      <c r="C70" s="551"/>
      <c r="D70" s="95"/>
      <c r="E70" s="551"/>
      <c r="G70" s="476"/>
      <c r="I70" s="476"/>
      <c r="K70" s="476"/>
      <c r="M70" s="476"/>
      <c r="O70" s="476"/>
      <c r="Q70" s="476"/>
      <c r="S70" s="476"/>
      <c r="U70" s="476"/>
      <c r="W70" s="476"/>
      <c r="Y70" s="476"/>
      <c r="AA70" s="476"/>
      <c r="AC70" s="476"/>
      <c r="AE70" s="476"/>
      <c r="AG70" s="476"/>
      <c r="AI70" s="476"/>
      <c r="AK70" s="661"/>
    </row>
    <row r="71" spans="2:37" ht="20.25" customHeight="1">
      <c r="B71" s="95"/>
      <c r="C71" s="551"/>
      <c r="D71" s="95"/>
      <c r="E71" s="551"/>
      <c r="G71" s="476"/>
      <c r="I71" s="476"/>
      <c r="K71" s="476"/>
      <c r="M71" s="476"/>
      <c r="O71" s="476"/>
      <c r="Q71" s="476"/>
      <c r="S71" s="476"/>
      <c r="U71" s="476"/>
      <c r="W71" s="476"/>
      <c r="Y71" s="476"/>
      <c r="AA71" s="476"/>
      <c r="AC71" s="476"/>
      <c r="AE71" s="476"/>
      <c r="AG71" s="476"/>
      <c r="AI71" s="476"/>
      <c r="AK71" s="661"/>
    </row>
    <row r="72" spans="2:37" ht="24" customHeight="1">
      <c r="B72" s="95"/>
      <c r="C72" s="551"/>
      <c r="D72" s="95"/>
      <c r="E72" s="551"/>
      <c r="G72" s="476"/>
      <c r="I72" s="476"/>
      <c r="K72" s="476"/>
      <c r="M72" s="476"/>
      <c r="O72" s="476"/>
      <c r="Q72" s="476"/>
      <c r="S72" s="476"/>
      <c r="U72" s="476"/>
      <c r="W72" s="476"/>
      <c r="Y72" s="476"/>
      <c r="AA72" s="476"/>
      <c r="AC72" s="476"/>
      <c r="AE72" s="476"/>
      <c r="AG72" s="476"/>
      <c r="AI72" s="476"/>
      <c r="AK72" s="661"/>
    </row>
    <row r="73" spans="2:37" ht="15">
      <c r="B73" s="95"/>
      <c r="C73" s="551"/>
      <c r="D73" s="95"/>
      <c r="E73" s="551"/>
      <c r="G73" s="476"/>
      <c r="I73" s="476"/>
      <c r="K73" s="476"/>
      <c r="M73" s="476"/>
      <c r="O73" s="476"/>
      <c r="Q73" s="476"/>
      <c r="S73" s="476"/>
      <c r="U73" s="476"/>
      <c r="W73" s="476"/>
      <c r="Y73" s="476"/>
      <c r="AA73" s="476"/>
      <c r="AC73" s="476"/>
      <c r="AE73" s="476"/>
      <c r="AG73" s="476"/>
      <c r="AI73" s="476"/>
      <c r="AK73" s="661"/>
    </row>
    <row r="74" spans="2:37" ht="15">
      <c r="B74" s="95"/>
      <c r="C74" s="551"/>
      <c r="D74" s="95"/>
      <c r="E74" s="551"/>
      <c r="G74" s="476"/>
      <c r="I74" s="476"/>
      <c r="K74" s="476"/>
      <c r="M74" s="476"/>
      <c r="O74" s="476"/>
      <c r="Q74" s="476"/>
      <c r="S74" s="476"/>
      <c r="U74" s="476"/>
      <c r="W74" s="476"/>
      <c r="Y74" s="476"/>
      <c r="AA74" s="476"/>
      <c r="AC74" s="476"/>
      <c r="AE74" s="476"/>
      <c r="AG74" s="476"/>
      <c r="AI74" s="476"/>
      <c r="AK74" s="661"/>
    </row>
    <row r="75" spans="2:37" ht="69" customHeight="1">
      <c r="B75" s="95"/>
      <c r="C75" s="551"/>
      <c r="D75" s="95"/>
      <c r="E75" s="551"/>
      <c r="G75" s="476"/>
      <c r="I75" s="476"/>
      <c r="K75" s="476"/>
      <c r="M75" s="476"/>
      <c r="O75" s="476"/>
      <c r="Q75" s="476"/>
      <c r="S75" s="476"/>
      <c r="U75" s="476"/>
      <c r="W75" s="476"/>
      <c r="Y75" s="476"/>
      <c r="AA75" s="476"/>
      <c r="AC75" s="476"/>
      <c r="AE75" s="476"/>
      <c r="AG75" s="476"/>
      <c r="AI75" s="476"/>
      <c r="AK75" s="661"/>
    </row>
    <row r="76" spans="2:37" ht="21.75" customHeight="1">
      <c r="B76" s="95"/>
      <c r="C76" s="551"/>
      <c r="D76" s="95"/>
      <c r="E76" s="551"/>
      <c r="G76" s="476"/>
      <c r="I76" s="476"/>
      <c r="K76" s="476"/>
      <c r="M76" s="476"/>
      <c r="O76" s="476"/>
      <c r="Q76" s="476"/>
      <c r="S76" s="476"/>
      <c r="U76" s="476"/>
      <c r="W76" s="476"/>
      <c r="Y76" s="476"/>
      <c r="AA76" s="476"/>
      <c r="AC76" s="476"/>
      <c r="AE76" s="476"/>
      <c r="AG76" s="476"/>
      <c r="AI76" s="476"/>
      <c r="AK76" s="661"/>
    </row>
    <row r="77" spans="2:37" ht="27" customHeight="1">
      <c r="B77" s="95"/>
      <c r="C77" s="551"/>
      <c r="D77" s="95"/>
      <c r="E77" s="551"/>
      <c r="G77" s="476"/>
      <c r="I77" s="476"/>
      <c r="K77" s="476"/>
      <c r="M77" s="476"/>
      <c r="O77" s="476"/>
      <c r="Q77" s="476"/>
      <c r="S77" s="476"/>
      <c r="U77" s="476"/>
      <c r="W77" s="476"/>
      <c r="Y77" s="476"/>
      <c r="AA77" s="476"/>
      <c r="AC77" s="476"/>
      <c r="AE77" s="476"/>
      <c r="AG77" s="476"/>
      <c r="AI77" s="476"/>
      <c r="AK77" s="661"/>
    </row>
    <row r="78" spans="2:37" ht="21" customHeight="1">
      <c r="B78" s="95"/>
      <c r="C78" s="551"/>
      <c r="D78" s="95"/>
      <c r="E78" s="551"/>
      <c r="G78" s="476"/>
      <c r="I78" s="476"/>
      <c r="K78" s="476"/>
      <c r="M78" s="476"/>
      <c r="O78" s="476"/>
      <c r="Q78" s="476"/>
      <c r="S78" s="476"/>
      <c r="U78" s="476"/>
      <c r="W78" s="476"/>
      <c r="Y78" s="476"/>
      <c r="AA78" s="476"/>
      <c r="AC78" s="476"/>
      <c r="AE78" s="476"/>
      <c r="AG78" s="476"/>
      <c r="AI78" s="476"/>
      <c r="AK78" s="661"/>
    </row>
    <row r="79" spans="2:37" ht="20.25" customHeight="1">
      <c r="B79" s="95"/>
      <c r="C79" s="551"/>
      <c r="D79" s="95"/>
      <c r="E79" s="551"/>
      <c r="G79" s="476"/>
      <c r="I79" s="476"/>
      <c r="K79" s="476"/>
      <c r="M79" s="476"/>
      <c r="O79" s="476"/>
      <c r="Q79" s="476"/>
      <c r="S79" s="476"/>
      <c r="U79" s="476"/>
      <c r="W79" s="476"/>
      <c r="Y79" s="476"/>
      <c r="AA79" s="476"/>
      <c r="AC79" s="476"/>
      <c r="AE79" s="476"/>
      <c r="AG79" s="476"/>
      <c r="AI79" s="476"/>
      <c r="AK79" s="661"/>
    </row>
    <row r="80" spans="2:37" ht="20.25" customHeight="1">
      <c r="B80" s="95"/>
      <c r="C80" s="551"/>
      <c r="D80" s="95"/>
      <c r="E80" s="551"/>
      <c r="G80" s="476"/>
      <c r="I80" s="476"/>
      <c r="K80" s="476"/>
      <c r="M80" s="476"/>
      <c r="O80" s="476"/>
      <c r="Q80" s="476"/>
      <c r="S80" s="476"/>
      <c r="U80" s="476"/>
      <c r="W80" s="476"/>
      <c r="Y80" s="476"/>
      <c r="AA80" s="476"/>
      <c r="AC80" s="476"/>
      <c r="AE80" s="476"/>
      <c r="AG80" s="476"/>
      <c r="AI80" s="476"/>
      <c r="AK80" s="661"/>
    </row>
    <row r="81" spans="2:37" ht="20.25" customHeight="1">
      <c r="B81" s="95"/>
      <c r="C81" s="551"/>
      <c r="D81" s="95"/>
      <c r="E81" s="551"/>
      <c r="G81" s="476"/>
      <c r="I81" s="476"/>
      <c r="K81" s="476"/>
      <c r="M81" s="476"/>
      <c r="O81" s="476"/>
      <c r="Q81" s="476"/>
      <c r="S81" s="476"/>
      <c r="U81" s="476"/>
      <c r="W81" s="476"/>
      <c r="Y81" s="476"/>
      <c r="AA81" s="476"/>
      <c r="AC81" s="476"/>
      <c r="AE81" s="476"/>
      <c r="AG81" s="476"/>
      <c r="AI81" s="476"/>
      <c r="AK81" s="661"/>
    </row>
    <row r="82" spans="2:37" ht="20.25" customHeight="1">
      <c r="B82" s="95"/>
      <c r="C82" s="551"/>
      <c r="D82" s="95"/>
      <c r="E82" s="551"/>
      <c r="G82" s="476"/>
      <c r="I82" s="476"/>
      <c r="K82" s="476"/>
      <c r="M82" s="476"/>
      <c r="O82" s="476"/>
      <c r="Q82" s="476"/>
      <c r="S82" s="476"/>
      <c r="U82" s="476"/>
      <c r="W82" s="476"/>
      <c r="Y82" s="476"/>
      <c r="AA82" s="476"/>
      <c r="AC82" s="476"/>
      <c r="AE82" s="476"/>
      <c r="AG82" s="476"/>
      <c r="AI82" s="476"/>
      <c r="AK82" s="661"/>
    </row>
    <row r="83" spans="2:37" ht="21.75" customHeight="1">
      <c r="B83" s="95"/>
      <c r="C83" s="551"/>
      <c r="D83" s="95"/>
      <c r="E83" s="551"/>
      <c r="G83" s="476"/>
      <c r="I83" s="476"/>
      <c r="K83" s="476"/>
      <c r="M83" s="476"/>
      <c r="O83" s="476"/>
      <c r="Q83" s="476"/>
      <c r="S83" s="476"/>
      <c r="U83" s="476"/>
      <c r="W83" s="476"/>
      <c r="Y83" s="476"/>
      <c r="AA83" s="476"/>
      <c r="AC83" s="476"/>
      <c r="AE83" s="476"/>
      <c r="AG83" s="476"/>
      <c r="AI83" s="476"/>
      <c r="AK83" s="661"/>
    </row>
    <row r="84" spans="2:37" ht="20.25" customHeight="1">
      <c r="B84" s="95"/>
      <c r="C84" s="551"/>
      <c r="D84" s="95"/>
      <c r="E84" s="551"/>
      <c r="G84" s="476"/>
      <c r="I84" s="476"/>
      <c r="K84" s="476"/>
      <c r="M84" s="476"/>
      <c r="O84" s="476"/>
      <c r="Q84" s="476"/>
      <c r="S84" s="476"/>
      <c r="U84" s="476"/>
      <c r="W84" s="476"/>
      <c r="Y84" s="476"/>
      <c r="AA84" s="476"/>
      <c r="AC84" s="476"/>
      <c r="AE84" s="476"/>
      <c r="AG84" s="476"/>
      <c r="AI84" s="476"/>
      <c r="AK84" s="661"/>
    </row>
    <row r="85" spans="2:37" ht="24" customHeight="1">
      <c r="B85" s="95"/>
      <c r="C85" s="551"/>
      <c r="D85" s="95"/>
      <c r="E85" s="551"/>
      <c r="G85" s="476"/>
      <c r="I85" s="476"/>
      <c r="K85" s="476"/>
      <c r="M85" s="476"/>
      <c r="O85" s="476"/>
      <c r="Q85" s="476"/>
      <c r="S85" s="476"/>
      <c r="U85" s="476"/>
      <c r="W85" s="476"/>
      <c r="Y85" s="476"/>
      <c r="AA85" s="476"/>
      <c r="AC85" s="476"/>
      <c r="AE85" s="476"/>
      <c r="AG85" s="476"/>
      <c r="AI85" s="476"/>
      <c r="AK85" s="661"/>
    </row>
    <row r="86" spans="2:37" ht="15">
      <c r="B86" s="95"/>
      <c r="C86" s="551"/>
      <c r="D86" s="95"/>
      <c r="E86" s="551"/>
      <c r="G86" s="476"/>
      <c r="I86" s="476"/>
      <c r="K86" s="476"/>
      <c r="M86" s="476"/>
      <c r="O86" s="476"/>
      <c r="Q86" s="476"/>
      <c r="S86" s="476"/>
      <c r="U86" s="476"/>
      <c r="W86" s="476"/>
      <c r="Y86" s="476"/>
      <c r="AA86" s="476"/>
      <c r="AC86" s="476"/>
      <c r="AE86" s="476"/>
      <c r="AG86" s="476"/>
      <c r="AI86" s="476"/>
      <c r="AK86" s="661"/>
    </row>
    <row r="87" spans="38:41" ht="21.75">
      <c r="AL87" s="178" t="e">
        <f>SUM(#REF!,#REF!)</f>
        <v>#REF!</v>
      </c>
      <c r="AM87" s="178" t="e">
        <f>SUM(#REF!,#REF!,AM72,AM85)</f>
        <v>#REF!</v>
      </c>
      <c r="AO87" s="161">
        <f>78832*110%</f>
        <v>86715.20000000001</v>
      </c>
    </row>
  </sheetData>
  <sheetProtection/>
  <mergeCells count="72">
    <mergeCell ref="AH15:AI15"/>
    <mergeCell ref="AJ15:AK15"/>
    <mergeCell ref="Z15:AA15"/>
    <mergeCell ref="AB15:AC15"/>
    <mergeCell ref="AD15:AE15"/>
    <mergeCell ref="AF15:AG15"/>
    <mergeCell ref="L15:M15"/>
    <mergeCell ref="N15:O15"/>
    <mergeCell ref="P15:Q15"/>
    <mergeCell ref="T15:U15"/>
    <mergeCell ref="V15:W15"/>
    <mergeCell ref="X15:Y15"/>
    <mergeCell ref="A15:A16"/>
    <mergeCell ref="B15:C15"/>
    <mergeCell ref="D15:E15"/>
    <mergeCell ref="F15:G15"/>
    <mergeCell ref="H15:I15"/>
    <mergeCell ref="J15:K15"/>
    <mergeCell ref="AF33:AG33"/>
    <mergeCell ref="AD51:AE51"/>
    <mergeCell ref="D33:E33"/>
    <mergeCell ref="F33:G33"/>
    <mergeCell ref="H33:I33"/>
    <mergeCell ref="L33:M33"/>
    <mergeCell ref="L51:M51"/>
    <mergeCell ref="Z51:AA51"/>
    <mergeCell ref="J51:K51"/>
    <mergeCell ref="P51:Q51"/>
    <mergeCell ref="A51:A52"/>
    <mergeCell ref="B51:C51"/>
    <mergeCell ref="AJ51:AK51"/>
    <mergeCell ref="AJ33:AK33"/>
    <mergeCell ref="AB51:AC51"/>
    <mergeCell ref="AH33:AI33"/>
    <mergeCell ref="AF51:AG51"/>
    <mergeCell ref="AH51:AI51"/>
    <mergeCell ref="AB33:AC33"/>
    <mergeCell ref="AD33:AE33"/>
    <mergeCell ref="F51:G51"/>
    <mergeCell ref="H51:I51"/>
    <mergeCell ref="B33:C33"/>
    <mergeCell ref="A3:A4"/>
    <mergeCell ref="F3:G3"/>
    <mergeCell ref="H3:I3"/>
    <mergeCell ref="B3:C3"/>
    <mergeCell ref="D3:E3"/>
    <mergeCell ref="A33:A34"/>
    <mergeCell ref="D51:E51"/>
    <mergeCell ref="AJ3:AK3"/>
    <mergeCell ref="V3:W3"/>
    <mergeCell ref="X3:Y3"/>
    <mergeCell ref="AB3:AC3"/>
    <mergeCell ref="AF3:AG3"/>
    <mergeCell ref="AH3:AI3"/>
    <mergeCell ref="AD3:AE3"/>
    <mergeCell ref="J3:K3"/>
    <mergeCell ref="P3:Q3"/>
    <mergeCell ref="Z3:AA3"/>
    <mergeCell ref="Z33:AA33"/>
    <mergeCell ref="J33:K33"/>
    <mergeCell ref="T3:U3"/>
    <mergeCell ref="N3:O3"/>
    <mergeCell ref="P33:Q33"/>
    <mergeCell ref="T33:U33"/>
    <mergeCell ref="L3:M3"/>
    <mergeCell ref="N33:O33"/>
    <mergeCell ref="N51:O51"/>
    <mergeCell ref="V33:W33"/>
    <mergeCell ref="X33:Y33"/>
    <mergeCell ref="V51:W51"/>
    <mergeCell ref="X51:Y51"/>
    <mergeCell ref="T51:U51"/>
  </mergeCells>
  <printOptions horizontalCentered="1"/>
  <pageMargins left="0" right="0" top="0.55" bottom="0.21" header="0.16" footer="0.26"/>
  <pageSetup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sheetPr>
    <tabColor indexed="13"/>
  </sheetPr>
  <dimension ref="A1:M31"/>
  <sheetViews>
    <sheetView tabSelected="1" zoomScalePageLayoutView="0" workbookViewId="0" topLeftCell="A1">
      <selection activeCell="H15" sqref="H15"/>
    </sheetView>
  </sheetViews>
  <sheetFormatPr defaultColWidth="9.140625" defaultRowHeight="12.75"/>
  <cols>
    <col min="1" max="1" width="19.421875" style="0" customWidth="1"/>
    <col min="2" max="2" width="3.140625" style="825" customWidth="1"/>
    <col min="3" max="3" width="55.140625" style="0" customWidth="1"/>
    <col min="4" max="4" width="4.8515625" style="570" customWidth="1"/>
    <col min="5" max="5" width="9.00390625" style="566" customWidth="1"/>
    <col min="6" max="6" width="4.8515625" style="570" customWidth="1"/>
    <col min="7" max="7" width="9.00390625" style="566" customWidth="1"/>
    <col min="8" max="8" width="4.8515625" style="571" customWidth="1"/>
    <col min="9" max="9" width="8.140625" style="566" customWidth="1"/>
    <col min="10" max="10" width="8.7109375" style="566" customWidth="1"/>
    <col min="11" max="11" width="6.57421875" style="566" customWidth="1"/>
    <col min="12" max="12" width="9.8515625" style="576" customWidth="1"/>
    <col min="13" max="13" width="9.140625" style="561" customWidth="1"/>
  </cols>
  <sheetData>
    <row r="1" spans="1:11" ht="26.25" customHeight="1">
      <c r="A1" s="221" t="s">
        <v>520</v>
      </c>
      <c r="B1" s="324"/>
      <c r="C1" s="68"/>
      <c r="D1" s="567"/>
      <c r="E1" s="563"/>
      <c r="F1" s="567"/>
      <c r="G1" s="563"/>
      <c r="H1" s="32"/>
      <c r="I1" s="563"/>
      <c r="J1" s="633" t="s">
        <v>0</v>
      </c>
      <c r="K1" s="572"/>
    </row>
    <row r="2" spans="1:12" ht="44.25" customHeight="1" thickBot="1">
      <c r="A2" s="221" t="s">
        <v>209</v>
      </c>
      <c r="B2" s="324"/>
      <c r="C2" s="68"/>
      <c r="D2" s="567"/>
      <c r="E2" s="563"/>
      <c r="F2" s="567"/>
      <c r="G2" s="563"/>
      <c r="H2" s="32"/>
      <c r="I2" s="563"/>
      <c r="J2" s="572"/>
      <c r="K2" s="572"/>
      <c r="L2" s="574"/>
    </row>
    <row r="3" spans="1:12" ht="21.75" thickBot="1">
      <c r="A3" s="1285" t="s">
        <v>1</v>
      </c>
      <c r="B3" s="1302"/>
      <c r="C3" s="1285" t="s">
        <v>103</v>
      </c>
      <c r="D3" s="1304" t="s">
        <v>121</v>
      </c>
      <c r="E3" s="1304"/>
      <c r="F3" s="1304" t="s">
        <v>67</v>
      </c>
      <c r="G3" s="1304"/>
      <c r="H3" s="1304" t="s">
        <v>68</v>
      </c>
      <c r="I3" s="1304"/>
      <c r="J3" s="1306" t="s">
        <v>64</v>
      </c>
      <c r="K3" s="1308" t="s">
        <v>65</v>
      </c>
      <c r="L3" s="1299" t="s">
        <v>66</v>
      </c>
    </row>
    <row r="4" spans="1:12" ht="24.75" customHeight="1" thickBot="1">
      <c r="A4" s="1301"/>
      <c r="B4" s="1303"/>
      <c r="C4" s="1301"/>
      <c r="D4" s="1171" t="s">
        <v>10</v>
      </c>
      <c r="E4" s="1172" t="s">
        <v>9</v>
      </c>
      <c r="F4" s="1171" t="s">
        <v>10</v>
      </c>
      <c r="G4" s="1172" t="s">
        <v>9</v>
      </c>
      <c r="H4" s="1171" t="s">
        <v>10</v>
      </c>
      <c r="I4" s="1172" t="s">
        <v>9</v>
      </c>
      <c r="J4" s="1307"/>
      <c r="K4" s="1309"/>
      <c r="L4" s="1300"/>
    </row>
    <row r="5" spans="1:12" ht="21">
      <c r="A5" s="298" t="s">
        <v>187</v>
      </c>
      <c r="B5" s="822"/>
      <c r="C5" s="298" t="s">
        <v>106</v>
      </c>
      <c r="D5" s="830"/>
      <c r="E5" s="831"/>
      <c r="F5" s="830"/>
      <c r="G5" s="831"/>
      <c r="H5" s="830"/>
      <c r="I5" s="831"/>
      <c r="J5" s="831"/>
      <c r="K5" s="832"/>
      <c r="L5" s="827"/>
    </row>
    <row r="6" spans="1:13" s="560" customFormat="1" ht="42">
      <c r="A6" s="1173" t="s">
        <v>171</v>
      </c>
      <c r="B6" s="324">
        <v>1</v>
      </c>
      <c r="C6" s="821" t="s">
        <v>188</v>
      </c>
      <c r="D6" s="828"/>
      <c r="E6" s="829"/>
      <c r="F6" s="868">
        <v>0</v>
      </c>
      <c r="G6" s="839">
        <f>1448*1.1</f>
        <v>1592.8000000000002</v>
      </c>
      <c r="H6" s="1174">
        <v>2</v>
      </c>
      <c r="I6" s="839">
        <v>160.8</v>
      </c>
      <c r="J6" s="839">
        <v>134.5</v>
      </c>
      <c r="K6" s="839">
        <v>41.9</v>
      </c>
      <c r="L6" s="826">
        <f>SUM(E6,G6,I6,J6,K6)</f>
        <v>1930.0000000000002</v>
      </c>
      <c r="M6" s="562"/>
    </row>
    <row r="7" spans="1:12" ht="42.75" customHeight="1">
      <c r="A7" s="820" t="s">
        <v>227</v>
      </c>
      <c r="B7" s="324">
        <v>2</v>
      </c>
      <c r="C7" s="821" t="s">
        <v>226</v>
      </c>
      <c r="D7" s="828"/>
      <c r="E7" s="829"/>
      <c r="F7" s="868">
        <v>0</v>
      </c>
      <c r="G7" s="839">
        <f>69.6*1.1</f>
        <v>76.56</v>
      </c>
      <c r="H7" s="837"/>
      <c r="I7" s="836"/>
      <c r="J7" s="836"/>
      <c r="K7" s="838" t="s">
        <v>12</v>
      </c>
      <c r="L7" s="826">
        <f>SUM(E7,G7,I7,J7,K7)</f>
        <v>76.56</v>
      </c>
    </row>
    <row r="8" spans="1:12" ht="42">
      <c r="A8" s="1078" t="s">
        <v>315</v>
      </c>
      <c r="B8" s="824">
        <v>3</v>
      </c>
      <c r="C8" s="424" t="s">
        <v>316</v>
      </c>
      <c r="D8" s="869">
        <f>5+7</f>
        <v>12</v>
      </c>
      <c r="E8" s="870">
        <f>(131.3+236.7)*1.1</f>
        <v>404.8</v>
      </c>
      <c r="F8" s="834"/>
      <c r="G8" s="835"/>
      <c r="H8" s="871">
        <f>4+2</f>
        <v>6</v>
      </c>
      <c r="I8" s="872">
        <f>331+84.7</f>
        <v>415.7</v>
      </c>
      <c r="J8" s="835"/>
      <c r="K8" s="835"/>
      <c r="L8" s="826">
        <f>SUM(E8,G8,I8,J8,K8)</f>
        <v>820.5</v>
      </c>
    </row>
    <row r="9" spans="1:13" s="520" customFormat="1" ht="21">
      <c r="A9" s="634"/>
      <c r="B9" s="823"/>
      <c r="C9" s="635" t="s">
        <v>107</v>
      </c>
      <c r="D9" s="639">
        <f>SUM(D8)</f>
        <v>12</v>
      </c>
      <c r="E9" s="640">
        <f>SUM(E8)</f>
        <v>404.8</v>
      </c>
      <c r="F9" s="640">
        <f aca="true" t="shared" si="0" ref="F9:L9">SUM(F6:F8)</f>
        <v>0</v>
      </c>
      <c r="G9" s="640">
        <f t="shared" si="0"/>
        <v>1669.3600000000001</v>
      </c>
      <c r="H9" s="639">
        <f t="shared" si="0"/>
        <v>8</v>
      </c>
      <c r="I9" s="640">
        <f t="shared" si="0"/>
        <v>576.5</v>
      </c>
      <c r="J9" s="641">
        <f t="shared" si="0"/>
        <v>134.5</v>
      </c>
      <c r="K9" s="641">
        <f t="shared" si="0"/>
        <v>41.9</v>
      </c>
      <c r="L9" s="641">
        <f t="shared" si="0"/>
        <v>2827.0600000000004</v>
      </c>
      <c r="M9" s="632"/>
    </row>
    <row r="10" spans="1:12" ht="21">
      <c r="A10" s="298" t="s">
        <v>317</v>
      </c>
      <c r="B10" s="822"/>
      <c r="C10" s="298" t="s">
        <v>106</v>
      </c>
      <c r="D10" s="830"/>
      <c r="E10" s="831"/>
      <c r="F10" s="830"/>
      <c r="G10" s="831"/>
      <c r="H10" s="830"/>
      <c r="I10" s="831"/>
      <c r="J10" s="831"/>
      <c r="K10" s="832"/>
      <c r="L10" s="827"/>
    </row>
    <row r="11" spans="1:12" ht="21.75">
      <c r="A11" s="819" t="s">
        <v>173</v>
      </c>
      <c r="B11" s="324">
        <v>4</v>
      </c>
      <c r="C11" s="252" t="s">
        <v>318</v>
      </c>
      <c r="D11" s="841">
        <v>6</v>
      </c>
      <c r="E11" s="840">
        <f>594.3*1.1</f>
        <v>653.73</v>
      </c>
      <c r="F11" s="833"/>
      <c r="G11" s="836"/>
      <c r="H11" s="841">
        <v>3</v>
      </c>
      <c r="I11" s="840">
        <v>219.4</v>
      </c>
      <c r="J11" s="836"/>
      <c r="K11" s="836"/>
      <c r="L11" s="826">
        <f>SUM(E11,G11,I11,J11,K11)</f>
        <v>873.13</v>
      </c>
    </row>
    <row r="12" spans="1:13" s="520" customFormat="1" ht="21.75" thickBot="1">
      <c r="A12" s="634"/>
      <c r="B12" s="823"/>
      <c r="C12" s="635" t="s">
        <v>107</v>
      </c>
      <c r="D12" s="639">
        <f aca="true" t="shared" si="1" ref="D12:L12">SUM(D11)</f>
        <v>6</v>
      </c>
      <c r="E12" s="640">
        <f t="shared" si="1"/>
        <v>653.73</v>
      </c>
      <c r="F12" s="639">
        <f t="shared" si="1"/>
        <v>0</v>
      </c>
      <c r="G12" s="640">
        <f t="shared" si="1"/>
        <v>0</v>
      </c>
      <c r="H12" s="639">
        <f t="shared" si="1"/>
        <v>3</v>
      </c>
      <c r="I12" s="640">
        <f t="shared" si="1"/>
        <v>219.4</v>
      </c>
      <c r="J12" s="640">
        <f t="shared" si="1"/>
        <v>0</v>
      </c>
      <c r="K12" s="640">
        <f t="shared" si="1"/>
        <v>0</v>
      </c>
      <c r="L12" s="640">
        <f t="shared" si="1"/>
        <v>873.13</v>
      </c>
      <c r="M12" s="632"/>
    </row>
    <row r="13" spans="1:12" ht="21.75" thickBot="1">
      <c r="A13" s="1305" t="s">
        <v>61</v>
      </c>
      <c r="B13" s="1305"/>
      <c r="C13" s="1305"/>
      <c r="D13" s="630">
        <f aca="true" t="shared" si="2" ref="D13:L13">+D9+D12</f>
        <v>18</v>
      </c>
      <c r="E13" s="631">
        <f t="shared" si="2"/>
        <v>1058.53</v>
      </c>
      <c r="F13" s="630">
        <f t="shared" si="2"/>
        <v>0</v>
      </c>
      <c r="G13" s="631">
        <f t="shared" si="2"/>
        <v>1669.3600000000001</v>
      </c>
      <c r="H13" s="630">
        <f t="shared" si="2"/>
        <v>11</v>
      </c>
      <c r="I13" s="631">
        <f t="shared" si="2"/>
        <v>795.9</v>
      </c>
      <c r="J13" s="631">
        <f t="shared" si="2"/>
        <v>134.5</v>
      </c>
      <c r="K13" s="631">
        <f t="shared" si="2"/>
        <v>41.9</v>
      </c>
      <c r="L13" s="631">
        <f t="shared" si="2"/>
        <v>3700.1900000000005</v>
      </c>
    </row>
    <row r="14" spans="1:12" ht="21">
      <c r="A14" s="1175"/>
      <c r="B14" s="1175"/>
      <c r="C14" s="1175"/>
      <c r="D14" s="1176"/>
      <c r="E14" s="1177"/>
      <c r="F14" s="1176"/>
      <c r="G14" s="1177"/>
      <c r="H14" s="1176"/>
      <c r="I14" s="1177"/>
      <c r="J14" s="1177"/>
      <c r="K14" s="1177"/>
      <c r="L14" s="1177"/>
    </row>
    <row r="15" ht="114" customHeight="1"/>
    <row r="16" spans="1:12" ht="39.75" customHeight="1" thickBot="1">
      <c r="A16" s="221" t="s">
        <v>208</v>
      </c>
      <c r="B16" s="324"/>
      <c r="C16" s="68"/>
      <c r="D16" s="567"/>
      <c r="E16" s="563"/>
      <c r="F16" s="567"/>
      <c r="G16" s="563"/>
      <c r="H16" s="32"/>
      <c r="I16" s="563"/>
      <c r="J16" s="572"/>
      <c r="K16" s="572"/>
      <c r="L16" s="574"/>
    </row>
    <row r="17" spans="1:12" ht="21.75" thickBot="1">
      <c r="A17" s="1285" t="s">
        <v>1</v>
      </c>
      <c r="B17" s="1302"/>
      <c r="C17" s="1285" t="s">
        <v>103</v>
      </c>
      <c r="D17" s="1304" t="s">
        <v>121</v>
      </c>
      <c r="E17" s="1304"/>
      <c r="F17" s="1304" t="s">
        <v>67</v>
      </c>
      <c r="G17" s="1304"/>
      <c r="H17" s="1304" t="s">
        <v>68</v>
      </c>
      <c r="I17" s="1304"/>
      <c r="J17" s="1306" t="s">
        <v>64</v>
      </c>
      <c r="K17" s="1308" t="s">
        <v>65</v>
      </c>
      <c r="L17" s="1299" t="s">
        <v>66</v>
      </c>
    </row>
    <row r="18" spans="1:12" ht="25.5" customHeight="1" thickBot="1">
      <c r="A18" s="1301"/>
      <c r="B18" s="1303"/>
      <c r="C18" s="1301"/>
      <c r="D18" s="1171" t="s">
        <v>10</v>
      </c>
      <c r="E18" s="1172" t="s">
        <v>9</v>
      </c>
      <c r="F18" s="1171" t="s">
        <v>10</v>
      </c>
      <c r="G18" s="1172" t="s">
        <v>9</v>
      </c>
      <c r="H18" s="1171" t="s">
        <v>10</v>
      </c>
      <c r="I18" s="1172" t="s">
        <v>9</v>
      </c>
      <c r="J18" s="1307"/>
      <c r="K18" s="1309"/>
      <c r="L18" s="1300"/>
    </row>
    <row r="19" spans="1:12" ht="21">
      <c r="A19" s="298" t="s">
        <v>108</v>
      </c>
      <c r="B19" s="822"/>
      <c r="C19" s="298" t="s">
        <v>105</v>
      </c>
      <c r="D19" s="568"/>
      <c r="E19" s="564"/>
      <c r="F19" s="568"/>
      <c r="G19" s="564"/>
      <c r="H19" s="568"/>
      <c r="I19" s="564"/>
      <c r="J19" s="564"/>
      <c r="K19" s="573"/>
      <c r="L19" s="575"/>
    </row>
    <row r="20" spans="1:13" s="560" customFormat="1" ht="40.5">
      <c r="A20" s="348" t="s">
        <v>172</v>
      </c>
      <c r="B20" s="324">
        <v>1</v>
      </c>
      <c r="C20" s="323" t="s">
        <v>288</v>
      </c>
      <c r="D20" s="569">
        <v>2</v>
      </c>
      <c r="E20" s="565">
        <v>275.4</v>
      </c>
      <c r="F20" s="569"/>
      <c r="G20" s="565"/>
      <c r="H20" s="569"/>
      <c r="I20" s="565"/>
      <c r="J20" s="565"/>
      <c r="K20" s="565" t="s">
        <v>12</v>
      </c>
      <c r="L20" s="826">
        <f>SUM(E20,G20,I20,J20,K20)</f>
        <v>275.4</v>
      </c>
      <c r="M20" s="562"/>
    </row>
    <row r="21" spans="1:13" s="520" customFormat="1" ht="21">
      <c r="A21" s="634"/>
      <c r="B21" s="823"/>
      <c r="C21" s="635" t="s">
        <v>107</v>
      </c>
      <c r="D21" s="636">
        <f>SUM(D20:D20)</f>
        <v>2</v>
      </c>
      <c r="E21" s="637">
        <f>SUM(E20:E20)</f>
        <v>275.4</v>
      </c>
      <c r="F21" s="636">
        <f aca="true" t="shared" si="3" ref="F21:L21">SUM(F20:F20)</f>
        <v>0</v>
      </c>
      <c r="G21" s="637">
        <f t="shared" si="3"/>
        <v>0</v>
      </c>
      <c r="H21" s="636">
        <f t="shared" si="3"/>
        <v>0</v>
      </c>
      <c r="I21" s="637">
        <f t="shared" si="3"/>
        <v>0</v>
      </c>
      <c r="J21" s="637">
        <f t="shared" si="3"/>
        <v>0</v>
      </c>
      <c r="K21" s="637">
        <f t="shared" si="3"/>
        <v>0</v>
      </c>
      <c r="L21" s="638">
        <f t="shared" si="3"/>
        <v>275.4</v>
      </c>
      <c r="M21" s="632"/>
    </row>
    <row r="22" spans="1:12" ht="21">
      <c r="A22" s="298" t="s">
        <v>186</v>
      </c>
      <c r="B22" s="822"/>
      <c r="C22" s="298" t="s">
        <v>105</v>
      </c>
      <c r="D22" s="568"/>
      <c r="E22" s="564"/>
      <c r="F22" s="568"/>
      <c r="G22" s="564"/>
      <c r="H22" s="568"/>
      <c r="I22" s="564"/>
      <c r="J22" s="564"/>
      <c r="K22" s="573"/>
      <c r="L22" s="575"/>
    </row>
    <row r="23" spans="1:13" s="560" customFormat="1" ht="40.5">
      <c r="A23" s="348" t="s">
        <v>172</v>
      </c>
      <c r="B23" s="324">
        <v>1</v>
      </c>
      <c r="C23" s="323" t="s">
        <v>288</v>
      </c>
      <c r="D23" s="569">
        <v>2</v>
      </c>
      <c r="E23" s="565">
        <v>275.4</v>
      </c>
      <c r="F23" s="569"/>
      <c r="G23" s="565"/>
      <c r="H23" s="569"/>
      <c r="I23" s="565"/>
      <c r="J23" s="565"/>
      <c r="K23" s="565" t="s">
        <v>12</v>
      </c>
      <c r="L23" s="826">
        <f>SUM(E23,G23,I23,J23,K23)</f>
        <v>275.4</v>
      </c>
      <c r="M23" s="562"/>
    </row>
    <row r="24" spans="1:13" s="520" customFormat="1" ht="21">
      <c r="A24" s="634"/>
      <c r="B24" s="823"/>
      <c r="C24" s="635" t="s">
        <v>107</v>
      </c>
      <c r="D24" s="636">
        <f>SUM(D23:D23)</f>
        <v>2</v>
      </c>
      <c r="E24" s="637">
        <f>SUM(E23:E23)</f>
        <v>275.4</v>
      </c>
      <c r="F24" s="636">
        <f aca="true" t="shared" si="4" ref="F24:L24">SUM(F23:F23)</f>
        <v>0</v>
      </c>
      <c r="G24" s="637">
        <f t="shared" si="4"/>
        <v>0</v>
      </c>
      <c r="H24" s="636">
        <f t="shared" si="4"/>
        <v>0</v>
      </c>
      <c r="I24" s="637">
        <f t="shared" si="4"/>
        <v>0</v>
      </c>
      <c r="J24" s="637">
        <f t="shared" si="4"/>
        <v>0</v>
      </c>
      <c r="K24" s="637">
        <f t="shared" si="4"/>
        <v>0</v>
      </c>
      <c r="L24" s="638">
        <f t="shared" si="4"/>
        <v>275.4</v>
      </c>
      <c r="M24" s="632"/>
    </row>
    <row r="25" spans="1:12" ht="21">
      <c r="A25" s="298" t="s">
        <v>113</v>
      </c>
      <c r="B25" s="822"/>
      <c r="C25" s="298" t="s">
        <v>105</v>
      </c>
      <c r="D25" s="568"/>
      <c r="E25" s="564"/>
      <c r="F25" s="568"/>
      <c r="G25" s="564"/>
      <c r="H25" s="568"/>
      <c r="I25" s="564"/>
      <c r="J25" s="564"/>
      <c r="K25" s="573"/>
      <c r="L25" s="575"/>
    </row>
    <row r="26" spans="1:13" s="560" customFormat="1" ht="40.5">
      <c r="A26" s="348" t="s">
        <v>172</v>
      </c>
      <c r="B26" s="324">
        <v>1</v>
      </c>
      <c r="C26" s="323" t="s">
        <v>288</v>
      </c>
      <c r="D26" s="569">
        <v>2</v>
      </c>
      <c r="E26" s="565">
        <v>275.4</v>
      </c>
      <c r="F26" s="569"/>
      <c r="G26" s="565"/>
      <c r="H26" s="569"/>
      <c r="I26" s="565"/>
      <c r="J26" s="565"/>
      <c r="K26" s="565" t="s">
        <v>12</v>
      </c>
      <c r="L26" s="826">
        <f>SUM(E26,G26,I26,J26,K26)</f>
        <v>275.4</v>
      </c>
      <c r="M26" s="562"/>
    </row>
    <row r="27" spans="1:13" s="520" customFormat="1" ht="21">
      <c r="A27" s="634"/>
      <c r="B27" s="823"/>
      <c r="C27" s="635" t="s">
        <v>107</v>
      </c>
      <c r="D27" s="636">
        <f>SUM(D26:D26)</f>
        <v>2</v>
      </c>
      <c r="E27" s="637">
        <f>SUM(E26:E26)</f>
        <v>275.4</v>
      </c>
      <c r="F27" s="636">
        <f aca="true" t="shared" si="5" ref="F27:L27">SUM(F26:F26)</f>
        <v>0</v>
      </c>
      <c r="G27" s="637">
        <f t="shared" si="5"/>
        <v>0</v>
      </c>
      <c r="H27" s="636">
        <f t="shared" si="5"/>
        <v>0</v>
      </c>
      <c r="I27" s="637">
        <f t="shared" si="5"/>
        <v>0</v>
      </c>
      <c r="J27" s="637">
        <f t="shared" si="5"/>
        <v>0</v>
      </c>
      <c r="K27" s="637">
        <f t="shared" si="5"/>
        <v>0</v>
      </c>
      <c r="L27" s="638">
        <f t="shared" si="5"/>
        <v>275.4</v>
      </c>
      <c r="M27" s="632"/>
    </row>
    <row r="28" spans="1:12" ht="21">
      <c r="A28" s="298" t="s">
        <v>287</v>
      </c>
      <c r="B28" s="822"/>
      <c r="C28" s="298" t="s">
        <v>106</v>
      </c>
      <c r="D28" s="568"/>
      <c r="E28" s="564"/>
      <c r="F28" s="568"/>
      <c r="G28" s="564"/>
      <c r="H28" s="568"/>
      <c r="I28" s="564"/>
      <c r="J28" s="564"/>
      <c r="K28" s="573"/>
      <c r="L28" s="575"/>
    </row>
    <row r="29" spans="1:13" s="312" customFormat="1" ht="40.5">
      <c r="A29" s="1160" t="s">
        <v>172</v>
      </c>
      <c r="B29" s="1161">
        <v>1</v>
      </c>
      <c r="C29" s="1162" t="s">
        <v>288</v>
      </c>
      <c r="D29" s="1163">
        <v>2</v>
      </c>
      <c r="E29" s="1164">
        <v>275.4</v>
      </c>
      <c r="F29" s="1163"/>
      <c r="G29" s="1164"/>
      <c r="H29" s="1165"/>
      <c r="I29" s="1166"/>
      <c r="J29" s="1166"/>
      <c r="K29" s="1166" t="s">
        <v>12</v>
      </c>
      <c r="L29" s="826">
        <f>SUM(E29,G29,I29,J29,K29)</f>
        <v>275.4</v>
      </c>
      <c r="M29" s="1167"/>
    </row>
    <row r="30" spans="1:13" s="1170" customFormat="1" ht="21">
      <c r="A30" s="634"/>
      <c r="B30" s="823"/>
      <c r="C30" s="635" t="s">
        <v>107</v>
      </c>
      <c r="D30" s="636">
        <f>SUM(D29:D29)</f>
        <v>2</v>
      </c>
      <c r="E30" s="637">
        <f>SUM(E29:E29)</f>
        <v>275.4</v>
      </c>
      <c r="F30" s="636">
        <f aca="true" t="shared" si="6" ref="F30:L30">SUM(F29:F29)</f>
        <v>0</v>
      </c>
      <c r="G30" s="637">
        <f t="shared" si="6"/>
        <v>0</v>
      </c>
      <c r="H30" s="636">
        <f t="shared" si="6"/>
        <v>0</v>
      </c>
      <c r="I30" s="637">
        <f t="shared" si="6"/>
        <v>0</v>
      </c>
      <c r="J30" s="637">
        <f t="shared" si="6"/>
        <v>0</v>
      </c>
      <c r="K30" s="637">
        <f t="shared" si="6"/>
        <v>0</v>
      </c>
      <c r="L30" s="638">
        <f t="shared" si="6"/>
        <v>275.4</v>
      </c>
      <c r="M30" s="1169"/>
    </row>
    <row r="31" spans="1:12" ht="21.75" thickBot="1">
      <c r="A31" s="1310" t="s">
        <v>61</v>
      </c>
      <c r="B31" s="1310"/>
      <c r="C31" s="1310"/>
      <c r="D31" s="1168">
        <f aca="true" t="shared" si="7" ref="D31:L31">SUM(D21,D24,D30,D27)</f>
        <v>8</v>
      </c>
      <c r="E31" s="1130">
        <f t="shared" si="7"/>
        <v>1101.6</v>
      </c>
      <c r="F31" s="1168">
        <f t="shared" si="7"/>
        <v>0</v>
      </c>
      <c r="G31" s="1130">
        <f t="shared" si="7"/>
        <v>0</v>
      </c>
      <c r="H31" s="1168">
        <f t="shared" si="7"/>
        <v>0</v>
      </c>
      <c r="I31" s="1168">
        <f t="shared" si="7"/>
        <v>0</v>
      </c>
      <c r="J31" s="1168">
        <f t="shared" si="7"/>
        <v>0</v>
      </c>
      <c r="K31" s="1168">
        <f t="shared" si="7"/>
        <v>0</v>
      </c>
      <c r="L31" s="1130">
        <f t="shared" si="7"/>
        <v>1101.6</v>
      </c>
    </row>
  </sheetData>
  <sheetProtection/>
  <mergeCells count="20">
    <mergeCell ref="A31:C31"/>
    <mergeCell ref="H17:I17"/>
    <mergeCell ref="J17:J18"/>
    <mergeCell ref="K17:K18"/>
    <mergeCell ref="A13:C13"/>
    <mergeCell ref="H3:I3"/>
    <mergeCell ref="J3:J4"/>
    <mergeCell ref="K3:K4"/>
    <mergeCell ref="L17:L18"/>
    <mergeCell ref="A17:A18"/>
    <mergeCell ref="B17:B18"/>
    <mergeCell ref="C17:C18"/>
    <mergeCell ref="F17:G17"/>
    <mergeCell ref="D17:E17"/>
    <mergeCell ref="L3:L4"/>
    <mergeCell ref="A3:A4"/>
    <mergeCell ref="B3:B4"/>
    <mergeCell ref="C3:C4"/>
    <mergeCell ref="F3:G3"/>
    <mergeCell ref="D3:E3"/>
  </mergeCells>
  <printOptions/>
  <pageMargins left="0" right="0" top="0.44" bottom="0.5" header="0.8"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3"/>
  </sheetPr>
  <dimension ref="A1:AN138"/>
  <sheetViews>
    <sheetView zoomScalePageLayoutView="0" workbookViewId="0" topLeftCell="A1">
      <pane xSplit="1" ySplit="3" topLeftCell="J77" activePane="bottomRight" state="frozen"/>
      <selection pane="topLeft" activeCell="A1" sqref="A1"/>
      <selection pane="topRight" activeCell="B1" sqref="B1"/>
      <selection pane="bottomLeft" activeCell="A4" sqref="A4"/>
      <selection pane="bottomRight" activeCell="AA85" sqref="AA85"/>
    </sheetView>
  </sheetViews>
  <sheetFormatPr defaultColWidth="9.140625" defaultRowHeight="12.75"/>
  <cols>
    <col min="1" max="1" width="16.57421875" style="130" customWidth="1"/>
    <col min="2" max="2" width="4.00390625" style="713" bestFit="1" customWidth="1"/>
    <col min="3" max="3" width="10.28125" style="708" bestFit="1" customWidth="1"/>
    <col min="4" max="4" width="4.140625" style="715" customWidth="1"/>
    <col min="5" max="5" width="8.140625" style="708" customWidth="1"/>
    <col min="6" max="6" width="3.8515625" style="715" customWidth="1"/>
    <col min="7" max="7" width="9.28125" style="708" bestFit="1" customWidth="1"/>
    <col min="8" max="8" width="5.28125" style="721" customWidth="1"/>
    <col min="9" max="9" width="10.28125" style="653" bestFit="1" customWidth="1"/>
    <col min="10" max="10" width="4.00390625" style="724" bestFit="1" customWidth="1"/>
    <col min="11" max="11" width="9.28125" style="653" bestFit="1" customWidth="1"/>
    <col min="12" max="12" width="4.140625" style="724" customWidth="1"/>
    <col min="13" max="13" width="8.28125" style="653" bestFit="1" customWidth="1"/>
    <col min="14" max="14" width="5.00390625" style="724" bestFit="1" customWidth="1"/>
    <col min="15" max="15" width="8.28125" style="653" bestFit="1" customWidth="1"/>
    <col min="16" max="16" width="3.7109375" style="724" customWidth="1"/>
    <col min="17" max="17" width="8.28125" style="704" bestFit="1" customWidth="1"/>
    <col min="18" max="18" width="3.421875" style="721" customWidth="1"/>
    <col min="19" max="19" width="8.140625" style="726" customWidth="1"/>
    <col min="20" max="20" width="3.8515625" style="721" customWidth="1"/>
    <col min="21" max="21" width="6.28125" style="726" customWidth="1"/>
    <col min="22" max="22" width="5.00390625" style="721" bestFit="1" customWidth="1"/>
    <col min="23" max="23" width="9.28125" style="726" bestFit="1" customWidth="1"/>
    <col min="24" max="24" width="4.421875" style="721" customWidth="1"/>
    <col min="25" max="25" width="9.28125" style="726" bestFit="1" customWidth="1"/>
    <col min="26" max="26" width="4.57421875" style="713" customWidth="1"/>
    <col min="27" max="27" width="9.28125" style="704" bestFit="1" customWidth="1"/>
    <col min="28" max="28" width="4.28125" style="713" customWidth="1"/>
    <col min="29" max="29" width="8.28125" style="704" bestFit="1" customWidth="1"/>
    <col min="30" max="30" width="4.140625" style="713" customWidth="1"/>
    <col min="31" max="31" width="9.28125" style="704" customWidth="1"/>
    <col min="32" max="32" width="4.00390625" style="713" customWidth="1"/>
    <col min="33" max="33" width="8.28125" style="704" bestFit="1" customWidth="1"/>
    <col min="34" max="34" width="4.421875" style="715" customWidth="1"/>
    <col min="35" max="35" width="9.28125" style="704" bestFit="1" customWidth="1"/>
    <col min="36" max="36" width="4.28125" style="715" customWidth="1"/>
    <col min="37" max="37" width="9.28125" style="704" bestFit="1" customWidth="1"/>
    <col min="38" max="38" width="6.57421875" style="715" customWidth="1"/>
    <col min="39" max="39" width="10.57421875" style="726" customWidth="1"/>
    <col min="40" max="16384" width="9.140625" style="130" customWidth="1"/>
  </cols>
  <sheetData>
    <row r="1" spans="1:39" s="732" customFormat="1" ht="75.75" customHeight="1" thickBot="1">
      <c r="A1" s="1216" t="s">
        <v>1</v>
      </c>
      <c r="B1" s="1218" t="s">
        <v>71</v>
      </c>
      <c r="C1" s="1218"/>
      <c r="D1" s="1218" t="s">
        <v>184</v>
      </c>
      <c r="E1" s="1218"/>
      <c r="F1" s="1215" t="s">
        <v>116</v>
      </c>
      <c r="G1" s="1215"/>
      <c r="H1" s="1214" t="s">
        <v>73</v>
      </c>
      <c r="I1" s="1214"/>
      <c r="J1" s="1215" t="s">
        <v>217</v>
      </c>
      <c r="K1" s="1215"/>
      <c r="L1" s="1214" t="s">
        <v>163</v>
      </c>
      <c r="M1" s="1214"/>
      <c r="N1" s="1219" t="s">
        <v>74</v>
      </c>
      <c r="O1" s="1219"/>
      <c r="P1" s="1219" t="s">
        <v>75</v>
      </c>
      <c r="Q1" s="1219"/>
      <c r="R1" s="1214" t="s">
        <v>169</v>
      </c>
      <c r="S1" s="1214"/>
      <c r="T1" s="1220" t="s">
        <v>76</v>
      </c>
      <c r="U1" s="1220"/>
      <c r="V1" s="1220" t="s">
        <v>117</v>
      </c>
      <c r="W1" s="1220"/>
      <c r="X1" s="1222" t="s">
        <v>78</v>
      </c>
      <c r="Y1" s="1222"/>
      <c r="Z1" s="1222" t="s">
        <v>79</v>
      </c>
      <c r="AA1" s="1222"/>
      <c r="AB1" s="1222" t="s">
        <v>80</v>
      </c>
      <c r="AC1" s="1222"/>
      <c r="AD1" s="1222" t="s">
        <v>81</v>
      </c>
      <c r="AE1" s="1222"/>
      <c r="AF1" s="1222" t="s">
        <v>82</v>
      </c>
      <c r="AG1" s="1222"/>
      <c r="AH1" s="1222" t="s">
        <v>93</v>
      </c>
      <c r="AI1" s="1222"/>
      <c r="AJ1" s="1222" t="s">
        <v>83</v>
      </c>
      <c r="AK1" s="1222"/>
      <c r="AL1" s="1221" t="s">
        <v>66</v>
      </c>
      <c r="AM1" s="1221"/>
    </row>
    <row r="2" spans="1:39" s="195" customFormat="1" ht="21.75" customHeight="1" thickBot="1">
      <c r="A2" s="1217"/>
      <c r="B2" s="1207" t="s">
        <v>10</v>
      </c>
      <c r="C2" s="1208" t="s">
        <v>9</v>
      </c>
      <c r="D2" s="1207" t="s">
        <v>10</v>
      </c>
      <c r="E2" s="1208" t="s">
        <v>9</v>
      </c>
      <c r="F2" s="1207" t="s">
        <v>10</v>
      </c>
      <c r="G2" s="1208" t="s">
        <v>9</v>
      </c>
      <c r="H2" s="1207" t="s">
        <v>10</v>
      </c>
      <c r="I2" s="1208" t="s">
        <v>9</v>
      </c>
      <c r="J2" s="1207" t="s">
        <v>10</v>
      </c>
      <c r="K2" s="1208" t="s">
        <v>9</v>
      </c>
      <c r="L2" s="1207" t="s">
        <v>10</v>
      </c>
      <c r="M2" s="1208" t="s">
        <v>9</v>
      </c>
      <c r="N2" s="1207" t="s">
        <v>10</v>
      </c>
      <c r="O2" s="1208" t="s">
        <v>9</v>
      </c>
      <c r="P2" s="1207" t="s">
        <v>10</v>
      </c>
      <c r="Q2" s="1208" t="s">
        <v>9</v>
      </c>
      <c r="R2" s="1207" t="s">
        <v>10</v>
      </c>
      <c r="S2" s="1208" t="s">
        <v>9</v>
      </c>
      <c r="T2" s="1207" t="s">
        <v>10</v>
      </c>
      <c r="U2" s="1208" t="s">
        <v>9</v>
      </c>
      <c r="V2" s="1207" t="s">
        <v>10</v>
      </c>
      <c r="W2" s="1208" t="s">
        <v>9</v>
      </c>
      <c r="X2" s="1207" t="s">
        <v>10</v>
      </c>
      <c r="Y2" s="1208" t="s">
        <v>9</v>
      </c>
      <c r="Z2" s="1207" t="s">
        <v>10</v>
      </c>
      <c r="AA2" s="1208" t="s">
        <v>9</v>
      </c>
      <c r="AB2" s="1207" t="s">
        <v>10</v>
      </c>
      <c r="AC2" s="1208" t="s">
        <v>9</v>
      </c>
      <c r="AD2" s="1207" t="s">
        <v>10</v>
      </c>
      <c r="AE2" s="1208" t="s">
        <v>9</v>
      </c>
      <c r="AF2" s="1207" t="s">
        <v>10</v>
      </c>
      <c r="AG2" s="1208" t="s">
        <v>9</v>
      </c>
      <c r="AH2" s="1207" t="s">
        <v>10</v>
      </c>
      <c r="AI2" s="1208" t="s">
        <v>9</v>
      </c>
      <c r="AJ2" s="1207" t="s">
        <v>10</v>
      </c>
      <c r="AK2" s="1208" t="s">
        <v>9</v>
      </c>
      <c r="AL2" s="1207" t="s">
        <v>10</v>
      </c>
      <c r="AM2" s="1208" t="s">
        <v>9</v>
      </c>
    </row>
    <row r="3" spans="1:39" s="61" customFormat="1" ht="19.5" customHeight="1">
      <c r="A3" s="735" t="s">
        <v>518</v>
      </c>
      <c r="B3" s="773"/>
      <c r="C3" s="774"/>
      <c r="D3" s="775"/>
      <c r="E3" s="774"/>
      <c r="F3" s="775"/>
      <c r="G3" s="774"/>
      <c r="H3" s="776"/>
      <c r="I3" s="777"/>
      <c r="J3" s="776"/>
      <c r="K3" s="777"/>
      <c r="L3" s="776"/>
      <c r="M3" s="777"/>
      <c r="N3" s="776"/>
      <c r="O3" s="777"/>
      <c r="P3" s="776"/>
      <c r="Q3" s="774"/>
      <c r="R3" s="776"/>
      <c r="S3" s="777"/>
      <c r="T3" s="776"/>
      <c r="U3" s="777"/>
      <c r="V3" s="777"/>
      <c r="W3" s="777"/>
      <c r="X3" s="776"/>
      <c r="Y3" s="777"/>
      <c r="Z3" s="775"/>
      <c r="AA3" s="774"/>
      <c r="AB3" s="775"/>
      <c r="AC3" s="774"/>
      <c r="AD3" s="775"/>
      <c r="AE3" s="774"/>
      <c r="AF3" s="775"/>
      <c r="AG3" s="774"/>
      <c r="AH3" s="775"/>
      <c r="AI3" s="774"/>
      <c r="AJ3" s="775"/>
      <c r="AK3" s="774"/>
      <c r="AL3" s="775"/>
      <c r="AM3" s="777"/>
    </row>
    <row r="4" spans="1:39" s="61" customFormat="1" ht="19.5" customHeight="1">
      <c r="A4" s="12" t="s">
        <v>11</v>
      </c>
      <c r="B4" s="709">
        <v>6</v>
      </c>
      <c r="C4" s="705">
        <v>358.8</v>
      </c>
      <c r="D4" s="709"/>
      <c r="E4" s="705"/>
      <c r="F4" s="709"/>
      <c r="G4" s="705">
        <v>267.5</v>
      </c>
      <c r="H4" s="1199">
        <f>4+1</f>
        <v>5</v>
      </c>
      <c r="I4" s="1198">
        <f>303.7+300</f>
        <v>603.7</v>
      </c>
      <c r="J4" s="716">
        <v>8</v>
      </c>
      <c r="K4" s="605">
        <v>809</v>
      </c>
      <c r="L4" s="716">
        <v>2</v>
      </c>
      <c r="M4" s="605">
        <v>181</v>
      </c>
      <c r="N4" s="716">
        <v>2</v>
      </c>
      <c r="O4" s="605">
        <v>48.3</v>
      </c>
      <c r="P4" s="716"/>
      <c r="Q4" s="705">
        <v>128.7</v>
      </c>
      <c r="R4" s="716"/>
      <c r="S4" s="605"/>
      <c r="T4" s="716"/>
      <c r="U4" s="605"/>
      <c r="V4" s="716">
        <v>3</v>
      </c>
      <c r="W4" s="605">
        <v>87.4</v>
      </c>
      <c r="X4" s="716">
        <v>5</v>
      </c>
      <c r="Y4" s="605">
        <v>152.1</v>
      </c>
      <c r="Z4" s="709">
        <v>3</v>
      </c>
      <c r="AA4" s="705">
        <v>956.4</v>
      </c>
      <c r="AB4" s="709"/>
      <c r="AC4" s="705"/>
      <c r="AD4" s="709">
        <v>11</v>
      </c>
      <c r="AE4" s="1197">
        <f>351.7+432.2</f>
        <v>783.9</v>
      </c>
      <c r="AF4" s="709">
        <v>3</v>
      </c>
      <c r="AG4" s="705">
        <v>52.2</v>
      </c>
      <c r="AH4" s="709">
        <v>14</v>
      </c>
      <c r="AI4" s="1197">
        <f>767.7+451.6</f>
        <v>1219.3000000000002</v>
      </c>
      <c r="AJ4" s="709">
        <v>31</v>
      </c>
      <c r="AK4" s="705">
        <v>170.5</v>
      </c>
      <c r="AL4" s="728">
        <f aca="true" t="shared" si="0" ref="AL4:AM7">SUM(B4,D4,F4,H4,J4,L4,N4,P4,R4,T4,V4,Z4,X4,AB4,AD4,AF4,AH4,AJ4)</f>
        <v>93</v>
      </c>
      <c r="AM4" s="730">
        <f t="shared" si="0"/>
        <v>5818.8</v>
      </c>
    </row>
    <row r="5" spans="1:40" s="104" customFormat="1" ht="19.5" customHeight="1">
      <c r="A5" s="12" t="s">
        <v>13</v>
      </c>
      <c r="B5" s="1196">
        <f>36+26+6+5+1+4</f>
        <v>78</v>
      </c>
      <c r="C5" s="1197">
        <f>3886.9+36.4+507.1+449.3+533.6+682.1+11.2+69.1</f>
        <v>6175.700000000002</v>
      </c>
      <c r="D5" s="709"/>
      <c r="E5" s="705">
        <v>564</v>
      </c>
      <c r="F5" s="709">
        <v>13</v>
      </c>
      <c r="G5" s="705">
        <v>4823.5</v>
      </c>
      <c r="H5" s="1199">
        <f>27+123+2+6+25+5</f>
        <v>188</v>
      </c>
      <c r="I5" s="1198">
        <f>4315.3+9.5+797+2873.9+109.2+340.7+981+112.6</f>
        <v>9539.2</v>
      </c>
      <c r="J5" s="716">
        <v>32</v>
      </c>
      <c r="K5" s="605">
        <v>4374.2</v>
      </c>
      <c r="L5" s="716">
        <v>9</v>
      </c>
      <c r="M5" s="605">
        <v>1539.2</v>
      </c>
      <c r="N5" s="716">
        <v>25</v>
      </c>
      <c r="O5" s="605">
        <v>3214.7</v>
      </c>
      <c r="P5" s="716">
        <v>3</v>
      </c>
      <c r="Q5" s="705">
        <v>617.1</v>
      </c>
      <c r="R5" s="716">
        <v>4</v>
      </c>
      <c r="S5" s="605">
        <v>4120</v>
      </c>
      <c r="T5" s="716">
        <v>10</v>
      </c>
      <c r="U5" s="605">
        <v>565.9</v>
      </c>
      <c r="V5" s="716">
        <v>32</v>
      </c>
      <c r="W5" s="605">
        <v>4340</v>
      </c>
      <c r="X5" s="716">
        <v>72</v>
      </c>
      <c r="Y5" s="1198">
        <f>7004.2+234.4</f>
        <v>7238.599999999999</v>
      </c>
      <c r="Z5" s="1196">
        <f>35+2+55+1</f>
        <v>93</v>
      </c>
      <c r="AA5" s="1197">
        <f>7977.6+275.4+2529.9+207.5+21.5</f>
        <v>11011.9</v>
      </c>
      <c r="AB5" s="1196">
        <v>12</v>
      </c>
      <c r="AC5" s="1197">
        <v>2870.3</v>
      </c>
      <c r="AD5" s="1196">
        <v>30</v>
      </c>
      <c r="AE5" s="1197">
        <f>4836.7+1842.8+213</f>
        <v>6892.5</v>
      </c>
      <c r="AF5" s="709">
        <v>2</v>
      </c>
      <c r="AG5" s="705">
        <v>1179.5</v>
      </c>
      <c r="AH5" s="709">
        <v>49</v>
      </c>
      <c r="AI5" s="705">
        <v>5211.1</v>
      </c>
      <c r="AJ5" s="709">
        <v>59</v>
      </c>
      <c r="AK5" s="705">
        <v>1822.6</v>
      </c>
      <c r="AL5" s="728">
        <f t="shared" si="0"/>
        <v>711</v>
      </c>
      <c r="AM5" s="730">
        <f>SUM(C5,E5,G5,I5,K5,M5,O5,Q5,S5,U5,W5,AA5,Y5,AC5,AE5,AG5,AI5,AK5)</f>
        <v>76100.00000000003</v>
      </c>
      <c r="AN5" s="734"/>
    </row>
    <row r="6" spans="1:39" s="61" customFormat="1" ht="19.5" customHeight="1">
      <c r="A6" s="12" t="s">
        <v>14</v>
      </c>
      <c r="B6" s="709">
        <v>104</v>
      </c>
      <c r="C6" s="1197">
        <f>9036.1+150.9+105.5</f>
        <v>9292.5</v>
      </c>
      <c r="D6" s="709">
        <v>5</v>
      </c>
      <c r="E6" s="705">
        <v>376.5</v>
      </c>
      <c r="F6" s="709">
        <v>20</v>
      </c>
      <c r="G6" s="705">
        <f>1119.2+240.3</f>
        <v>1359.5</v>
      </c>
      <c r="H6" s="1199">
        <f>5+2</f>
        <v>7</v>
      </c>
      <c r="I6" s="1198">
        <f>388.8+280.9+4993.6</f>
        <v>5663.3</v>
      </c>
      <c r="J6" s="716">
        <v>31</v>
      </c>
      <c r="K6" s="605">
        <v>1984.1</v>
      </c>
      <c r="L6" s="716">
        <v>17</v>
      </c>
      <c r="M6" s="605">
        <v>1232.1</v>
      </c>
      <c r="N6" s="716">
        <v>25</v>
      </c>
      <c r="O6" s="605">
        <v>2299</v>
      </c>
      <c r="P6" s="716">
        <v>8</v>
      </c>
      <c r="Q6" s="705">
        <f>495.1+917.5</f>
        <v>1412.6</v>
      </c>
      <c r="R6" s="716"/>
      <c r="S6" s="605"/>
      <c r="T6" s="716"/>
      <c r="U6" s="605"/>
      <c r="V6" s="716">
        <v>27</v>
      </c>
      <c r="W6" s="605">
        <v>2693.5</v>
      </c>
      <c r="X6" s="716">
        <v>35</v>
      </c>
      <c r="Y6" s="605">
        <v>4351.8</v>
      </c>
      <c r="Z6" s="1196">
        <f>5+2+6</f>
        <v>13</v>
      </c>
      <c r="AA6" s="1197">
        <f>717.3+275.4+80.9</f>
        <v>1073.6</v>
      </c>
      <c r="AB6" s="709">
        <v>10</v>
      </c>
      <c r="AC6" s="705">
        <v>1956</v>
      </c>
      <c r="AD6" s="709">
        <v>42</v>
      </c>
      <c r="AE6" s="1197">
        <f>2893.6+7622.2</f>
        <v>10515.8</v>
      </c>
      <c r="AF6" s="709"/>
      <c r="AG6" s="705"/>
      <c r="AH6" s="709">
        <v>16</v>
      </c>
      <c r="AI6" s="705">
        <v>1612.5</v>
      </c>
      <c r="AJ6" s="709">
        <v>21</v>
      </c>
      <c r="AK6" s="705">
        <v>973.6</v>
      </c>
      <c r="AL6" s="728">
        <f t="shared" si="0"/>
        <v>381</v>
      </c>
      <c r="AM6" s="730">
        <f t="shared" si="0"/>
        <v>46796.39999999999</v>
      </c>
    </row>
    <row r="7" spans="1:39" s="61" customFormat="1" ht="19.5" customHeight="1">
      <c r="A7" s="18" t="s">
        <v>15</v>
      </c>
      <c r="B7" s="710">
        <v>14</v>
      </c>
      <c r="C7" s="706">
        <v>950.3</v>
      </c>
      <c r="D7" s="710"/>
      <c r="E7" s="706"/>
      <c r="F7" s="710"/>
      <c r="G7" s="706"/>
      <c r="H7" s="1200">
        <f>43+1</f>
        <v>44</v>
      </c>
      <c r="I7" s="1201">
        <f>3975.3+160.5+160.5+162.2</f>
        <v>4458.5</v>
      </c>
      <c r="J7" s="717">
        <v>11</v>
      </c>
      <c r="K7" s="718">
        <v>637.3</v>
      </c>
      <c r="L7" s="717">
        <v>8</v>
      </c>
      <c r="M7" s="718">
        <v>1024.8</v>
      </c>
      <c r="N7" s="717">
        <v>2</v>
      </c>
      <c r="O7" s="718">
        <v>48.3</v>
      </c>
      <c r="P7" s="717">
        <v>3</v>
      </c>
      <c r="Q7" s="706">
        <v>144.9</v>
      </c>
      <c r="R7" s="717"/>
      <c r="S7" s="718"/>
      <c r="T7" s="717"/>
      <c r="U7" s="718"/>
      <c r="V7" s="717">
        <v>14</v>
      </c>
      <c r="W7" s="718">
        <v>869.2</v>
      </c>
      <c r="X7" s="1200">
        <f>6+4</f>
        <v>10</v>
      </c>
      <c r="Y7" s="1201">
        <f>395.9+295.6</f>
        <v>691.5</v>
      </c>
      <c r="Z7" s="710">
        <f>49+2</f>
        <v>51</v>
      </c>
      <c r="AA7" s="706">
        <f>1448.4+275.4</f>
        <v>1723.8000000000002</v>
      </c>
      <c r="AB7" s="710"/>
      <c r="AC7" s="706">
        <v>7.7</v>
      </c>
      <c r="AD7" s="710">
        <v>10</v>
      </c>
      <c r="AE7" s="1203">
        <f>297.5+432.2</f>
        <v>729.7</v>
      </c>
      <c r="AF7" s="710">
        <v>2</v>
      </c>
      <c r="AG7" s="706">
        <v>34.8</v>
      </c>
      <c r="AH7" s="710">
        <v>9</v>
      </c>
      <c r="AI7" s="706">
        <v>808.5</v>
      </c>
      <c r="AJ7" s="710">
        <v>59</v>
      </c>
      <c r="AK7" s="706">
        <v>616</v>
      </c>
      <c r="AL7" s="729">
        <f t="shared" si="0"/>
        <v>237</v>
      </c>
      <c r="AM7" s="731">
        <f t="shared" si="0"/>
        <v>12745.300000000001</v>
      </c>
    </row>
    <row r="8" spans="1:39" s="61" customFormat="1" ht="19.5" customHeight="1">
      <c r="A8" s="735" t="s">
        <v>16</v>
      </c>
      <c r="B8" s="778"/>
      <c r="C8" s="779"/>
      <c r="D8" s="778"/>
      <c r="E8" s="779"/>
      <c r="F8" s="778"/>
      <c r="G8" s="779"/>
      <c r="H8" s="780"/>
      <c r="I8" s="781"/>
      <c r="J8" s="780"/>
      <c r="K8" s="781"/>
      <c r="L8" s="780"/>
      <c r="M8" s="781"/>
      <c r="N8" s="780"/>
      <c r="O8" s="781"/>
      <c r="P8" s="780"/>
      <c r="Q8" s="779"/>
      <c r="R8" s="780"/>
      <c r="S8" s="781"/>
      <c r="T8" s="780"/>
      <c r="U8" s="781"/>
      <c r="V8" s="780"/>
      <c r="W8" s="781"/>
      <c r="X8" s="780"/>
      <c r="Y8" s="781"/>
      <c r="Z8" s="778"/>
      <c r="AA8" s="779"/>
      <c r="AB8" s="778"/>
      <c r="AC8" s="779"/>
      <c r="AD8" s="778"/>
      <c r="AE8" s="779"/>
      <c r="AF8" s="778"/>
      <c r="AG8" s="779"/>
      <c r="AH8" s="778"/>
      <c r="AI8" s="779"/>
      <c r="AJ8" s="778"/>
      <c r="AK8" s="779"/>
      <c r="AL8" s="782"/>
      <c r="AM8" s="783"/>
    </row>
    <row r="9" spans="1:39" s="61" customFormat="1" ht="19.5" customHeight="1">
      <c r="A9" s="12" t="s">
        <v>229</v>
      </c>
      <c r="B9" s="709"/>
      <c r="C9" s="705"/>
      <c r="D9" s="709"/>
      <c r="E9" s="705"/>
      <c r="F9" s="709"/>
      <c r="G9" s="705"/>
      <c r="H9" s="716"/>
      <c r="I9" s="605"/>
      <c r="J9" s="716"/>
      <c r="K9" s="605"/>
      <c r="L9" s="716"/>
      <c r="M9" s="605"/>
      <c r="N9" s="716">
        <v>2</v>
      </c>
      <c r="O9" s="605">
        <v>48.3</v>
      </c>
      <c r="P9" s="716"/>
      <c r="Q9" s="705"/>
      <c r="R9" s="716"/>
      <c r="S9" s="605"/>
      <c r="T9" s="716"/>
      <c r="U9" s="605"/>
      <c r="V9" s="716"/>
      <c r="W9" s="605"/>
      <c r="X9" s="716"/>
      <c r="Y9" s="605"/>
      <c r="Z9" s="709"/>
      <c r="AA9" s="705"/>
      <c r="AB9" s="709"/>
      <c r="AC9" s="705"/>
      <c r="AD9" s="709"/>
      <c r="AE9" s="705"/>
      <c r="AF9" s="709"/>
      <c r="AG9" s="705"/>
      <c r="AH9" s="709"/>
      <c r="AI9" s="705"/>
      <c r="AJ9" s="709"/>
      <c r="AK9" s="705"/>
      <c r="AL9" s="728">
        <f aca="true" t="shared" si="1" ref="AL9:AM13">SUM(B9,D9,F9,H9,J9,L9,N9,P9,R9,T9,V9,Z9,X9,AB9,AD9,AF9,AH9,AJ9)</f>
        <v>2</v>
      </c>
      <c r="AM9" s="730">
        <f t="shared" si="1"/>
        <v>48.3</v>
      </c>
    </row>
    <row r="10" spans="1:39" s="61" customFormat="1" ht="19.5" customHeight="1">
      <c r="A10" s="12" t="s">
        <v>17</v>
      </c>
      <c r="B10" s="709">
        <v>6</v>
      </c>
      <c r="C10" s="705">
        <v>461</v>
      </c>
      <c r="D10" s="709"/>
      <c r="E10" s="705"/>
      <c r="F10" s="709"/>
      <c r="G10" s="705"/>
      <c r="H10" s="716">
        <v>4</v>
      </c>
      <c r="I10" s="605">
        <v>168.5</v>
      </c>
      <c r="J10" s="716">
        <v>2</v>
      </c>
      <c r="K10" s="605">
        <v>62.2</v>
      </c>
      <c r="L10" s="716">
        <v>2</v>
      </c>
      <c r="M10" s="605">
        <v>181</v>
      </c>
      <c r="N10" s="716">
        <v>2</v>
      </c>
      <c r="O10" s="605">
        <v>48.3</v>
      </c>
      <c r="P10" s="716"/>
      <c r="Q10" s="705"/>
      <c r="R10" s="716"/>
      <c r="S10" s="605"/>
      <c r="T10" s="716"/>
      <c r="U10" s="605"/>
      <c r="V10" s="716">
        <v>6</v>
      </c>
      <c r="W10" s="605">
        <v>442.5</v>
      </c>
      <c r="X10" s="716">
        <v>2</v>
      </c>
      <c r="Y10" s="605">
        <v>10.2</v>
      </c>
      <c r="Z10" s="709">
        <v>2</v>
      </c>
      <c r="AA10" s="705">
        <v>667.4</v>
      </c>
      <c r="AB10" s="709"/>
      <c r="AC10" s="705"/>
      <c r="AD10" s="709">
        <v>1</v>
      </c>
      <c r="AE10" s="1197">
        <f>191.4+2848.4</f>
        <v>3039.8</v>
      </c>
      <c r="AF10" s="709">
        <v>1</v>
      </c>
      <c r="AG10" s="705">
        <v>307.1</v>
      </c>
      <c r="AH10" s="1196"/>
      <c r="AI10" s="1197"/>
      <c r="AJ10" s="709">
        <v>2</v>
      </c>
      <c r="AK10" s="705">
        <v>52.7</v>
      </c>
      <c r="AL10" s="728">
        <f t="shared" si="1"/>
        <v>30</v>
      </c>
      <c r="AM10" s="730">
        <f t="shared" si="1"/>
        <v>5440.700000000001</v>
      </c>
    </row>
    <row r="11" spans="1:39" s="61" customFormat="1" ht="19.5" customHeight="1">
      <c r="A11" s="12" t="s">
        <v>18</v>
      </c>
      <c r="B11" s="709"/>
      <c r="C11" s="705"/>
      <c r="D11" s="709"/>
      <c r="E11" s="705"/>
      <c r="F11" s="709"/>
      <c r="G11" s="705"/>
      <c r="H11" s="716"/>
      <c r="I11" s="605"/>
      <c r="J11" s="716"/>
      <c r="K11" s="605"/>
      <c r="L11" s="716">
        <v>1</v>
      </c>
      <c r="M11" s="605">
        <v>90.5</v>
      </c>
      <c r="N11" s="716">
        <v>2</v>
      </c>
      <c r="O11" s="605">
        <v>48.3</v>
      </c>
      <c r="P11" s="716"/>
      <c r="Q11" s="705"/>
      <c r="R11" s="716"/>
      <c r="S11" s="605"/>
      <c r="T11" s="716"/>
      <c r="U11" s="605"/>
      <c r="V11" s="716">
        <v>6</v>
      </c>
      <c r="W11" s="605">
        <v>372.3</v>
      </c>
      <c r="X11" s="716"/>
      <c r="Y11" s="605"/>
      <c r="Z11" s="709">
        <v>1</v>
      </c>
      <c r="AA11" s="705">
        <v>85.6</v>
      </c>
      <c r="AB11" s="709"/>
      <c r="AC11" s="705"/>
      <c r="AD11" s="709"/>
      <c r="AE11" s="705"/>
      <c r="AF11" s="709"/>
      <c r="AG11" s="705"/>
      <c r="AH11" s="709"/>
      <c r="AI11" s="705"/>
      <c r="AJ11" s="709"/>
      <c r="AK11" s="705"/>
      <c r="AL11" s="728">
        <f t="shared" si="1"/>
        <v>10</v>
      </c>
      <c r="AM11" s="730">
        <f t="shared" si="1"/>
        <v>596.7</v>
      </c>
    </row>
    <row r="12" spans="1:39" s="61" customFormat="1" ht="19.5" customHeight="1">
      <c r="A12" s="12" t="s">
        <v>19</v>
      </c>
      <c r="B12" s="709">
        <v>5</v>
      </c>
      <c r="C12" s="705">
        <v>236</v>
      </c>
      <c r="D12" s="709"/>
      <c r="E12" s="705"/>
      <c r="F12" s="709"/>
      <c r="G12" s="705"/>
      <c r="H12" s="716">
        <v>2</v>
      </c>
      <c r="I12" s="605">
        <v>77.1</v>
      </c>
      <c r="J12" s="716"/>
      <c r="K12" s="605"/>
      <c r="L12" s="716"/>
      <c r="M12" s="605"/>
      <c r="N12" s="716">
        <v>2</v>
      </c>
      <c r="O12" s="605">
        <v>48.3</v>
      </c>
      <c r="P12" s="716"/>
      <c r="Q12" s="705"/>
      <c r="R12" s="716"/>
      <c r="S12" s="605"/>
      <c r="T12" s="716"/>
      <c r="U12" s="605"/>
      <c r="V12" s="716">
        <v>5</v>
      </c>
      <c r="W12" s="605">
        <v>447.8</v>
      </c>
      <c r="X12" s="716">
        <v>1</v>
      </c>
      <c r="Y12" s="605">
        <v>95.2</v>
      </c>
      <c r="Z12" s="709">
        <v>5</v>
      </c>
      <c r="AA12" s="705">
        <v>359.6</v>
      </c>
      <c r="AB12" s="709"/>
      <c r="AC12" s="705"/>
      <c r="AD12" s="709"/>
      <c r="AE12" s="705"/>
      <c r="AF12" s="709"/>
      <c r="AG12" s="705"/>
      <c r="AH12" s="709"/>
      <c r="AI12" s="705"/>
      <c r="AJ12" s="709">
        <v>6</v>
      </c>
      <c r="AK12" s="705">
        <v>116.4</v>
      </c>
      <c r="AL12" s="728">
        <f t="shared" si="1"/>
        <v>26</v>
      </c>
      <c r="AM12" s="730">
        <f t="shared" si="1"/>
        <v>1380.4000000000003</v>
      </c>
    </row>
    <row r="13" spans="1:39" s="61" customFormat="1" ht="19.5" customHeight="1">
      <c r="A13" s="12" t="s">
        <v>228</v>
      </c>
      <c r="B13" s="709"/>
      <c r="C13" s="705"/>
      <c r="D13" s="709"/>
      <c r="E13" s="705"/>
      <c r="F13" s="709"/>
      <c r="G13" s="705"/>
      <c r="H13" s="716"/>
      <c r="I13" s="605"/>
      <c r="J13" s="716"/>
      <c r="K13" s="605"/>
      <c r="L13" s="716"/>
      <c r="M13" s="605"/>
      <c r="N13" s="716">
        <v>2</v>
      </c>
      <c r="O13" s="605">
        <v>48.3</v>
      </c>
      <c r="P13" s="716"/>
      <c r="Q13" s="705"/>
      <c r="R13" s="716"/>
      <c r="S13" s="605"/>
      <c r="T13" s="716"/>
      <c r="U13" s="605"/>
      <c r="V13" s="716">
        <v>2</v>
      </c>
      <c r="W13" s="605">
        <v>169.4</v>
      </c>
      <c r="X13" s="716"/>
      <c r="Y13" s="605"/>
      <c r="Z13" s="709"/>
      <c r="AA13" s="705"/>
      <c r="AB13" s="709"/>
      <c r="AC13" s="705"/>
      <c r="AD13" s="709"/>
      <c r="AE13" s="705"/>
      <c r="AF13" s="709"/>
      <c r="AG13" s="705"/>
      <c r="AH13" s="709"/>
      <c r="AI13" s="705"/>
      <c r="AJ13" s="709"/>
      <c r="AK13" s="705"/>
      <c r="AL13" s="728">
        <f t="shared" si="1"/>
        <v>4</v>
      </c>
      <c r="AM13" s="730">
        <f t="shared" si="1"/>
        <v>217.7</v>
      </c>
    </row>
    <row r="14" spans="1:39" s="61" customFormat="1" ht="19.5" customHeight="1">
      <c r="A14" s="18" t="s">
        <v>20</v>
      </c>
      <c r="B14" s="1202">
        <f>1+18</f>
        <v>19</v>
      </c>
      <c r="C14" s="1203">
        <f>123+2659+770.2+395.2</f>
        <v>3947.3999999999996</v>
      </c>
      <c r="D14" s="710"/>
      <c r="E14" s="706"/>
      <c r="F14" s="710"/>
      <c r="G14" s="706"/>
      <c r="H14" s="717"/>
      <c r="I14" s="718"/>
      <c r="J14" s="717"/>
      <c r="K14" s="718"/>
      <c r="L14" s="717"/>
      <c r="M14" s="718"/>
      <c r="N14" s="717"/>
      <c r="O14" s="718"/>
      <c r="P14" s="717"/>
      <c r="Q14" s="706"/>
      <c r="R14" s="717"/>
      <c r="S14" s="718"/>
      <c r="T14" s="717"/>
      <c r="U14" s="718"/>
      <c r="V14" s="717">
        <v>6</v>
      </c>
      <c r="W14" s="718">
        <v>625</v>
      </c>
      <c r="X14" s="717">
        <v>1</v>
      </c>
      <c r="Y14" s="718">
        <v>152.8</v>
      </c>
      <c r="Z14" s="1202">
        <f>23+20</f>
        <v>43</v>
      </c>
      <c r="AA14" s="1203">
        <f>337.3+2661</f>
        <v>2998.3</v>
      </c>
      <c r="AB14" s="1202"/>
      <c r="AC14" s="706"/>
      <c r="AD14" s="710"/>
      <c r="AE14" s="706">
        <v>149.6</v>
      </c>
      <c r="AF14" s="710">
        <v>1</v>
      </c>
      <c r="AG14" s="706">
        <v>17.4</v>
      </c>
      <c r="AH14" s="710"/>
      <c r="AI14" s="706"/>
      <c r="AJ14" s="710"/>
      <c r="AK14" s="706"/>
      <c r="AL14" s="729">
        <f>SUM(B14,D14,,F14,H14,J14,L14,N14,P14,R14,T14,V14,Z14,X14,AB14,AD14,AF14,AH14,AJ14)</f>
        <v>70</v>
      </c>
      <c r="AM14" s="725">
        <f>SUM(C14,E14,G14,I14,K14,M14,O14,Q14,S14,U14,W14,AA14,Y14,AC14,AE14,AG14,AI14,AK14)</f>
        <v>7890.5</v>
      </c>
    </row>
    <row r="15" spans="1:39" s="104" customFormat="1" ht="19.5" customHeight="1">
      <c r="A15" s="735" t="s">
        <v>21</v>
      </c>
      <c r="B15" s="778"/>
      <c r="C15" s="779"/>
      <c r="D15" s="778"/>
      <c r="E15" s="779"/>
      <c r="F15" s="778"/>
      <c r="G15" s="779"/>
      <c r="H15" s="780"/>
      <c r="I15" s="781"/>
      <c r="J15" s="780"/>
      <c r="K15" s="781"/>
      <c r="L15" s="780"/>
      <c r="M15" s="781"/>
      <c r="N15" s="780"/>
      <c r="O15" s="781"/>
      <c r="P15" s="780"/>
      <c r="Q15" s="779"/>
      <c r="R15" s="780"/>
      <c r="S15" s="781"/>
      <c r="T15" s="780"/>
      <c r="U15" s="781"/>
      <c r="V15" s="780"/>
      <c r="W15" s="781"/>
      <c r="X15" s="780"/>
      <c r="Y15" s="781"/>
      <c r="Z15" s="778"/>
      <c r="AA15" s="779"/>
      <c r="AB15" s="778"/>
      <c r="AC15" s="779"/>
      <c r="AD15" s="778"/>
      <c r="AE15" s="779"/>
      <c r="AF15" s="778"/>
      <c r="AG15" s="779"/>
      <c r="AH15" s="778"/>
      <c r="AI15" s="779"/>
      <c r="AJ15" s="778"/>
      <c r="AK15" s="779"/>
      <c r="AL15" s="782"/>
      <c r="AM15" s="783"/>
    </row>
    <row r="16" spans="1:39" s="104" customFormat="1" ht="19.5" customHeight="1">
      <c r="A16" s="12" t="s">
        <v>22</v>
      </c>
      <c r="B16" s="709">
        <f>7+28</f>
        <v>35</v>
      </c>
      <c r="C16" s="705">
        <f>562.1+266+84.9+428.4+385.4+69.1+153.2</f>
        <v>1949.1000000000001</v>
      </c>
      <c r="D16" s="709"/>
      <c r="E16" s="705"/>
      <c r="F16" s="709"/>
      <c r="G16" s="705"/>
      <c r="H16" s="716">
        <v>1</v>
      </c>
      <c r="I16" s="605">
        <v>1295.2</v>
      </c>
      <c r="J16" s="716">
        <v>4</v>
      </c>
      <c r="K16" s="605">
        <v>682.4</v>
      </c>
      <c r="L16" s="716">
        <v>6</v>
      </c>
      <c r="M16" s="605">
        <v>229.6</v>
      </c>
      <c r="N16" s="716"/>
      <c r="O16" s="605"/>
      <c r="P16" s="716"/>
      <c r="Q16" s="705"/>
      <c r="R16" s="716"/>
      <c r="S16" s="605"/>
      <c r="T16" s="716"/>
      <c r="U16" s="605"/>
      <c r="V16" s="716">
        <v>2</v>
      </c>
      <c r="W16" s="605">
        <v>177.6</v>
      </c>
      <c r="X16" s="716"/>
      <c r="Y16" s="605"/>
      <c r="Z16" s="709">
        <f>1+23+2</f>
        <v>26</v>
      </c>
      <c r="AA16" s="705">
        <f>99.2+335.2+183.6+295.6+358.4+129.6+275.4</f>
        <v>1677</v>
      </c>
      <c r="AB16" s="709">
        <v>7</v>
      </c>
      <c r="AC16" s="705">
        <f>126+99.9+285.3</f>
        <v>511.20000000000005</v>
      </c>
      <c r="AD16" s="709"/>
      <c r="AE16" s="705"/>
      <c r="AF16" s="709">
        <v>1</v>
      </c>
      <c r="AG16" s="705">
        <v>17.4</v>
      </c>
      <c r="AH16" s="709">
        <v>4</v>
      </c>
      <c r="AI16" s="705">
        <v>78</v>
      </c>
      <c r="AJ16" s="709"/>
      <c r="AK16" s="705"/>
      <c r="AL16" s="728">
        <f>SUM(B16,D16,F16,H16,J16,L16,N16,P16,R16,T16,V16,Z16,X16,AB16,AD16,AF16,AH16,AJ16)</f>
        <v>86</v>
      </c>
      <c r="AM16" s="730">
        <f>SUM(C16,E16,G16,I16,K16,M16,O16,Q16,S16,U16,W16,AA16,Y16,AC16,AE16,AG16,AI16,AK16)</f>
        <v>6617.5</v>
      </c>
    </row>
    <row r="17" spans="1:39" s="333" customFormat="1" ht="19.5" customHeight="1">
      <c r="A17" s="18" t="s">
        <v>23</v>
      </c>
      <c r="B17" s="710">
        <v>1</v>
      </c>
      <c r="C17" s="706">
        <v>174</v>
      </c>
      <c r="D17" s="710"/>
      <c r="E17" s="706"/>
      <c r="F17" s="710"/>
      <c r="G17" s="706"/>
      <c r="H17" s="717"/>
      <c r="I17" s="1201">
        <v>1362.8</v>
      </c>
      <c r="J17" s="717"/>
      <c r="K17" s="718">
        <v>208.5</v>
      </c>
      <c r="L17" s="717">
        <v>2</v>
      </c>
      <c r="M17" s="718">
        <v>181</v>
      </c>
      <c r="N17" s="717"/>
      <c r="O17" s="718">
        <v>128.7</v>
      </c>
      <c r="P17" s="717"/>
      <c r="Q17" s="706"/>
      <c r="R17" s="717"/>
      <c r="S17" s="718"/>
      <c r="T17" s="717"/>
      <c r="U17" s="718"/>
      <c r="V17" s="717">
        <v>2</v>
      </c>
      <c r="W17" s="718">
        <v>274.7</v>
      </c>
      <c r="X17" s="717"/>
      <c r="Y17" s="718">
        <v>297.4</v>
      </c>
      <c r="Z17" s="710">
        <v>3</v>
      </c>
      <c r="AA17" s="706">
        <v>273.2</v>
      </c>
      <c r="AB17" s="710"/>
      <c r="AC17" s="706"/>
      <c r="AD17" s="710"/>
      <c r="AE17" s="706"/>
      <c r="AF17" s="710"/>
      <c r="AG17" s="706"/>
      <c r="AH17" s="710"/>
      <c r="AI17" s="706"/>
      <c r="AJ17" s="710">
        <v>3</v>
      </c>
      <c r="AK17" s="706">
        <v>16.5</v>
      </c>
      <c r="AL17" s="729">
        <f>SUM(B17,D17,F17,H17,J17,L17,N17,P17,R17,T17,V17,Z17,X17,AB17,AD17,AF17,AH17,AJ17)</f>
        <v>11</v>
      </c>
      <c r="AM17" s="731">
        <f>SUM(C17,E17,G17,I17,K17,M17,O17,Q17,S17,U17,W17,AA17,Y17,AC17,AE17,AG17,AI17,AK17)</f>
        <v>2916.7999999999997</v>
      </c>
    </row>
    <row r="18" spans="1:39" s="104" customFormat="1" ht="19.5" customHeight="1">
      <c r="A18" s="753" t="s">
        <v>24</v>
      </c>
      <c r="B18" s="778"/>
      <c r="C18" s="779"/>
      <c r="D18" s="778"/>
      <c r="E18" s="779"/>
      <c r="F18" s="778"/>
      <c r="G18" s="779"/>
      <c r="H18" s="780"/>
      <c r="I18" s="781"/>
      <c r="J18" s="780"/>
      <c r="K18" s="781"/>
      <c r="L18" s="780"/>
      <c r="M18" s="781"/>
      <c r="N18" s="780"/>
      <c r="O18" s="781"/>
      <c r="P18" s="780"/>
      <c r="Q18" s="779"/>
      <c r="R18" s="780"/>
      <c r="S18" s="781"/>
      <c r="T18" s="780"/>
      <c r="U18" s="781"/>
      <c r="V18" s="780"/>
      <c r="W18" s="781"/>
      <c r="X18" s="780"/>
      <c r="Y18" s="781"/>
      <c r="Z18" s="778"/>
      <c r="AA18" s="779"/>
      <c r="AB18" s="778"/>
      <c r="AC18" s="779"/>
      <c r="AD18" s="778"/>
      <c r="AE18" s="779"/>
      <c r="AF18" s="778"/>
      <c r="AG18" s="779"/>
      <c r="AH18" s="778"/>
      <c r="AI18" s="779"/>
      <c r="AJ18" s="778"/>
      <c r="AK18" s="779"/>
      <c r="AL18" s="782"/>
      <c r="AM18" s="783"/>
    </row>
    <row r="19" spans="1:39" s="104" customFormat="1" ht="19.5" customHeight="1">
      <c r="A19" s="12" t="s">
        <v>25</v>
      </c>
      <c r="B19" s="709"/>
      <c r="C19" s="705"/>
      <c r="D19" s="709"/>
      <c r="E19" s="705"/>
      <c r="F19" s="709"/>
      <c r="G19" s="705"/>
      <c r="H19" s="716"/>
      <c r="I19" s="605"/>
      <c r="J19" s="716"/>
      <c r="K19" s="605"/>
      <c r="L19" s="716"/>
      <c r="M19" s="605"/>
      <c r="N19" s="716"/>
      <c r="O19" s="605"/>
      <c r="P19" s="716"/>
      <c r="Q19" s="705"/>
      <c r="R19" s="716"/>
      <c r="S19" s="605"/>
      <c r="T19" s="716"/>
      <c r="U19" s="605"/>
      <c r="V19" s="716">
        <v>2</v>
      </c>
      <c r="W19" s="605">
        <v>198.8</v>
      </c>
      <c r="X19" s="716"/>
      <c r="Y19" s="605"/>
      <c r="Z19" s="709">
        <v>2</v>
      </c>
      <c r="AA19" s="705">
        <v>219.7</v>
      </c>
      <c r="AB19" s="709"/>
      <c r="AC19" s="705"/>
      <c r="AD19" s="709"/>
      <c r="AE19" s="1197">
        <v>3375.1</v>
      </c>
      <c r="AF19" s="709"/>
      <c r="AG19" s="705"/>
      <c r="AH19" s="709"/>
      <c r="AI19" s="705"/>
      <c r="AJ19" s="709"/>
      <c r="AK19" s="705"/>
      <c r="AL19" s="728">
        <f>SUM(B19,D19,F19,H19,J19,L19,N19,P19,R19,T19,V19,Z19,X19,AB19,AD19,AF19,AH19,AJ19)</f>
        <v>4</v>
      </c>
      <c r="AM19" s="730">
        <f>SUM(C19,E19,G19,I19,K19,M19,O19,Q19,S19,U19,W19,AA19,Y19,AC19,AE19,AG19,AI19,AK19)</f>
        <v>3793.6</v>
      </c>
    </row>
    <row r="20" spans="1:39" s="104" customFormat="1" ht="19.5" customHeight="1">
      <c r="A20" s="12" t="s">
        <v>26</v>
      </c>
      <c r="B20" s="709">
        <v>5</v>
      </c>
      <c r="C20" s="705">
        <v>655.6</v>
      </c>
      <c r="D20" s="709"/>
      <c r="E20" s="705"/>
      <c r="F20" s="709"/>
      <c r="G20" s="705"/>
      <c r="H20" s="716"/>
      <c r="I20" s="605"/>
      <c r="J20" s="716">
        <v>1</v>
      </c>
      <c r="K20" s="605">
        <v>132.7</v>
      </c>
      <c r="L20" s="716">
        <v>1</v>
      </c>
      <c r="M20" s="605">
        <v>90.5</v>
      </c>
      <c r="N20" s="716"/>
      <c r="O20" s="605"/>
      <c r="P20" s="716">
        <v>2</v>
      </c>
      <c r="Q20" s="705">
        <v>213.1</v>
      </c>
      <c r="R20" s="716"/>
      <c r="S20" s="605"/>
      <c r="T20" s="716"/>
      <c r="U20" s="605"/>
      <c r="V20" s="716">
        <v>3</v>
      </c>
      <c r="W20" s="605">
        <v>276.4</v>
      </c>
      <c r="X20" s="716">
        <v>3</v>
      </c>
      <c r="Y20" s="605">
        <v>644.9</v>
      </c>
      <c r="Z20" s="709">
        <v>1</v>
      </c>
      <c r="AA20" s="705">
        <v>395.4</v>
      </c>
      <c r="AB20" s="709">
        <v>1</v>
      </c>
      <c r="AC20" s="705">
        <v>647</v>
      </c>
      <c r="AD20" s="709">
        <v>1</v>
      </c>
      <c r="AE20" s="1197">
        <f>409.5+2355.3</f>
        <v>2764.8</v>
      </c>
      <c r="AF20" s="709"/>
      <c r="AG20" s="705"/>
      <c r="AH20" s="709"/>
      <c r="AI20" s="705">
        <v>490</v>
      </c>
      <c r="AJ20" s="709">
        <v>11</v>
      </c>
      <c r="AK20" s="705">
        <v>143.9</v>
      </c>
      <c r="AL20" s="728">
        <f aca="true" t="shared" si="2" ref="AL20:AM29">SUM(B20,D20,F20,H20,J20,L20,N20,P20,R20,T20,V20,Z20,X20,AB20,AD20,AF20,AH20,AJ20)</f>
        <v>29</v>
      </c>
      <c r="AM20" s="730">
        <f t="shared" si="2"/>
        <v>6454.299999999999</v>
      </c>
    </row>
    <row r="21" spans="1:39" s="104" customFormat="1" ht="19.5" customHeight="1">
      <c r="A21" s="12" t="s">
        <v>27</v>
      </c>
      <c r="B21" s="709">
        <v>3</v>
      </c>
      <c r="C21" s="705">
        <v>2035.6</v>
      </c>
      <c r="D21" s="709"/>
      <c r="E21" s="705"/>
      <c r="F21" s="709">
        <v>2</v>
      </c>
      <c r="G21" s="705">
        <v>153.6</v>
      </c>
      <c r="H21" s="716">
        <v>10</v>
      </c>
      <c r="I21" s="605">
        <f>974+1930</f>
        <v>2904</v>
      </c>
      <c r="J21" s="716"/>
      <c r="K21" s="605"/>
      <c r="L21" s="716"/>
      <c r="M21" s="605"/>
      <c r="N21" s="716">
        <v>3</v>
      </c>
      <c r="O21" s="605">
        <v>426.6</v>
      </c>
      <c r="P21" s="716">
        <v>3</v>
      </c>
      <c r="Q21" s="705">
        <v>272.4</v>
      </c>
      <c r="R21" s="716"/>
      <c r="S21" s="605"/>
      <c r="T21" s="716">
        <v>2</v>
      </c>
      <c r="U21" s="605">
        <v>352.6</v>
      </c>
      <c r="V21" s="716">
        <v>1</v>
      </c>
      <c r="W21" s="605">
        <f>173.4+76.6</f>
        <v>250</v>
      </c>
      <c r="X21" s="716">
        <v>11</v>
      </c>
      <c r="Y21" s="605">
        <v>689.8</v>
      </c>
      <c r="Z21" s="709">
        <v>10</v>
      </c>
      <c r="AA21" s="705">
        <v>549.3</v>
      </c>
      <c r="AB21" s="709">
        <v>5</v>
      </c>
      <c r="AC21" s="705">
        <v>510.8</v>
      </c>
      <c r="AD21" s="709">
        <v>12</v>
      </c>
      <c r="AE21" s="705">
        <v>820.5</v>
      </c>
      <c r="AF21" s="709">
        <v>2</v>
      </c>
      <c r="AG21" s="705">
        <v>34.8</v>
      </c>
      <c r="AH21" s="709">
        <v>8</v>
      </c>
      <c r="AI21" s="705">
        <v>1780.7</v>
      </c>
      <c r="AJ21" s="709">
        <v>6</v>
      </c>
      <c r="AK21" s="705">
        <v>116.4</v>
      </c>
      <c r="AL21" s="728">
        <f t="shared" si="2"/>
        <v>78</v>
      </c>
      <c r="AM21" s="730">
        <f t="shared" si="2"/>
        <v>10897.1</v>
      </c>
    </row>
    <row r="22" spans="1:39" s="61" customFormat="1" ht="19.5" customHeight="1">
      <c r="A22" s="12" t="s">
        <v>28</v>
      </c>
      <c r="B22" s="709"/>
      <c r="C22" s="705"/>
      <c r="D22" s="709"/>
      <c r="E22" s="705"/>
      <c r="F22" s="709"/>
      <c r="G22" s="705"/>
      <c r="H22" s="716"/>
      <c r="I22" s="605"/>
      <c r="J22" s="716"/>
      <c r="K22" s="605"/>
      <c r="L22" s="716"/>
      <c r="M22" s="605"/>
      <c r="N22" s="716"/>
      <c r="O22" s="605"/>
      <c r="P22" s="716">
        <v>2</v>
      </c>
      <c r="Q22" s="705">
        <v>217</v>
      </c>
      <c r="R22" s="716"/>
      <c r="S22" s="605"/>
      <c r="T22" s="716"/>
      <c r="U22" s="605"/>
      <c r="V22" s="716"/>
      <c r="W22" s="605"/>
      <c r="X22" s="716"/>
      <c r="Y22" s="605"/>
      <c r="Z22" s="709"/>
      <c r="AA22" s="705"/>
      <c r="AB22" s="709"/>
      <c r="AC22" s="705"/>
      <c r="AD22" s="709"/>
      <c r="AE22" s="705"/>
      <c r="AF22" s="709"/>
      <c r="AG22" s="705"/>
      <c r="AH22" s="709"/>
      <c r="AI22" s="705"/>
      <c r="AJ22" s="709"/>
      <c r="AK22" s="705"/>
      <c r="AL22" s="728">
        <f t="shared" si="2"/>
        <v>2</v>
      </c>
      <c r="AM22" s="730">
        <f t="shared" si="2"/>
        <v>217</v>
      </c>
    </row>
    <row r="23" spans="1:39" s="333" customFormat="1" ht="19.5" customHeight="1">
      <c r="A23" s="12" t="s">
        <v>29</v>
      </c>
      <c r="B23" s="709"/>
      <c r="C23" s="705"/>
      <c r="D23" s="709"/>
      <c r="E23" s="705"/>
      <c r="F23" s="709"/>
      <c r="G23" s="705"/>
      <c r="H23" s="716"/>
      <c r="I23" s="605"/>
      <c r="J23" s="716"/>
      <c r="K23" s="605"/>
      <c r="L23" s="716"/>
      <c r="M23" s="605"/>
      <c r="N23" s="716"/>
      <c r="O23" s="605"/>
      <c r="P23" s="716"/>
      <c r="Q23" s="705"/>
      <c r="R23" s="716"/>
      <c r="S23" s="605"/>
      <c r="T23" s="716"/>
      <c r="U23" s="605"/>
      <c r="V23" s="716"/>
      <c r="W23" s="605"/>
      <c r="X23" s="716"/>
      <c r="Y23" s="605"/>
      <c r="Z23" s="709"/>
      <c r="AA23" s="705"/>
      <c r="AB23" s="709"/>
      <c r="AC23" s="705"/>
      <c r="AD23" s="709"/>
      <c r="AE23" s="705"/>
      <c r="AF23" s="709"/>
      <c r="AG23" s="705"/>
      <c r="AH23" s="709"/>
      <c r="AI23" s="705"/>
      <c r="AJ23" s="709">
        <v>3</v>
      </c>
      <c r="AK23" s="705">
        <v>16.5</v>
      </c>
      <c r="AL23" s="728">
        <f t="shared" si="2"/>
        <v>3</v>
      </c>
      <c r="AM23" s="730">
        <f t="shared" si="2"/>
        <v>16.5</v>
      </c>
    </row>
    <row r="24" spans="1:39" s="333" customFormat="1" ht="19.5" customHeight="1">
      <c r="A24" s="12" t="s">
        <v>498</v>
      </c>
      <c r="B24" s="709"/>
      <c r="C24" s="705"/>
      <c r="D24" s="709"/>
      <c r="E24" s="705"/>
      <c r="F24" s="709"/>
      <c r="G24" s="705"/>
      <c r="H24" s="716"/>
      <c r="I24" s="605"/>
      <c r="J24" s="716"/>
      <c r="K24" s="605"/>
      <c r="L24" s="716"/>
      <c r="M24" s="605"/>
      <c r="N24" s="716"/>
      <c r="O24" s="605"/>
      <c r="P24" s="716"/>
      <c r="Q24" s="705"/>
      <c r="R24" s="716"/>
      <c r="S24" s="605"/>
      <c r="T24" s="716"/>
      <c r="U24" s="605"/>
      <c r="V24" s="716"/>
      <c r="W24" s="605"/>
      <c r="X24" s="716">
        <v>1</v>
      </c>
      <c r="Y24" s="605">
        <v>132.1</v>
      </c>
      <c r="Z24" s="709"/>
      <c r="AA24" s="705"/>
      <c r="AB24" s="709"/>
      <c r="AC24" s="705"/>
      <c r="AD24" s="709"/>
      <c r="AE24" s="705"/>
      <c r="AF24" s="709"/>
      <c r="AG24" s="705"/>
      <c r="AH24" s="709"/>
      <c r="AI24" s="705"/>
      <c r="AJ24" s="709"/>
      <c r="AK24" s="705"/>
      <c r="AL24" s="728">
        <f>SUM(B24,D24,F24,H24,J24,L24,N24,P24,R24,T24,V24,Z24,X24,AB24,AD24,AF24,AH24,AJ24)</f>
        <v>1</v>
      </c>
      <c r="AM24" s="730">
        <f>SUM(C24,E24,G24,I24,K24,M24,O24,Q24,S24,U24,W24,AA24,Y24,AC24,AE24,AG24,AI24,AK24)</f>
        <v>132.1</v>
      </c>
    </row>
    <row r="25" spans="1:39" s="61" customFormat="1" ht="19.5" customHeight="1">
      <c r="A25" s="12" t="s">
        <v>30</v>
      </c>
      <c r="B25" s="709">
        <v>3</v>
      </c>
      <c r="C25" s="705">
        <v>416.7</v>
      </c>
      <c r="D25" s="709"/>
      <c r="E25" s="705"/>
      <c r="F25" s="709"/>
      <c r="G25" s="705"/>
      <c r="H25" s="716"/>
      <c r="I25" s="605"/>
      <c r="J25" s="716"/>
      <c r="K25" s="605"/>
      <c r="L25" s="716"/>
      <c r="M25" s="605"/>
      <c r="N25" s="716"/>
      <c r="O25" s="605"/>
      <c r="P25" s="716"/>
      <c r="Q25" s="705"/>
      <c r="R25" s="716"/>
      <c r="S25" s="605"/>
      <c r="T25" s="716"/>
      <c r="U25" s="605"/>
      <c r="V25" s="716">
        <v>1</v>
      </c>
      <c r="W25" s="605">
        <v>123.7</v>
      </c>
      <c r="X25" s="716"/>
      <c r="Y25" s="605"/>
      <c r="Z25" s="709">
        <v>5</v>
      </c>
      <c r="AA25" s="705">
        <v>551</v>
      </c>
      <c r="AB25" s="709"/>
      <c r="AC25" s="705"/>
      <c r="AD25" s="709">
        <v>1</v>
      </c>
      <c r="AE25" s="705">
        <v>225</v>
      </c>
      <c r="AF25" s="709"/>
      <c r="AG25" s="705"/>
      <c r="AH25" s="709"/>
      <c r="AI25" s="705"/>
      <c r="AJ25" s="709">
        <v>4</v>
      </c>
      <c r="AK25" s="705">
        <v>22</v>
      </c>
      <c r="AL25" s="728">
        <f t="shared" si="2"/>
        <v>14</v>
      </c>
      <c r="AM25" s="730">
        <f t="shared" si="2"/>
        <v>1338.4</v>
      </c>
    </row>
    <row r="26" spans="1:39" ht="19.5" customHeight="1">
      <c r="A26" s="12" t="s">
        <v>31</v>
      </c>
      <c r="B26" s="709">
        <v>6</v>
      </c>
      <c r="C26" s="705">
        <v>873.1</v>
      </c>
      <c r="D26" s="709"/>
      <c r="E26" s="705"/>
      <c r="F26" s="709"/>
      <c r="G26" s="705">
        <v>102.7</v>
      </c>
      <c r="H26" s="716"/>
      <c r="I26" s="605"/>
      <c r="J26" s="716"/>
      <c r="K26" s="605"/>
      <c r="L26" s="716"/>
      <c r="M26" s="605"/>
      <c r="N26" s="716"/>
      <c r="O26" s="605">
        <v>96.6</v>
      </c>
      <c r="P26" s="716"/>
      <c r="Q26" s="705"/>
      <c r="R26" s="716"/>
      <c r="S26" s="605"/>
      <c r="T26" s="716"/>
      <c r="U26" s="605"/>
      <c r="V26" s="716"/>
      <c r="W26" s="605">
        <v>23.3</v>
      </c>
      <c r="X26" s="716">
        <v>4</v>
      </c>
      <c r="Y26" s="605">
        <v>1042.9</v>
      </c>
      <c r="Z26" s="709">
        <v>7</v>
      </c>
      <c r="AA26" s="705">
        <v>1116.2</v>
      </c>
      <c r="AB26" s="709"/>
      <c r="AC26" s="705">
        <v>297</v>
      </c>
      <c r="AD26" s="709"/>
      <c r="AE26" s="705">
        <v>119.1</v>
      </c>
      <c r="AF26" s="709"/>
      <c r="AG26" s="705"/>
      <c r="AH26" s="709"/>
      <c r="AI26" s="705">
        <v>160.3</v>
      </c>
      <c r="AJ26" s="709"/>
      <c r="AK26" s="705"/>
      <c r="AL26" s="816">
        <f t="shared" si="2"/>
        <v>17</v>
      </c>
      <c r="AM26" s="730">
        <f t="shared" si="2"/>
        <v>3831.2000000000003</v>
      </c>
    </row>
    <row r="27" spans="1:39" ht="19.5" customHeight="1">
      <c r="A27" s="12" t="s">
        <v>32</v>
      </c>
      <c r="B27" s="709">
        <v>6</v>
      </c>
      <c r="C27" s="705">
        <v>1014.4</v>
      </c>
      <c r="D27" s="709"/>
      <c r="E27" s="705"/>
      <c r="F27" s="709"/>
      <c r="G27" s="705">
        <v>102.1</v>
      </c>
      <c r="H27" s="716"/>
      <c r="I27" s="605"/>
      <c r="J27" s="716">
        <v>1</v>
      </c>
      <c r="K27" s="605">
        <v>324.9</v>
      </c>
      <c r="L27" s="716"/>
      <c r="M27" s="605"/>
      <c r="N27" s="716"/>
      <c r="O27" s="605">
        <v>124</v>
      </c>
      <c r="P27" s="716">
        <v>3</v>
      </c>
      <c r="Q27" s="705">
        <f>329.9+422.2</f>
        <v>752.0999999999999</v>
      </c>
      <c r="R27" s="716"/>
      <c r="S27" s="605"/>
      <c r="T27" s="716"/>
      <c r="U27" s="605"/>
      <c r="V27" s="1199">
        <f>10+1</f>
        <v>11</v>
      </c>
      <c r="W27" s="1198">
        <f>1024.6+89.9</f>
        <v>1114.5</v>
      </c>
      <c r="X27" s="716">
        <v>3</v>
      </c>
      <c r="Y27" s="605">
        <v>492.6</v>
      </c>
      <c r="Z27" s="709">
        <v>15</v>
      </c>
      <c r="AA27" s="705">
        <v>2639.4</v>
      </c>
      <c r="AB27" s="709"/>
      <c r="AC27" s="705">
        <v>228.4</v>
      </c>
      <c r="AD27" s="709">
        <v>1</v>
      </c>
      <c r="AE27" s="705">
        <v>429.5</v>
      </c>
      <c r="AF27" s="709"/>
      <c r="AG27" s="705"/>
      <c r="AH27" s="709"/>
      <c r="AI27" s="705"/>
      <c r="AJ27" s="709">
        <v>8</v>
      </c>
      <c r="AK27" s="705">
        <v>127.4</v>
      </c>
      <c r="AL27" s="728">
        <f t="shared" si="2"/>
        <v>48</v>
      </c>
      <c r="AM27" s="730">
        <f t="shared" si="2"/>
        <v>7349.299999999999</v>
      </c>
    </row>
    <row r="28" spans="1:39" ht="19.5" customHeight="1">
      <c r="A28" s="12" t="s">
        <v>33</v>
      </c>
      <c r="B28" s="709"/>
      <c r="C28" s="705"/>
      <c r="D28" s="709"/>
      <c r="E28" s="705"/>
      <c r="F28" s="709"/>
      <c r="G28" s="705"/>
      <c r="H28" s="716"/>
      <c r="I28" s="605"/>
      <c r="J28" s="716"/>
      <c r="K28" s="605"/>
      <c r="L28" s="716">
        <v>1</v>
      </c>
      <c r="M28" s="605">
        <v>90.5</v>
      </c>
      <c r="N28" s="716"/>
      <c r="O28" s="605"/>
      <c r="P28" s="716"/>
      <c r="Q28" s="705">
        <v>161.3</v>
      </c>
      <c r="R28" s="716"/>
      <c r="S28" s="605"/>
      <c r="T28" s="716"/>
      <c r="U28" s="605"/>
      <c r="V28" s="716">
        <v>8</v>
      </c>
      <c r="W28" s="605">
        <v>787</v>
      </c>
      <c r="X28" s="716">
        <v>1</v>
      </c>
      <c r="Y28" s="605">
        <v>92.8</v>
      </c>
      <c r="Z28" s="709">
        <v>8</v>
      </c>
      <c r="AA28" s="705">
        <v>1055.6</v>
      </c>
      <c r="AB28" s="709"/>
      <c r="AC28" s="705"/>
      <c r="AD28" s="709">
        <v>1</v>
      </c>
      <c r="AE28" s="705">
        <v>189.9</v>
      </c>
      <c r="AF28" s="709"/>
      <c r="AG28" s="705"/>
      <c r="AH28" s="709"/>
      <c r="AI28" s="705"/>
      <c r="AJ28" s="709"/>
      <c r="AK28" s="705"/>
      <c r="AL28" s="728">
        <f t="shared" si="2"/>
        <v>19</v>
      </c>
      <c r="AM28" s="730">
        <f t="shared" si="2"/>
        <v>2377.1</v>
      </c>
    </row>
    <row r="29" spans="1:39" ht="19.5" customHeight="1">
      <c r="A29" s="12" t="s">
        <v>34</v>
      </c>
      <c r="B29" s="709">
        <v>2</v>
      </c>
      <c r="C29" s="705">
        <v>348.4</v>
      </c>
      <c r="D29" s="709"/>
      <c r="E29" s="705"/>
      <c r="F29" s="709">
        <v>0</v>
      </c>
      <c r="G29" s="705">
        <v>103.6</v>
      </c>
      <c r="H29" s="716"/>
      <c r="I29" s="605"/>
      <c r="J29" s="716"/>
      <c r="K29" s="605"/>
      <c r="L29" s="716">
        <v>2</v>
      </c>
      <c r="M29" s="605">
        <v>181</v>
      </c>
      <c r="N29" s="716"/>
      <c r="O29" s="605"/>
      <c r="P29" s="716">
        <v>3</v>
      </c>
      <c r="Q29" s="705">
        <v>299.1</v>
      </c>
      <c r="R29" s="716"/>
      <c r="S29" s="605"/>
      <c r="T29" s="716"/>
      <c r="U29" s="605"/>
      <c r="V29" s="716">
        <v>12</v>
      </c>
      <c r="W29" s="605">
        <v>1159.1</v>
      </c>
      <c r="X29" s="716">
        <v>3</v>
      </c>
      <c r="Y29" s="605">
        <v>644.7</v>
      </c>
      <c r="Z29" s="709">
        <v>13</v>
      </c>
      <c r="AA29" s="705">
        <v>1203.8</v>
      </c>
      <c r="AB29" s="709"/>
      <c r="AC29" s="705">
        <v>18.2</v>
      </c>
      <c r="AD29" s="709">
        <v>1</v>
      </c>
      <c r="AE29" s="705">
        <v>188.5</v>
      </c>
      <c r="AF29" s="709"/>
      <c r="AG29" s="705">
        <v>267</v>
      </c>
      <c r="AH29" s="709"/>
      <c r="AI29" s="705"/>
      <c r="AJ29" s="709">
        <v>3</v>
      </c>
      <c r="AK29" s="705">
        <v>141.6</v>
      </c>
      <c r="AL29" s="728">
        <f t="shared" si="2"/>
        <v>39</v>
      </c>
      <c r="AM29" s="730">
        <f t="shared" si="2"/>
        <v>4555</v>
      </c>
    </row>
    <row r="30" spans="1:39" s="61" customFormat="1" ht="19.5" customHeight="1">
      <c r="A30" s="735" t="s">
        <v>35</v>
      </c>
      <c r="B30" s="778"/>
      <c r="C30" s="779"/>
      <c r="D30" s="778"/>
      <c r="E30" s="779"/>
      <c r="F30" s="778"/>
      <c r="G30" s="779"/>
      <c r="H30" s="780"/>
      <c r="I30" s="781"/>
      <c r="J30" s="780"/>
      <c r="K30" s="781"/>
      <c r="L30" s="780"/>
      <c r="M30" s="781"/>
      <c r="N30" s="780"/>
      <c r="O30" s="781"/>
      <c r="P30" s="780"/>
      <c r="Q30" s="779"/>
      <c r="R30" s="780"/>
      <c r="S30" s="781"/>
      <c r="T30" s="780"/>
      <c r="U30" s="781"/>
      <c r="V30" s="780"/>
      <c r="W30" s="781"/>
      <c r="X30" s="780"/>
      <c r="Y30" s="781"/>
      <c r="Z30" s="778"/>
      <c r="AA30" s="779"/>
      <c r="AB30" s="778"/>
      <c r="AC30" s="779"/>
      <c r="AD30" s="778"/>
      <c r="AE30" s="779"/>
      <c r="AF30" s="778"/>
      <c r="AG30" s="779"/>
      <c r="AH30" s="778"/>
      <c r="AI30" s="779"/>
      <c r="AJ30" s="778"/>
      <c r="AK30" s="779"/>
      <c r="AL30" s="782"/>
      <c r="AM30" s="783"/>
    </row>
    <row r="31" spans="1:39" s="61" customFormat="1" ht="19.5" customHeight="1">
      <c r="A31" s="12" t="s">
        <v>348</v>
      </c>
      <c r="B31" s="709"/>
      <c r="C31" s="705"/>
      <c r="D31" s="709"/>
      <c r="E31" s="705"/>
      <c r="F31" s="709"/>
      <c r="G31" s="705"/>
      <c r="H31" s="716"/>
      <c r="I31" s="605"/>
      <c r="J31" s="716"/>
      <c r="K31" s="605"/>
      <c r="L31" s="716"/>
      <c r="M31" s="605"/>
      <c r="N31" s="716"/>
      <c r="O31" s="605"/>
      <c r="P31" s="716"/>
      <c r="Q31" s="705"/>
      <c r="R31" s="716"/>
      <c r="S31" s="605"/>
      <c r="T31" s="716"/>
      <c r="U31" s="605"/>
      <c r="V31" s="716"/>
      <c r="W31" s="605"/>
      <c r="X31" s="716"/>
      <c r="Y31" s="605"/>
      <c r="Z31" s="709">
        <v>1</v>
      </c>
      <c r="AA31" s="705">
        <v>156.4</v>
      </c>
      <c r="AB31" s="709"/>
      <c r="AC31" s="705"/>
      <c r="AD31" s="709"/>
      <c r="AE31" s="705"/>
      <c r="AF31" s="709"/>
      <c r="AG31" s="705"/>
      <c r="AH31" s="709"/>
      <c r="AI31" s="705"/>
      <c r="AJ31" s="709"/>
      <c r="AK31" s="705"/>
      <c r="AL31" s="728">
        <f aca="true" t="shared" si="3" ref="AL31:AM34">SUM(B31,D31,F31,H31,J31,L31,N31,P31,R31,T31,V31,Z31,X31,AB31,AD31,AF31,AH31,AJ31)</f>
        <v>1</v>
      </c>
      <c r="AM31" s="730">
        <f t="shared" si="3"/>
        <v>156.4</v>
      </c>
    </row>
    <row r="32" spans="1:39" s="61" customFormat="1" ht="19.5" customHeight="1">
      <c r="A32" s="12" t="s">
        <v>162</v>
      </c>
      <c r="B32" s="709"/>
      <c r="C32" s="705">
        <v>268.4</v>
      </c>
      <c r="D32" s="709"/>
      <c r="E32" s="705"/>
      <c r="F32" s="709"/>
      <c r="G32" s="705"/>
      <c r="H32" s="716"/>
      <c r="I32" s="605"/>
      <c r="J32" s="716"/>
      <c r="K32" s="605"/>
      <c r="L32" s="716"/>
      <c r="M32" s="605"/>
      <c r="N32" s="716"/>
      <c r="O32" s="605"/>
      <c r="P32" s="716"/>
      <c r="Q32" s="705"/>
      <c r="R32" s="716"/>
      <c r="S32" s="605"/>
      <c r="T32" s="716"/>
      <c r="U32" s="605"/>
      <c r="V32" s="716">
        <v>5</v>
      </c>
      <c r="W32" s="605">
        <v>724.1</v>
      </c>
      <c r="X32" s="716">
        <v>1</v>
      </c>
      <c r="Y32" s="605">
        <v>316.9</v>
      </c>
      <c r="Z32" s="709">
        <v>1</v>
      </c>
      <c r="AA32" s="705">
        <v>396.4</v>
      </c>
      <c r="AB32" s="709"/>
      <c r="AC32" s="705"/>
      <c r="AD32" s="709"/>
      <c r="AE32" s="705"/>
      <c r="AF32" s="709"/>
      <c r="AG32" s="705"/>
      <c r="AH32" s="709"/>
      <c r="AI32" s="705"/>
      <c r="AJ32" s="709"/>
      <c r="AK32" s="705"/>
      <c r="AL32" s="728">
        <f t="shared" si="3"/>
        <v>7</v>
      </c>
      <c r="AM32" s="730">
        <f t="shared" si="3"/>
        <v>1705.8000000000002</v>
      </c>
    </row>
    <row r="33" spans="1:39" s="61" customFormat="1" ht="19.5" customHeight="1">
      <c r="A33" s="12" t="s">
        <v>357</v>
      </c>
      <c r="B33" s="709"/>
      <c r="C33" s="705"/>
      <c r="D33" s="709"/>
      <c r="E33" s="705"/>
      <c r="F33" s="709"/>
      <c r="G33" s="705"/>
      <c r="H33" s="716"/>
      <c r="I33" s="605"/>
      <c r="J33" s="716"/>
      <c r="K33" s="605"/>
      <c r="L33" s="716"/>
      <c r="M33" s="605"/>
      <c r="N33" s="716"/>
      <c r="O33" s="605"/>
      <c r="P33" s="716"/>
      <c r="Q33" s="705"/>
      <c r="R33" s="716"/>
      <c r="S33" s="605"/>
      <c r="T33" s="716"/>
      <c r="U33" s="605"/>
      <c r="V33" s="716"/>
      <c r="W33" s="605"/>
      <c r="X33" s="716"/>
      <c r="Y33" s="605"/>
      <c r="Z33" s="709">
        <v>1</v>
      </c>
      <c r="AA33" s="705">
        <v>125.1</v>
      </c>
      <c r="AB33" s="709"/>
      <c r="AC33" s="705"/>
      <c r="AD33" s="709"/>
      <c r="AE33" s="705"/>
      <c r="AF33" s="709"/>
      <c r="AG33" s="705"/>
      <c r="AH33" s="709"/>
      <c r="AI33" s="705"/>
      <c r="AJ33" s="709"/>
      <c r="AK33" s="705"/>
      <c r="AL33" s="728">
        <f t="shared" si="3"/>
        <v>1</v>
      </c>
      <c r="AM33" s="730">
        <f t="shared" si="3"/>
        <v>125.1</v>
      </c>
    </row>
    <row r="34" spans="1:39" s="333" customFormat="1" ht="19.5" customHeight="1">
      <c r="A34" s="18" t="s">
        <v>194</v>
      </c>
      <c r="B34" s="710"/>
      <c r="C34" s="706"/>
      <c r="D34" s="710"/>
      <c r="E34" s="706"/>
      <c r="F34" s="710"/>
      <c r="G34" s="706"/>
      <c r="H34" s="717"/>
      <c r="I34" s="718"/>
      <c r="J34" s="717"/>
      <c r="K34" s="718"/>
      <c r="L34" s="717"/>
      <c r="M34" s="718"/>
      <c r="N34" s="717"/>
      <c r="O34" s="718"/>
      <c r="P34" s="717"/>
      <c r="Q34" s="706"/>
      <c r="R34" s="717"/>
      <c r="S34" s="718"/>
      <c r="T34" s="717"/>
      <c r="U34" s="718"/>
      <c r="V34" s="717"/>
      <c r="W34" s="718"/>
      <c r="X34" s="717"/>
      <c r="Y34" s="718"/>
      <c r="Z34" s="710">
        <v>2</v>
      </c>
      <c r="AA34" s="706">
        <v>241</v>
      </c>
      <c r="AB34" s="710"/>
      <c r="AC34" s="706"/>
      <c r="AD34" s="710"/>
      <c r="AE34" s="706"/>
      <c r="AF34" s="710"/>
      <c r="AG34" s="706"/>
      <c r="AH34" s="710"/>
      <c r="AI34" s="706"/>
      <c r="AJ34" s="710"/>
      <c r="AK34" s="706"/>
      <c r="AL34" s="729">
        <f t="shared" si="3"/>
        <v>2</v>
      </c>
      <c r="AM34" s="731">
        <f t="shared" si="3"/>
        <v>241</v>
      </c>
    </row>
    <row r="35" spans="1:39" s="61" customFormat="1" ht="19.5" customHeight="1">
      <c r="A35" s="735" t="s">
        <v>70</v>
      </c>
      <c r="B35" s="778"/>
      <c r="C35" s="779"/>
      <c r="D35" s="778"/>
      <c r="E35" s="779"/>
      <c r="F35" s="778"/>
      <c r="G35" s="779"/>
      <c r="H35" s="780"/>
      <c r="I35" s="781"/>
      <c r="J35" s="780"/>
      <c r="K35" s="781"/>
      <c r="L35" s="780"/>
      <c r="M35" s="781"/>
      <c r="N35" s="780"/>
      <c r="O35" s="781"/>
      <c r="P35" s="780"/>
      <c r="Q35" s="779"/>
      <c r="R35" s="780"/>
      <c r="S35" s="781"/>
      <c r="T35" s="780"/>
      <c r="U35" s="781"/>
      <c r="V35" s="780"/>
      <c r="W35" s="781"/>
      <c r="X35" s="780"/>
      <c r="Y35" s="781"/>
      <c r="Z35" s="778"/>
      <c r="AA35" s="779"/>
      <c r="AB35" s="778"/>
      <c r="AC35" s="779"/>
      <c r="AD35" s="778"/>
      <c r="AE35" s="779"/>
      <c r="AF35" s="778"/>
      <c r="AG35" s="779"/>
      <c r="AH35" s="778"/>
      <c r="AI35" s="779"/>
      <c r="AJ35" s="778"/>
      <c r="AK35" s="779"/>
      <c r="AL35" s="782"/>
      <c r="AM35" s="783"/>
    </row>
    <row r="36" spans="1:39" s="61" customFormat="1" ht="19.5" customHeight="1">
      <c r="A36" s="12" t="s">
        <v>195</v>
      </c>
      <c r="B36" s="709"/>
      <c r="C36" s="705">
        <v>9.2</v>
      </c>
      <c r="D36" s="709">
        <v>1</v>
      </c>
      <c r="E36" s="705">
        <v>21.7</v>
      </c>
      <c r="F36" s="709"/>
      <c r="G36" s="705"/>
      <c r="H36" s="716"/>
      <c r="I36" s="605"/>
      <c r="J36" s="716"/>
      <c r="K36" s="605"/>
      <c r="L36" s="716"/>
      <c r="M36" s="605">
        <v>437.1</v>
      </c>
      <c r="N36" s="716"/>
      <c r="O36" s="605"/>
      <c r="P36" s="716"/>
      <c r="Q36" s="705"/>
      <c r="R36" s="716"/>
      <c r="S36" s="605"/>
      <c r="T36" s="716"/>
      <c r="U36" s="605"/>
      <c r="V36" s="716"/>
      <c r="W36" s="605"/>
      <c r="X36" s="716">
        <v>1</v>
      </c>
      <c r="Y36" s="605">
        <v>168.5</v>
      </c>
      <c r="Z36" s="709">
        <v>1</v>
      </c>
      <c r="AA36" s="705">
        <v>170.7</v>
      </c>
      <c r="AB36" s="709"/>
      <c r="AC36" s="705">
        <v>221</v>
      </c>
      <c r="AD36" s="709"/>
      <c r="AE36" s="705"/>
      <c r="AF36" s="709"/>
      <c r="AG36" s="705"/>
      <c r="AH36" s="709"/>
      <c r="AI36" s="705">
        <v>363.4</v>
      </c>
      <c r="AJ36" s="709">
        <v>1</v>
      </c>
      <c r="AK36" s="705">
        <v>5.5</v>
      </c>
      <c r="AL36" s="728">
        <f aca="true" t="shared" si="4" ref="AL36:AM58">SUM(B36,D36,F36,H36,J36,L36,N36,P36,R36,T36,V36,Z36,X36,AB36,AD36,AF36,AH36,AJ36)</f>
        <v>4</v>
      </c>
      <c r="AM36" s="730">
        <f t="shared" si="4"/>
        <v>1397.1</v>
      </c>
    </row>
    <row r="37" spans="1:39" s="104" customFormat="1" ht="19.5" customHeight="1">
      <c r="A37" s="12" t="s">
        <v>38</v>
      </c>
      <c r="B37" s="709"/>
      <c r="C37" s="705"/>
      <c r="D37" s="709"/>
      <c r="E37" s="705"/>
      <c r="F37" s="709"/>
      <c r="G37" s="705"/>
      <c r="H37" s="716"/>
      <c r="I37" s="605"/>
      <c r="J37" s="716"/>
      <c r="K37" s="605"/>
      <c r="L37" s="716"/>
      <c r="M37" s="605"/>
      <c r="N37" s="716"/>
      <c r="O37" s="605"/>
      <c r="P37" s="716"/>
      <c r="Q37" s="705"/>
      <c r="R37" s="716"/>
      <c r="S37" s="605"/>
      <c r="T37" s="716"/>
      <c r="U37" s="605"/>
      <c r="V37" s="716"/>
      <c r="W37" s="605"/>
      <c r="X37" s="716"/>
      <c r="Y37" s="605"/>
      <c r="Z37" s="709">
        <v>4</v>
      </c>
      <c r="AA37" s="705">
        <v>266.9</v>
      </c>
      <c r="AB37" s="709"/>
      <c r="AC37" s="705"/>
      <c r="AD37" s="709"/>
      <c r="AE37" s="705"/>
      <c r="AF37" s="709"/>
      <c r="AG37" s="705"/>
      <c r="AH37" s="709" t="s">
        <v>118</v>
      </c>
      <c r="AI37" s="705"/>
      <c r="AJ37" s="709"/>
      <c r="AK37" s="705"/>
      <c r="AL37" s="728">
        <f t="shared" si="4"/>
        <v>4</v>
      </c>
      <c r="AM37" s="730">
        <f t="shared" si="4"/>
        <v>266.9</v>
      </c>
    </row>
    <row r="38" spans="1:39" s="104" customFormat="1" ht="19.5" customHeight="1">
      <c r="A38" s="12" t="s">
        <v>39</v>
      </c>
      <c r="B38" s="709"/>
      <c r="C38" s="705"/>
      <c r="D38" s="709"/>
      <c r="E38" s="705"/>
      <c r="F38" s="709"/>
      <c r="G38" s="705"/>
      <c r="H38" s="716"/>
      <c r="I38" s="605"/>
      <c r="J38" s="716"/>
      <c r="K38" s="605"/>
      <c r="L38" s="716"/>
      <c r="M38" s="605"/>
      <c r="N38" s="716"/>
      <c r="O38" s="605"/>
      <c r="P38" s="716"/>
      <c r="Q38" s="705"/>
      <c r="R38" s="716"/>
      <c r="S38" s="605"/>
      <c r="T38" s="716"/>
      <c r="U38" s="605"/>
      <c r="V38" s="716"/>
      <c r="W38" s="605"/>
      <c r="X38" s="716">
        <v>2</v>
      </c>
      <c r="Y38" s="605">
        <v>344.6</v>
      </c>
      <c r="Z38" s="709"/>
      <c r="AA38" s="705"/>
      <c r="AB38" s="709"/>
      <c r="AC38" s="705"/>
      <c r="AD38" s="709"/>
      <c r="AE38" s="705">
        <v>2848.9</v>
      </c>
      <c r="AF38" s="709"/>
      <c r="AG38" s="705"/>
      <c r="AH38" s="709"/>
      <c r="AI38" s="705"/>
      <c r="AJ38" s="709"/>
      <c r="AK38" s="705"/>
      <c r="AL38" s="728">
        <f t="shared" si="4"/>
        <v>2</v>
      </c>
      <c r="AM38" s="730">
        <f t="shared" si="4"/>
        <v>3193.5</v>
      </c>
    </row>
    <row r="39" spans="1:39" s="333" customFormat="1" ht="19.5" customHeight="1">
      <c r="A39" s="12" t="s">
        <v>40</v>
      </c>
      <c r="B39" s="709"/>
      <c r="C39" s="705"/>
      <c r="D39" s="709"/>
      <c r="E39" s="705"/>
      <c r="F39" s="709"/>
      <c r="G39" s="705"/>
      <c r="H39" s="716"/>
      <c r="I39" s="605"/>
      <c r="J39" s="716"/>
      <c r="K39" s="605"/>
      <c r="L39" s="716"/>
      <c r="M39" s="605"/>
      <c r="N39" s="716"/>
      <c r="O39" s="605"/>
      <c r="P39" s="716"/>
      <c r="Q39" s="705"/>
      <c r="R39" s="716"/>
      <c r="S39" s="605"/>
      <c r="T39" s="716"/>
      <c r="U39" s="605"/>
      <c r="V39" s="716"/>
      <c r="W39" s="605"/>
      <c r="X39" s="716"/>
      <c r="Y39" s="605"/>
      <c r="Z39" s="709">
        <v>3</v>
      </c>
      <c r="AA39" s="705">
        <v>289.5</v>
      </c>
      <c r="AB39" s="709"/>
      <c r="AC39" s="705"/>
      <c r="AD39" s="709"/>
      <c r="AE39" s="705"/>
      <c r="AF39" s="709"/>
      <c r="AG39" s="705"/>
      <c r="AH39" s="709"/>
      <c r="AI39" s="705"/>
      <c r="AJ39" s="709"/>
      <c r="AK39" s="705"/>
      <c r="AL39" s="728">
        <f t="shared" si="4"/>
        <v>3</v>
      </c>
      <c r="AM39" s="730">
        <f t="shared" si="4"/>
        <v>289.5</v>
      </c>
    </row>
    <row r="40" spans="1:39" s="61" customFormat="1" ht="19.5" customHeight="1">
      <c r="A40" s="12" t="s">
        <v>353</v>
      </c>
      <c r="B40" s="709"/>
      <c r="C40" s="705"/>
      <c r="D40" s="709"/>
      <c r="E40" s="705"/>
      <c r="F40" s="709"/>
      <c r="G40" s="705"/>
      <c r="H40" s="716"/>
      <c r="I40" s="605"/>
      <c r="J40" s="716"/>
      <c r="K40" s="605"/>
      <c r="L40" s="716"/>
      <c r="M40" s="605"/>
      <c r="N40" s="716"/>
      <c r="O40" s="605"/>
      <c r="P40" s="716"/>
      <c r="Q40" s="705"/>
      <c r="R40" s="716"/>
      <c r="S40" s="605"/>
      <c r="T40" s="716"/>
      <c r="U40" s="605"/>
      <c r="V40" s="716">
        <v>2</v>
      </c>
      <c r="W40" s="605">
        <v>189.4</v>
      </c>
      <c r="X40" s="716"/>
      <c r="Y40" s="605"/>
      <c r="Z40" s="709"/>
      <c r="AA40" s="705"/>
      <c r="AB40" s="709"/>
      <c r="AC40" s="705"/>
      <c r="AD40" s="709"/>
      <c r="AE40" s="705"/>
      <c r="AF40" s="709"/>
      <c r="AG40" s="705"/>
      <c r="AH40" s="709"/>
      <c r="AI40" s="705"/>
      <c r="AJ40" s="709">
        <v>5</v>
      </c>
      <c r="AK40" s="705">
        <v>27.5</v>
      </c>
      <c r="AL40" s="728">
        <f t="shared" si="4"/>
        <v>7</v>
      </c>
      <c r="AM40" s="730">
        <f t="shared" si="4"/>
        <v>216.9</v>
      </c>
    </row>
    <row r="41" spans="1:39" s="61" customFormat="1" ht="19.5" customHeight="1">
      <c r="A41" s="12" t="s">
        <v>41</v>
      </c>
      <c r="B41" s="709">
        <v>1</v>
      </c>
      <c r="C41" s="705">
        <v>165.9</v>
      </c>
      <c r="D41" s="709"/>
      <c r="E41" s="705"/>
      <c r="F41" s="709"/>
      <c r="G41" s="705"/>
      <c r="H41" s="716"/>
      <c r="I41" s="605"/>
      <c r="J41" s="716">
        <v>1</v>
      </c>
      <c r="K41" s="605">
        <v>101.9</v>
      </c>
      <c r="L41" s="716"/>
      <c r="M41" s="605"/>
      <c r="N41" s="716"/>
      <c r="O41" s="605"/>
      <c r="P41" s="716"/>
      <c r="Q41" s="705"/>
      <c r="R41" s="716"/>
      <c r="S41" s="605"/>
      <c r="T41" s="716"/>
      <c r="U41" s="605"/>
      <c r="V41" s="716"/>
      <c r="W41" s="605"/>
      <c r="X41" s="716">
        <v>3</v>
      </c>
      <c r="Y41" s="605">
        <v>419.6</v>
      </c>
      <c r="Z41" s="709">
        <v>2</v>
      </c>
      <c r="AA41" s="705">
        <v>97</v>
      </c>
      <c r="AB41" s="709"/>
      <c r="AC41" s="705"/>
      <c r="AD41" s="709"/>
      <c r="AE41" s="705"/>
      <c r="AF41" s="709"/>
      <c r="AG41" s="705"/>
      <c r="AH41" s="709"/>
      <c r="AI41" s="705"/>
      <c r="AJ41" s="709"/>
      <c r="AK41" s="705"/>
      <c r="AL41" s="728">
        <f t="shared" si="4"/>
        <v>7</v>
      </c>
      <c r="AM41" s="730">
        <f t="shared" si="4"/>
        <v>784.4000000000001</v>
      </c>
    </row>
    <row r="42" spans="1:39" s="61" customFormat="1" ht="19.5" customHeight="1">
      <c r="A42" s="12" t="s">
        <v>235</v>
      </c>
      <c r="B42" s="709"/>
      <c r="C42" s="705"/>
      <c r="D42" s="709"/>
      <c r="E42" s="705"/>
      <c r="F42" s="709"/>
      <c r="G42" s="705"/>
      <c r="H42" s="716"/>
      <c r="I42" s="605"/>
      <c r="J42" s="716"/>
      <c r="K42" s="605"/>
      <c r="L42" s="716"/>
      <c r="M42" s="605"/>
      <c r="N42" s="716"/>
      <c r="O42" s="605"/>
      <c r="P42" s="716"/>
      <c r="Q42" s="705"/>
      <c r="R42" s="716"/>
      <c r="S42" s="605"/>
      <c r="T42" s="716"/>
      <c r="U42" s="605"/>
      <c r="V42" s="716"/>
      <c r="W42" s="605"/>
      <c r="X42" s="716">
        <v>2</v>
      </c>
      <c r="Y42" s="605">
        <v>297.4</v>
      </c>
      <c r="Z42" s="709"/>
      <c r="AA42" s="705"/>
      <c r="AB42" s="709"/>
      <c r="AC42" s="705"/>
      <c r="AD42" s="709"/>
      <c r="AE42" s="705"/>
      <c r="AF42" s="709"/>
      <c r="AG42" s="705"/>
      <c r="AH42" s="709"/>
      <c r="AI42" s="705"/>
      <c r="AJ42" s="709"/>
      <c r="AK42" s="705"/>
      <c r="AL42" s="728">
        <f t="shared" si="4"/>
        <v>2</v>
      </c>
      <c r="AM42" s="730">
        <f t="shared" si="4"/>
        <v>297.4</v>
      </c>
    </row>
    <row r="43" spans="1:39" s="61" customFormat="1" ht="19.5" customHeight="1">
      <c r="A43" s="12" t="s">
        <v>42</v>
      </c>
      <c r="B43" s="709">
        <v>2</v>
      </c>
      <c r="C43" s="705">
        <v>281.6</v>
      </c>
      <c r="D43" s="709"/>
      <c r="E43" s="705"/>
      <c r="F43" s="709"/>
      <c r="G43" s="705"/>
      <c r="H43" s="716"/>
      <c r="I43" s="605"/>
      <c r="J43" s="716">
        <v>1</v>
      </c>
      <c r="K43" s="605">
        <v>168</v>
      </c>
      <c r="L43" s="716"/>
      <c r="M43" s="605"/>
      <c r="N43" s="716"/>
      <c r="O43" s="605"/>
      <c r="P43" s="716"/>
      <c r="Q43" s="705"/>
      <c r="R43" s="716"/>
      <c r="S43" s="605"/>
      <c r="T43" s="716"/>
      <c r="U43" s="605"/>
      <c r="V43" s="716">
        <v>2</v>
      </c>
      <c r="W43" s="605">
        <v>219.4</v>
      </c>
      <c r="X43" s="716">
        <v>3</v>
      </c>
      <c r="Y43" s="605">
        <v>433.4</v>
      </c>
      <c r="Z43" s="709">
        <v>13</v>
      </c>
      <c r="AA43" s="705">
        <v>1075.6</v>
      </c>
      <c r="AB43" s="709"/>
      <c r="AC43" s="705"/>
      <c r="AD43" s="709">
        <v>1</v>
      </c>
      <c r="AE43" s="705">
        <v>206.4</v>
      </c>
      <c r="AF43" s="709"/>
      <c r="AG43" s="705"/>
      <c r="AH43" s="709"/>
      <c r="AI43" s="705"/>
      <c r="AJ43" s="709">
        <v>3</v>
      </c>
      <c r="AK43" s="705">
        <v>16.5</v>
      </c>
      <c r="AL43" s="728">
        <f t="shared" si="4"/>
        <v>25</v>
      </c>
      <c r="AM43" s="730">
        <f t="shared" si="4"/>
        <v>2400.9</v>
      </c>
    </row>
    <row r="44" spans="1:39" s="61" customFormat="1" ht="19.5" customHeight="1">
      <c r="A44" s="12" t="s">
        <v>166</v>
      </c>
      <c r="B44" s="1196">
        <v>15</v>
      </c>
      <c r="C44" s="1197">
        <v>1753</v>
      </c>
      <c r="D44" s="709"/>
      <c r="E44" s="705"/>
      <c r="F44" s="709"/>
      <c r="G44" s="705"/>
      <c r="H44" s="716"/>
      <c r="I44" s="605"/>
      <c r="J44" s="716"/>
      <c r="K44" s="605"/>
      <c r="L44" s="716"/>
      <c r="M44" s="605"/>
      <c r="N44" s="716"/>
      <c r="O44" s="605"/>
      <c r="P44" s="716"/>
      <c r="Q44" s="705"/>
      <c r="R44" s="716"/>
      <c r="S44" s="605"/>
      <c r="T44" s="716"/>
      <c r="U44" s="605"/>
      <c r="V44" s="716"/>
      <c r="W44" s="605"/>
      <c r="X44" s="716">
        <v>3</v>
      </c>
      <c r="Y44" s="605">
        <v>618.7</v>
      </c>
      <c r="Z44" s="709"/>
      <c r="AA44" s="705"/>
      <c r="AB44" s="709"/>
      <c r="AC44" s="705"/>
      <c r="AD44" s="709"/>
      <c r="AE44" s="705"/>
      <c r="AF44" s="709"/>
      <c r="AG44" s="705"/>
      <c r="AH44" s="709"/>
      <c r="AI44" s="705"/>
      <c r="AJ44" s="709"/>
      <c r="AK44" s="705"/>
      <c r="AL44" s="728">
        <f t="shared" si="4"/>
        <v>18</v>
      </c>
      <c r="AM44" s="730">
        <f t="shared" si="4"/>
        <v>2371.7</v>
      </c>
    </row>
    <row r="45" spans="1:39" s="349" customFormat="1" ht="19.5" customHeight="1">
      <c r="A45" s="12" t="s">
        <v>43</v>
      </c>
      <c r="B45" s="709">
        <v>1</v>
      </c>
      <c r="C45" s="705">
        <v>224.8</v>
      </c>
      <c r="D45" s="709">
        <v>3</v>
      </c>
      <c r="E45" s="705">
        <v>463.2</v>
      </c>
      <c r="F45" s="709"/>
      <c r="G45" s="705"/>
      <c r="H45" s="716"/>
      <c r="I45" s="1198">
        <v>260.4</v>
      </c>
      <c r="J45" s="716"/>
      <c r="K45" s="605"/>
      <c r="L45" s="716"/>
      <c r="M45" s="605"/>
      <c r="N45" s="716"/>
      <c r="O45" s="605"/>
      <c r="P45" s="716"/>
      <c r="Q45" s="705"/>
      <c r="R45" s="716"/>
      <c r="S45" s="605"/>
      <c r="T45" s="716"/>
      <c r="U45" s="605"/>
      <c r="V45" s="716">
        <v>2</v>
      </c>
      <c r="W45" s="605">
        <v>211.8</v>
      </c>
      <c r="X45" s="716">
        <v>1</v>
      </c>
      <c r="Y45" s="605">
        <v>137.3</v>
      </c>
      <c r="Z45" s="709">
        <v>4</v>
      </c>
      <c r="AA45" s="705">
        <v>540</v>
      </c>
      <c r="AB45" s="709"/>
      <c r="AC45" s="705"/>
      <c r="AD45" s="709">
        <v>6</v>
      </c>
      <c r="AE45" s="705">
        <v>401.4</v>
      </c>
      <c r="AF45" s="709"/>
      <c r="AG45" s="705"/>
      <c r="AH45" s="709"/>
      <c r="AI45" s="705"/>
      <c r="AJ45" s="709"/>
      <c r="AK45" s="705"/>
      <c r="AL45" s="728">
        <f t="shared" si="4"/>
        <v>17</v>
      </c>
      <c r="AM45" s="730">
        <f t="shared" si="4"/>
        <v>2238.9</v>
      </c>
    </row>
    <row r="46" spans="1:39" s="299" customFormat="1" ht="19.5" customHeight="1">
      <c r="A46" s="12" t="s">
        <v>44</v>
      </c>
      <c r="B46" s="709">
        <v>2</v>
      </c>
      <c r="C46" s="705">
        <v>309</v>
      </c>
      <c r="D46" s="709"/>
      <c r="E46" s="705"/>
      <c r="F46" s="709"/>
      <c r="G46" s="705"/>
      <c r="H46" s="716"/>
      <c r="I46" s="605"/>
      <c r="J46" s="716"/>
      <c r="K46" s="605"/>
      <c r="L46" s="716"/>
      <c r="M46" s="605"/>
      <c r="N46" s="716"/>
      <c r="O46" s="605"/>
      <c r="P46" s="716"/>
      <c r="Q46" s="705"/>
      <c r="R46" s="716"/>
      <c r="S46" s="605"/>
      <c r="T46" s="716"/>
      <c r="U46" s="605"/>
      <c r="V46" s="716">
        <v>1</v>
      </c>
      <c r="W46" s="605">
        <v>115.7</v>
      </c>
      <c r="X46" s="716"/>
      <c r="Y46" s="605"/>
      <c r="Z46" s="709">
        <v>1</v>
      </c>
      <c r="AA46" s="705">
        <v>128.1</v>
      </c>
      <c r="AB46" s="709"/>
      <c r="AC46" s="705"/>
      <c r="AD46" s="709"/>
      <c r="AE46" s="705"/>
      <c r="AF46" s="709"/>
      <c r="AG46" s="705"/>
      <c r="AH46" s="709"/>
      <c r="AI46" s="705"/>
      <c r="AJ46" s="709"/>
      <c r="AK46" s="705"/>
      <c r="AL46" s="728">
        <f t="shared" si="4"/>
        <v>4</v>
      </c>
      <c r="AM46" s="730">
        <f t="shared" si="4"/>
        <v>552.8</v>
      </c>
    </row>
    <row r="47" spans="1:39" s="61" customFormat="1" ht="19.5" customHeight="1">
      <c r="A47" s="12" t="s">
        <v>512</v>
      </c>
      <c r="B47" s="709"/>
      <c r="C47" s="705"/>
      <c r="D47" s="709"/>
      <c r="E47" s="705"/>
      <c r="F47" s="709"/>
      <c r="G47" s="705"/>
      <c r="H47" s="716"/>
      <c r="I47" s="605"/>
      <c r="J47" s="716"/>
      <c r="K47" s="605"/>
      <c r="L47" s="716"/>
      <c r="M47" s="605"/>
      <c r="N47" s="716"/>
      <c r="O47" s="605"/>
      <c r="P47" s="716"/>
      <c r="Q47" s="705"/>
      <c r="R47" s="716"/>
      <c r="S47" s="605"/>
      <c r="T47" s="716"/>
      <c r="U47" s="605"/>
      <c r="V47" s="716"/>
      <c r="W47" s="605"/>
      <c r="X47" s="716"/>
      <c r="Y47" s="605"/>
      <c r="Z47" s="709">
        <v>1</v>
      </c>
      <c r="AA47" s="705">
        <v>48.5</v>
      </c>
      <c r="AB47" s="709"/>
      <c r="AC47" s="705"/>
      <c r="AD47" s="709"/>
      <c r="AE47" s="705"/>
      <c r="AF47" s="709"/>
      <c r="AG47" s="705"/>
      <c r="AH47" s="709"/>
      <c r="AI47" s="705"/>
      <c r="AJ47" s="709"/>
      <c r="AK47" s="705"/>
      <c r="AL47" s="728">
        <f>SUM(B47,D47,F47,H47,J47,L47,N47,P47,R47,T47,V47,Z47,X47,AB47,AD47,AF47,AH47,AJ47)</f>
        <v>1</v>
      </c>
      <c r="AM47" s="730">
        <f>SUM(C47,E47,G47,I47,K47,M47,O47,Q47,S47,U47,W47,AA47,Y47,AC47,AE47,AG47,AI47,AK47)</f>
        <v>48.5</v>
      </c>
    </row>
    <row r="48" spans="1:39" s="61" customFormat="1" ht="19.5" customHeight="1">
      <c r="A48" s="12" t="s">
        <v>45</v>
      </c>
      <c r="B48" s="709"/>
      <c r="C48" s="705"/>
      <c r="D48" s="709"/>
      <c r="E48" s="705"/>
      <c r="F48" s="709"/>
      <c r="G48" s="705"/>
      <c r="H48" s="716"/>
      <c r="I48" s="605"/>
      <c r="J48" s="716"/>
      <c r="K48" s="605"/>
      <c r="L48" s="716"/>
      <c r="M48" s="605"/>
      <c r="N48" s="716"/>
      <c r="O48" s="605"/>
      <c r="P48" s="716"/>
      <c r="Q48" s="705"/>
      <c r="R48" s="716"/>
      <c r="S48" s="605"/>
      <c r="T48" s="716"/>
      <c r="U48" s="605"/>
      <c r="V48" s="716"/>
      <c r="W48" s="605"/>
      <c r="X48" s="716"/>
      <c r="Y48" s="605"/>
      <c r="Z48" s="709"/>
      <c r="AA48" s="705"/>
      <c r="AB48" s="709"/>
      <c r="AC48" s="705"/>
      <c r="AD48" s="709"/>
      <c r="AE48" s="705"/>
      <c r="AF48" s="709"/>
      <c r="AG48" s="705"/>
      <c r="AH48" s="709"/>
      <c r="AI48" s="705"/>
      <c r="AJ48" s="709">
        <v>1</v>
      </c>
      <c r="AK48" s="705">
        <v>5.5</v>
      </c>
      <c r="AL48" s="728">
        <f t="shared" si="4"/>
        <v>1</v>
      </c>
      <c r="AM48" s="730">
        <f t="shared" si="4"/>
        <v>5.5</v>
      </c>
    </row>
    <row r="49" spans="1:39" s="61" customFormat="1" ht="19.5" customHeight="1">
      <c r="A49" s="12" t="s">
        <v>46</v>
      </c>
      <c r="B49" s="709"/>
      <c r="C49" s="705"/>
      <c r="D49" s="709"/>
      <c r="E49" s="705"/>
      <c r="F49" s="709"/>
      <c r="G49" s="705"/>
      <c r="H49" s="716"/>
      <c r="I49" s="605"/>
      <c r="J49" s="716"/>
      <c r="K49" s="605"/>
      <c r="L49" s="716"/>
      <c r="M49" s="605"/>
      <c r="N49" s="716"/>
      <c r="O49" s="605"/>
      <c r="P49" s="716"/>
      <c r="Q49" s="705"/>
      <c r="R49" s="716"/>
      <c r="S49" s="605"/>
      <c r="T49" s="716"/>
      <c r="U49" s="605"/>
      <c r="V49" s="716"/>
      <c r="W49" s="605"/>
      <c r="X49" s="716"/>
      <c r="Y49" s="605"/>
      <c r="Z49" s="709"/>
      <c r="AA49" s="705"/>
      <c r="AB49" s="709"/>
      <c r="AC49" s="705"/>
      <c r="AD49" s="709">
        <v>1</v>
      </c>
      <c r="AE49" s="705">
        <v>219.1</v>
      </c>
      <c r="AF49" s="709"/>
      <c r="AG49" s="705"/>
      <c r="AH49" s="709"/>
      <c r="AI49" s="705"/>
      <c r="AJ49" s="709">
        <v>2</v>
      </c>
      <c r="AK49" s="705">
        <v>11</v>
      </c>
      <c r="AL49" s="728">
        <f t="shared" si="4"/>
        <v>3</v>
      </c>
      <c r="AM49" s="730">
        <f t="shared" si="4"/>
        <v>230.1</v>
      </c>
    </row>
    <row r="50" spans="1:39" s="61" customFormat="1" ht="19.5" customHeight="1">
      <c r="A50" s="12" t="s">
        <v>47</v>
      </c>
      <c r="B50" s="709"/>
      <c r="C50" s="705"/>
      <c r="D50" s="709"/>
      <c r="E50" s="705"/>
      <c r="F50" s="709"/>
      <c r="G50" s="705"/>
      <c r="H50" s="716"/>
      <c r="I50" s="1198">
        <v>260.4</v>
      </c>
      <c r="J50" s="716"/>
      <c r="K50" s="605"/>
      <c r="L50" s="716"/>
      <c r="M50" s="605"/>
      <c r="N50" s="716"/>
      <c r="O50" s="605"/>
      <c r="P50" s="716"/>
      <c r="Q50" s="705"/>
      <c r="R50" s="716"/>
      <c r="S50" s="605"/>
      <c r="T50" s="716"/>
      <c r="U50" s="605"/>
      <c r="V50" s="716"/>
      <c r="W50" s="605"/>
      <c r="X50" s="716">
        <v>1</v>
      </c>
      <c r="Y50" s="605">
        <v>214.3</v>
      </c>
      <c r="Z50" s="709">
        <v>3</v>
      </c>
      <c r="AA50" s="705">
        <v>145.5</v>
      </c>
      <c r="AB50" s="709"/>
      <c r="AC50" s="705"/>
      <c r="AD50" s="709"/>
      <c r="AE50" s="705"/>
      <c r="AF50" s="709"/>
      <c r="AG50" s="705"/>
      <c r="AH50" s="709"/>
      <c r="AI50" s="705"/>
      <c r="AJ50" s="709"/>
      <c r="AK50" s="705"/>
      <c r="AL50" s="728">
        <f t="shared" si="4"/>
        <v>4</v>
      </c>
      <c r="AM50" s="730">
        <f t="shared" si="4"/>
        <v>620.2</v>
      </c>
    </row>
    <row r="51" spans="1:39" s="61" customFormat="1" ht="19.5" customHeight="1">
      <c r="A51" s="12" t="s">
        <v>48</v>
      </c>
      <c r="B51" s="709"/>
      <c r="C51" s="705"/>
      <c r="D51" s="709"/>
      <c r="E51" s="705"/>
      <c r="F51" s="709"/>
      <c r="G51" s="705"/>
      <c r="H51" s="716"/>
      <c r="I51" s="1198">
        <v>75.1</v>
      </c>
      <c r="J51" s="716"/>
      <c r="K51" s="605"/>
      <c r="L51" s="716"/>
      <c r="M51" s="1198">
        <v>12.9</v>
      </c>
      <c r="N51" s="716"/>
      <c r="O51" s="605"/>
      <c r="P51" s="716"/>
      <c r="Q51" s="705"/>
      <c r="R51" s="716"/>
      <c r="S51" s="605"/>
      <c r="T51" s="716"/>
      <c r="U51" s="605"/>
      <c r="V51" s="716"/>
      <c r="W51" s="605"/>
      <c r="X51" s="727">
        <v>1</v>
      </c>
      <c r="Y51" s="605">
        <v>171.8</v>
      </c>
      <c r="Z51" s="709"/>
      <c r="AA51" s="705"/>
      <c r="AB51" s="709"/>
      <c r="AC51" s="705"/>
      <c r="AD51" s="709"/>
      <c r="AE51" s="705"/>
      <c r="AF51" s="709"/>
      <c r="AG51" s="705">
        <v>176.2</v>
      </c>
      <c r="AH51" s="709"/>
      <c r="AI51" s="705"/>
      <c r="AJ51" s="709"/>
      <c r="AK51" s="705"/>
      <c r="AL51" s="728">
        <f t="shared" si="4"/>
        <v>1</v>
      </c>
      <c r="AM51" s="730">
        <f t="shared" si="4"/>
        <v>436</v>
      </c>
    </row>
    <row r="52" spans="1:39" s="61" customFormat="1" ht="19.5" customHeight="1">
      <c r="A52" s="12" t="s">
        <v>49</v>
      </c>
      <c r="B52" s="709"/>
      <c r="C52" s="705"/>
      <c r="D52" s="709"/>
      <c r="E52" s="705"/>
      <c r="F52" s="709"/>
      <c r="G52" s="705"/>
      <c r="H52" s="716"/>
      <c r="I52" s="1198"/>
      <c r="J52" s="716"/>
      <c r="K52" s="605"/>
      <c r="L52" s="716"/>
      <c r="M52" s="1198"/>
      <c r="N52" s="716"/>
      <c r="O52" s="605"/>
      <c r="P52" s="716"/>
      <c r="Q52" s="705"/>
      <c r="R52" s="716"/>
      <c r="S52" s="605"/>
      <c r="T52" s="716"/>
      <c r="U52" s="605"/>
      <c r="V52" s="716"/>
      <c r="W52" s="605"/>
      <c r="X52" s="727"/>
      <c r="Y52" s="605"/>
      <c r="Z52" s="709"/>
      <c r="AA52" s="705"/>
      <c r="AB52" s="709"/>
      <c r="AC52" s="705"/>
      <c r="AD52" s="709"/>
      <c r="AE52" s="705"/>
      <c r="AF52" s="709"/>
      <c r="AG52" s="705"/>
      <c r="AH52" s="709"/>
      <c r="AI52" s="705"/>
      <c r="AJ52" s="709">
        <v>9</v>
      </c>
      <c r="AK52" s="705">
        <v>49.5</v>
      </c>
      <c r="AL52" s="728">
        <f>SUM(B52,D52,F52,H52,J52,L52,N52,P52,R52,T52,V52,Z52,X52,AB52,AD52,AF52,AH52,AJ52)</f>
        <v>9</v>
      </c>
      <c r="AM52" s="730">
        <f>SUM(C52,E52,G52,I52,K52,M52,O52,Q52,S52,U52,W52,AA52,Y52,AC52,AE52,AG52,AI52,AK52)</f>
        <v>49.5</v>
      </c>
    </row>
    <row r="53" spans="1:39" s="61" customFormat="1" ht="19.5" customHeight="1">
      <c r="A53" s="12" t="s">
        <v>196</v>
      </c>
      <c r="B53" s="709">
        <v>1</v>
      </c>
      <c r="C53" s="705">
        <v>145.1</v>
      </c>
      <c r="D53" s="709"/>
      <c r="E53" s="705"/>
      <c r="F53" s="709"/>
      <c r="G53" s="705"/>
      <c r="H53" s="716"/>
      <c r="I53" s="605"/>
      <c r="J53" s="716"/>
      <c r="K53" s="605"/>
      <c r="L53" s="716"/>
      <c r="M53" s="605"/>
      <c r="N53" s="716"/>
      <c r="O53" s="605"/>
      <c r="P53" s="716"/>
      <c r="Q53" s="705"/>
      <c r="R53" s="716"/>
      <c r="S53" s="605"/>
      <c r="T53" s="716"/>
      <c r="U53" s="605"/>
      <c r="V53" s="716"/>
      <c r="W53" s="605"/>
      <c r="X53" s="716"/>
      <c r="Y53" s="605"/>
      <c r="Z53" s="709">
        <v>1</v>
      </c>
      <c r="AA53" s="705">
        <v>105.6</v>
      </c>
      <c r="AB53" s="709"/>
      <c r="AC53" s="705"/>
      <c r="AD53" s="709"/>
      <c r="AE53" s="705"/>
      <c r="AF53" s="709"/>
      <c r="AG53" s="705"/>
      <c r="AH53" s="709"/>
      <c r="AI53" s="705"/>
      <c r="AJ53" s="709"/>
      <c r="AK53" s="705"/>
      <c r="AL53" s="728">
        <f t="shared" si="4"/>
        <v>2</v>
      </c>
      <c r="AM53" s="730">
        <f t="shared" si="4"/>
        <v>250.7</v>
      </c>
    </row>
    <row r="54" spans="1:39" s="61" customFormat="1" ht="19.5" customHeight="1">
      <c r="A54" s="12" t="s">
        <v>50</v>
      </c>
      <c r="B54" s="709">
        <v>2</v>
      </c>
      <c r="C54" s="705">
        <v>284.8</v>
      </c>
      <c r="D54" s="709"/>
      <c r="E54" s="705"/>
      <c r="F54" s="709"/>
      <c r="G54" s="705"/>
      <c r="H54" s="716"/>
      <c r="I54" s="605"/>
      <c r="J54" s="716"/>
      <c r="K54" s="605"/>
      <c r="L54" s="716"/>
      <c r="M54" s="605"/>
      <c r="N54" s="716"/>
      <c r="O54" s="605"/>
      <c r="P54" s="716"/>
      <c r="Q54" s="705"/>
      <c r="R54" s="716"/>
      <c r="S54" s="605"/>
      <c r="T54" s="716"/>
      <c r="U54" s="605"/>
      <c r="V54" s="716"/>
      <c r="W54" s="605"/>
      <c r="X54" s="716">
        <v>1</v>
      </c>
      <c r="Y54" s="605">
        <v>157.3</v>
      </c>
      <c r="Z54" s="1196">
        <f>3+7</f>
        <v>10</v>
      </c>
      <c r="AA54" s="1197">
        <f>145.5+1398.4+241.2</f>
        <v>1785.1000000000001</v>
      </c>
      <c r="AB54" s="709"/>
      <c r="AC54" s="705"/>
      <c r="AD54" s="709"/>
      <c r="AE54" s="705"/>
      <c r="AF54" s="709"/>
      <c r="AG54" s="705"/>
      <c r="AH54" s="709"/>
      <c r="AI54" s="705"/>
      <c r="AJ54" s="709"/>
      <c r="AK54" s="705"/>
      <c r="AL54" s="728">
        <f t="shared" si="4"/>
        <v>13</v>
      </c>
      <c r="AM54" s="730">
        <f t="shared" si="4"/>
        <v>2227.2000000000003</v>
      </c>
    </row>
    <row r="55" spans="1:39" s="61" customFormat="1" ht="19.5" customHeight="1">
      <c r="A55" s="12" t="s">
        <v>513</v>
      </c>
      <c r="B55" s="709"/>
      <c r="C55" s="705"/>
      <c r="D55" s="709"/>
      <c r="E55" s="705"/>
      <c r="F55" s="709"/>
      <c r="G55" s="705"/>
      <c r="H55" s="716"/>
      <c r="I55" s="605"/>
      <c r="J55" s="716"/>
      <c r="K55" s="605"/>
      <c r="L55" s="716"/>
      <c r="M55" s="605"/>
      <c r="N55" s="716"/>
      <c r="O55" s="605"/>
      <c r="P55" s="716"/>
      <c r="Q55" s="705"/>
      <c r="R55" s="716"/>
      <c r="S55" s="605"/>
      <c r="T55" s="716"/>
      <c r="U55" s="605"/>
      <c r="V55" s="716"/>
      <c r="W55" s="605"/>
      <c r="X55" s="716"/>
      <c r="Y55" s="605"/>
      <c r="Z55" s="1196"/>
      <c r="AA55" s="1197"/>
      <c r="AB55" s="709"/>
      <c r="AC55" s="705"/>
      <c r="AD55" s="709"/>
      <c r="AE55" s="705"/>
      <c r="AF55" s="709"/>
      <c r="AG55" s="705"/>
      <c r="AH55" s="709"/>
      <c r="AI55" s="705"/>
      <c r="AJ55" s="709">
        <v>5</v>
      </c>
      <c r="AK55" s="705">
        <v>27.5</v>
      </c>
      <c r="AL55" s="728">
        <f>SUM(B55,D55,F55,H55,J55,L55,N55,P55,R55,T55,V55,Z55,X55,AB55,AD55,AF55,AH55,AJ55)</f>
        <v>5</v>
      </c>
      <c r="AM55" s="730">
        <f>SUM(C55,E55,G55,I55,K55,M55,O55,Q55,S55,U55,W55,AA55,Y55,AC55,AE55,AG55,AI55,AK55)</f>
        <v>27.5</v>
      </c>
    </row>
    <row r="56" spans="1:39" s="104" customFormat="1" ht="19.5" customHeight="1">
      <c r="A56" s="12" t="s">
        <v>51</v>
      </c>
      <c r="B56" s="709">
        <v>1</v>
      </c>
      <c r="C56" s="705">
        <v>145.2</v>
      </c>
      <c r="D56" s="709"/>
      <c r="E56" s="705"/>
      <c r="F56" s="709"/>
      <c r="G56" s="705"/>
      <c r="H56" s="716"/>
      <c r="I56" s="605"/>
      <c r="J56" s="716"/>
      <c r="K56" s="605"/>
      <c r="L56" s="716"/>
      <c r="M56" s="605"/>
      <c r="N56" s="716"/>
      <c r="O56" s="605"/>
      <c r="P56" s="716"/>
      <c r="Q56" s="705"/>
      <c r="R56" s="716"/>
      <c r="S56" s="605"/>
      <c r="T56" s="716"/>
      <c r="U56" s="605"/>
      <c r="V56" s="716"/>
      <c r="W56" s="605"/>
      <c r="X56" s="716"/>
      <c r="Y56" s="605"/>
      <c r="Z56" s="709">
        <v>3</v>
      </c>
      <c r="AA56" s="705">
        <v>281.1</v>
      </c>
      <c r="AB56" s="709"/>
      <c r="AC56" s="705"/>
      <c r="AD56" s="709"/>
      <c r="AE56" s="705"/>
      <c r="AF56" s="709"/>
      <c r="AG56" s="705"/>
      <c r="AH56" s="709">
        <v>6</v>
      </c>
      <c r="AI56" s="705">
        <v>42.2</v>
      </c>
      <c r="AJ56" s="709"/>
      <c r="AK56" s="705"/>
      <c r="AL56" s="728">
        <f t="shared" si="4"/>
        <v>10</v>
      </c>
      <c r="AM56" s="730">
        <f t="shared" si="4"/>
        <v>468.5</v>
      </c>
    </row>
    <row r="57" spans="1:39" s="61" customFormat="1" ht="19.5" customHeight="1">
      <c r="A57" s="12" t="s">
        <v>183</v>
      </c>
      <c r="B57" s="709"/>
      <c r="C57" s="1197">
        <v>1093</v>
      </c>
      <c r="D57" s="709"/>
      <c r="E57" s="705"/>
      <c r="F57" s="709"/>
      <c r="G57" s="705"/>
      <c r="H57" s="716"/>
      <c r="I57" s="605"/>
      <c r="J57" s="716"/>
      <c r="K57" s="605"/>
      <c r="L57" s="716"/>
      <c r="M57" s="605"/>
      <c r="N57" s="716"/>
      <c r="O57" s="605"/>
      <c r="P57" s="716"/>
      <c r="Q57" s="705"/>
      <c r="R57" s="716"/>
      <c r="S57" s="605"/>
      <c r="T57" s="716"/>
      <c r="U57" s="605"/>
      <c r="V57" s="716">
        <v>6</v>
      </c>
      <c r="W57" s="605">
        <v>372.6</v>
      </c>
      <c r="X57" s="716">
        <v>1</v>
      </c>
      <c r="Y57" s="605">
        <v>210.9</v>
      </c>
      <c r="Z57" s="709"/>
      <c r="AA57" s="705"/>
      <c r="AB57" s="709"/>
      <c r="AC57" s="705"/>
      <c r="AD57" s="709">
        <v>1</v>
      </c>
      <c r="AE57" s="705">
        <v>263.4</v>
      </c>
      <c r="AF57" s="709"/>
      <c r="AG57" s="705"/>
      <c r="AH57" s="709"/>
      <c r="AI57" s="705"/>
      <c r="AJ57" s="709"/>
      <c r="AK57" s="705"/>
      <c r="AL57" s="728">
        <f t="shared" si="4"/>
        <v>8</v>
      </c>
      <c r="AM57" s="730">
        <f t="shared" si="4"/>
        <v>1939.9</v>
      </c>
    </row>
    <row r="58" spans="1:39" s="61" customFormat="1" ht="19.5" customHeight="1">
      <c r="A58" s="12" t="s">
        <v>52</v>
      </c>
      <c r="B58" s="709"/>
      <c r="C58" s="705"/>
      <c r="D58" s="709"/>
      <c r="E58" s="705"/>
      <c r="F58" s="709"/>
      <c r="G58" s="705"/>
      <c r="H58" s="716"/>
      <c r="I58" s="605"/>
      <c r="J58" s="716"/>
      <c r="K58" s="605"/>
      <c r="L58" s="716"/>
      <c r="M58" s="605"/>
      <c r="N58" s="716"/>
      <c r="O58" s="605"/>
      <c r="P58" s="716"/>
      <c r="Q58" s="705"/>
      <c r="R58" s="716"/>
      <c r="S58" s="605"/>
      <c r="T58" s="716"/>
      <c r="U58" s="605"/>
      <c r="V58" s="716"/>
      <c r="W58" s="605"/>
      <c r="X58" s="716">
        <v>1</v>
      </c>
      <c r="Y58" s="605">
        <v>156.5</v>
      </c>
      <c r="Z58" s="709">
        <v>3</v>
      </c>
      <c r="AA58" s="705">
        <v>111.9</v>
      </c>
      <c r="AB58" s="709"/>
      <c r="AC58" s="705"/>
      <c r="AD58" s="709"/>
      <c r="AE58" s="705"/>
      <c r="AF58" s="709"/>
      <c r="AG58" s="705"/>
      <c r="AH58" s="709"/>
      <c r="AI58" s="705"/>
      <c r="AJ58" s="709">
        <v>1</v>
      </c>
      <c r="AK58" s="705">
        <v>5.5</v>
      </c>
      <c r="AL58" s="728">
        <f t="shared" si="4"/>
        <v>5</v>
      </c>
      <c r="AM58" s="730">
        <f t="shared" si="4"/>
        <v>273.9</v>
      </c>
    </row>
    <row r="59" spans="1:39" s="61" customFormat="1" ht="19.5" customHeight="1">
      <c r="A59" s="12" t="s">
        <v>53</v>
      </c>
      <c r="B59" s="709"/>
      <c r="C59" s="705"/>
      <c r="D59" s="709"/>
      <c r="E59" s="705"/>
      <c r="F59" s="709"/>
      <c r="G59" s="705"/>
      <c r="H59" s="716"/>
      <c r="I59" s="605"/>
      <c r="J59" s="716"/>
      <c r="K59" s="605"/>
      <c r="L59" s="716"/>
      <c r="M59" s="605"/>
      <c r="N59" s="716"/>
      <c r="O59" s="605"/>
      <c r="P59" s="716"/>
      <c r="Q59" s="705"/>
      <c r="R59" s="716"/>
      <c r="S59" s="605"/>
      <c r="T59" s="716"/>
      <c r="U59" s="605"/>
      <c r="V59" s="716">
        <v>1</v>
      </c>
      <c r="W59" s="605">
        <v>91.7</v>
      </c>
      <c r="X59" s="716"/>
      <c r="Y59" s="605"/>
      <c r="Z59" s="709">
        <v>4</v>
      </c>
      <c r="AA59" s="705">
        <v>211.8</v>
      </c>
      <c r="AB59" s="709"/>
      <c r="AC59" s="705"/>
      <c r="AD59" s="709">
        <v>1</v>
      </c>
      <c r="AE59" s="705">
        <v>209.9</v>
      </c>
      <c r="AF59" s="709"/>
      <c r="AG59" s="705"/>
      <c r="AH59" s="709"/>
      <c r="AI59" s="705"/>
      <c r="AJ59" s="709">
        <v>1</v>
      </c>
      <c r="AK59" s="705">
        <v>5.5</v>
      </c>
      <c r="AL59" s="728">
        <f aca="true" t="shared" si="5" ref="AL59:AM61">SUM(B59,D59,F59,H59,J59,L59,N59,P59,R59,T59,V59,Z59,X59,AB59,AD59,AF59,AH59,AJ59)</f>
        <v>7</v>
      </c>
      <c r="AM59" s="730">
        <f t="shared" si="5"/>
        <v>518.9</v>
      </c>
    </row>
    <row r="60" spans="1:39" s="276" customFormat="1" ht="19.5" customHeight="1">
      <c r="A60" s="12" t="s">
        <v>54</v>
      </c>
      <c r="B60" s="709"/>
      <c r="C60" s="705"/>
      <c r="D60" s="709"/>
      <c r="E60" s="705"/>
      <c r="F60" s="709"/>
      <c r="G60" s="705"/>
      <c r="H60" s="716"/>
      <c r="I60" s="605"/>
      <c r="J60" s="716"/>
      <c r="K60" s="605"/>
      <c r="L60" s="716"/>
      <c r="M60" s="605"/>
      <c r="N60" s="716"/>
      <c r="O60" s="605"/>
      <c r="P60" s="716"/>
      <c r="Q60" s="705"/>
      <c r="R60" s="716"/>
      <c r="S60" s="605"/>
      <c r="T60" s="716"/>
      <c r="U60" s="605"/>
      <c r="V60" s="716"/>
      <c r="W60" s="605"/>
      <c r="X60" s="716"/>
      <c r="Y60" s="605"/>
      <c r="Z60" s="709">
        <v>4</v>
      </c>
      <c r="AA60" s="705">
        <v>149.2</v>
      </c>
      <c r="AB60" s="709"/>
      <c r="AC60" s="705"/>
      <c r="AD60" s="709"/>
      <c r="AE60" s="705"/>
      <c r="AF60" s="709"/>
      <c r="AG60" s="705"/>
      <c r="AH60" s="709"/>
      <c r="AI60" s="705"/>
      <c r="AJ60" s="709"/>
      <c r="AK60" s="705"/>
      <c r="AL60" s="728">
        <f t="shared" si="5"/>
        <v>4</v>
      </c>
      <c r="AM60" s="730">
        <f t="shared" si="5"/>
        <v>149.2</v>
      </c>
    </row>
    <row r="61" spans="1:39" s="350" customFormat="1" ht="19.5" customHeight="1">
      <c r="A61" s="18" t="s">
        <v>282</v>
      </c>
      <c r="B61" s="710"/>
      <c r="C61" s="706"/>
      <c r="D61" s="710"/>
      <c r="E61" s="706"/>
      <c r="F61" s="710"/>
      <c r="G61" s="706"/>
      <c r="H61" s="717"/>
      <c r="I61" s="718"/>
      <c r="J61" s="717"/>
      <c r="K61" s="718"/>
      <c r="L61" s="717"/>
      <c r="M61" s="718"/>
      <c r="N61" s="717"/>
      <c r="O61" s="718"/>
      <c r="P61" s="717"/>
      <c r="Q61" s="706"/>
      <c r="R61" s="717"/>
      <c r="S61" s="718"/>
      <c r="T61" s="717"/>
      <c r="U61" s="718"/>
      <c r="V61" s="717"/>
      <c r="W61" s="718"/>
      <c r="X61" s="717"/>
      <c r="Y61" s="718"/>
      <c r="Z61" s="710">
        <v>3</v>
      </c>
      <c r="AA61" s="706">
        <v>145.5</v>
      </c>
      <c r="AB61" s="710"/>
      <c r="AC61" s="706"/>
      <c r="AD61" s="710"/>
      <c r="AE61" s="706"/>
      <c r="AF61" s="710"/>
      <c r="AG61" s="706"/>
      <c r="AH61" s="710"/>
      <c r="AI61" s="706"/>
      <c r="AJ61" s="710"/>
      <c r="AK61" s="706"/>
      <c r="AL61" s="729">
        <f t="shared" si="5"/>
        <v>3</v>
      </c>
      <c r="AM61" s="731">
        <f t="shared" si="5"/>
        <v>145.5</v>
      </c>
    </row>
    <row r="62" spans="1:39" s="67" customFormat="1" ht="19.5" customHeight="1">
      <c r="A62" s="735" t="s">
        <v>154</v>
      </c>
      <c r="B62" s="778"/>
      <c r="C62" s="779"/>
      <c r="D62" s="778"/>
      <c r="E62" s="779"/>
      <c r="F62" s="778"/>
      <c r="G62" s="779"/>
      <c r="H62" s="780"/>
      <c r="I62" s="781"/>
      <c r="J62" s="780"/>
      <c r="K62" s="781"/>
      <c r="L62" s="780"/>
      <c r="M62" s="781"/>
      <c r="N62" s="780"/>
      <c r="O62" s="781"/>
      <c r="P62" s="780"/>
      <c r="Q62" s="779"/>
      <c r="R62" s="780"/>
      <c r="S62" s="781"/>
      <c r="T62" s="780"/>
      <c r="U62" s="781"/>
      <c r="V62" s="780"/>
      <c r="W62" s="781"/>
      <c r="X62" s="780"/>
      <c r="Y62" s="781"/>
      <c r="Z62" s="778"/>
      <c r="AA62" s="779"/>
      <c r="AB62" s="778"/>
      <c r="AC62" s="779"/>
      <c r="AD62" s="778"/>
      <c r="AE62" s="779"/>
      <c r="AF62" s="778"/>
      <c r="AG62" s="779"/>
      <c r="AH62" s="778"/>
      <c r="AI62" s="779"/>
      <c r="AJ62" s="778"/>
      <c r="AK62" s="779"/>
      <c r="AL62" s="782"/>
      <c r="AM62" s="783"/>
    </row>
    <row r="63" spans="1:39" s="67" customFormat="1" ht="19.5" customHeight="1">
      <c r="A63" s="78" t="s">
        <v>280</v>
      </c>
      <c r="B63" s="709"/>
      <c r="C63" s="705"/>
      <c r="D63" s="709"/>
      <c r="E63" s="705"/>
      <c r="F63" s="709"/>
      <c r="G63" s="705"/>
      <c r="H63" s="716"/>
      <c r="I63" s="605"/>
      <c r="J63" s="716"/>
      <c r="K63" s="605"/>
      <c r="L63" s="716"/>
      <c r="M63" s="605"/>
      <c r="N63" s="716"/>
      <c r="O63" s="605"/>
      <c r="P63" s="716"/>
      <c r="Q63" s="705"/>
      <c r="R63" s="716"/>
      <c r="S63" s="605"/>
      <c r="T63" s="716"/>
      <c r="U63" s="605"/>
      <c r="V63" s="716"/>
      <c r="W63" s="605"/>
      <c r="X63" s="716"/>
      <c r="Y63" s="605"/>
      <c r="Z63" s="709">
        <v>1</v>
      </c>
      <c r="AA63" s="705">
        <v>173.8</v>
      </c>
      <c r="AB63" s="709"/>
      <c r="AC63" s="705"/>
      <c r="AD63" s="709"/>
      <c r="AE63" s="705"/>
      <c r="AF63" s="709"/>
      <c r="AG63" s="705"/>
      <c r="AH63" s="709"/>
      <c r="AI63" s="705"/>
      <c r="AJ63" s="709"/>
      <c r="AK63" s="705"/>
      <c r="AL63" s="728">
        <f aca="true" t="shared" si="6" ref="AL63:AM65">SUM(B63,D63,F63,H63,J63,L63,N63,P63,R63,T63,V63,Z63,X63,AB63,AD63,AF63,AH63,AJ63)</f>
        <v>1</v>
      </c>
      <c r="AM63" s="730">
        <f t="shared" si="6"/>
        <v>173.8</v>
      </c>
    </row>
    <row r="64" spans="1:39" s="67" customFormat="1" ht="19.5" customHeight="1">
      <c r="A64" s="12" t="s">
        <v>36</v>
      </c>
      <c r="B64" s="709"/>
      <c r="C64" s="705"/>
      <c r="D64" s="709"/>
      <c r="E64" s="705"/>
      <c r="F64" s="709"/>
      <c r="G64" s="705"/>
      <c r="H64" s="716"/>
      <c r="I64" s="605"/>
      <c r="J64" s="716"/>
      <c r="K64" s="605"/>
      <c r="L64" s="716"/>
      <c r="M64" s="605"/>
      <c r="N64" s="716"/>
      <c r="O64" s="605"/>
      <c r="P64" s="716"/>
      <c r="Q64" s="705"/>
      <c r="R64" s="716"/>
      <c r="S64" s="605"/>
      <c r="T64" s="716"/>
      <c r="U64" s="605"/>
      <c r="V64" s="716"/>
      <c r="W64" s="605"/>
      <c r="X64" s="716"/>
      <c r="Y64" s="605"/>
      <c r="Z64" s="709"/>
      <c r="AA64" s="705"/>
      <c r="AB64" s="709"/>
      <c r="AC64" s="705"/>
      <c r="AD64" s="709"/>
      <c r="AE64" s="705"/>
      <c r="AF64" s="709">
        <v>15</v>
      </c>
      <c r="AG64" s="705">
        <v>679.7</v>
      </c>
      <c r="AH64" s="709"/>
      <c r="AI64" s="705"/>
      <c r="AJ64" s="709"/>
      <c r="AK64" s="705"/>
      <c r="AL64" s="728">
        <f t="shared" si="6"/>
        <v>15</v>
      </c>
      <c r="AM64" s="730">
        <f t="shared" si="6"/>
        <v>679.7</v>
      </c>
    </row>
    <row r="65" spans="1:39" s="350" customFormat="1" ht="19.5" customHeight="1">
      <c r="A65" s="18" t="s">
        <v>37</v>
      </c>
      <c r="B65" s="710"/>
      <c r="C65" s="706"/>
      <c r="D65" s="710"/>
      <c r="E65" s="706"/>
      <c r="F65" s="710"/>
      <c r="G65" s="706"/>
      <c r="H65" s="717"/>
      <c r="I65" s="718"/>
      <c r="J65" s="717"/>
      <c r="K65" s="718"/>
      <c r="L65" s="717"/>
      <c r="M65" s="718"/>
      <c r="N65" s="717"/>
      <c r="O65" s="718"/>
      <c r="P65" s="717"/>
      <c r="Q65" s="706"/>
      <c r="R65" s="717"/>
      <c r="S65" s="718"/>
      <c r="T65" s="717"/>
      <c r="U65" s="718"/>
      <c r="V65" s="717">
        <v>1</v>
      </c>
      <c r="W65" s="718">
        <v>93.7</v>
      </c>
      <c r="X65" s="717">
        <v>1</v>
      </c>
      <c r="Y65" s="718">
        <v>101.8</v>
      </c>
      <c r="Z65" s="710">
        <v>4</v>
      </c>
      <c r="AA65" s="706">
        <v>500.2</v>
      </c>
      <c r="AB65" s="710"/>
      <c r="AC65" s="706"/>
      <c r="AD65" s="710"/>
      <c r="AE65" s="706"/>
      <c r="AF65" s="710"/>
      <c r="AG65" s="706"/>
      <c r="AH65" s="710"/>
      <c r="AI65" s="706"/>
      <c r="AJ65" s="710"/>
      <c r="AK65" s="706"/>
      <c r="AL65" s="729">
        <f t="shared" si="6"/>
        <v>6</v>
      </c>
      <c r="AM65" s="731">
        <f t="shared" si="6"/>
        <v>695.6999999999999</v>
      </c>
    </row>
    <row r="66" spans="1:39" s="67" customFormat="1" ht="19.5" customHeight="1">
      <c r="A66" s="735" t="s">
        <v>155</v>
      </c>
      <c r="B66" s="778"/>
      <c r="C66" s="779"/>
      <c r="D66" s="778"/>
      <c r="E66" s="779"/>
      <c r="F66" s="778"/>
      <c r="G66" s="779"/>
      <c r="H66" s="780"/>
      <c r="I66" s="781"/>
      <c r="J66" s="780"/>
      <c r="K66" s="781"/>
      <c r="L66" s="780"/>
      <c r="M66" s="781"/>
      <c r="N66" s="780"/>
      <c r="O66" s="781"/>
      <c r="P66" s="780"/>
      <c r="Q66" s="779"/>
      <c r="R66" s="780"/>
      <c r="S66" s="781"/>
      <c r="T66" s="780"/>
      <c r="U66" s="781"/>
      <c r="V66" s="780"/>
      <c r="W66" s="781"/>
      <c r="X66" s="780"/>
      <c r="Y66" s="781"/>
      <c r="Z66" s="778"/>
      <c r="AA66" s="779"/>
      <c r="AB66" s="778"/>
      <c r="AC66" s="779"/>
      <c r="AD66" s="778"/>
      <c r="AE66" s="779"/>
      <c r="AF66" s="778"/>
      <c r="AG66" s="779"/>
      <c r="AH66" s="778"/>
      <c r="AI66" s="779"/>
      <c r="AJ66" s="778"/>
      <c r="AK66" s="779"/>
      <c r="AL66" s="782"/>
      <c r="AM66" s="783"/>
    </row>
    <row r="67" spans="1:39" s="67" customFormat="1" ht="19.5" customHeight="1">
      <c r="A67" s="12" t="s">
        <v>204</v>
      </c>
      <c r="B67" s="709"/>
      <c r="C67" s="705"/>
      <c r="D67" s="709"/>
      <c r="E67" s="705"/>
      <c r="F67" s="709"/>
      <c r="G67" s="705"/>
      <c r="H67" s="716"/>
      <c r="I67" s="605"/>
      <c r="J67" s="716"/>
      <c r="K67" s="605"/>
      <c r="L67" s="716"/>
      <c r="M67" s="605"/>
      <c r="N67" s="716"/>
      <c r="O67" s="605"/>
      <c r="P67" s="716"/>
      <c r="Q67" s="705"/>
      <c r="R67" s="716"/>
      <c r="S67" s="605"/>
      <c r="T67" s="716"/>
      <c r="U67" s="605"/>
      <c r="V67" s="716"/>
      <c r="W67" s="605"/>
      <c r="X67" s="716">
        <v>1</v>
      </c>
      <c r="Y67" s="605">
        <v>227.7</v>
      </c>
      <c r="Z67" s="709"/>
      <c r="AA67" s="705"/>
      <c r="AB67" s="709"/>
      <c r="AC67" s="705"/>
      <c r="AD67" s="709">
        <v>2</v>
      </c>
      <c r="AE67" s="705">
        <v>280.2</v>
      </c>
      <c r="AF67" s="709"/>
      <c r="AG67" s="705"/>
      <c r="AH67" s="709"/>
      <c r="AI67" s="705"/>
      <c r="AJ67" s="709"/>
      <c r="AK67" s="705"/>
      <c r="AL67" s="728">
        <f aca="true" t="shared" si="7" ref="AL67:AM82">SUM(B67,D67,F67,H67,J67,L67,N67,P67,R67,T67,V67,Z67,X67,AB67,AD67,AF67,AH67,AJ67)</f>
        <v>3</v>
      </c>
      <c r="AM67" s="730">
        <f t="shared" si="7"/>
        <v>507.9</v>
      </c>
    </row>
    <row r="68" spans="1:39" s="67" customFormat="1" ht="19.5" customHeight="1">
      <c r="A68" s="12" t="s">
        <v>496</v>
      </c>
      <c r="B68" s="709"/>
      <c r="C68" s="705"/>
      <c r="D68" s="709"/>
      <c r="E68" s="705"/>
      <c r="F68" s="709"/>
      <c r="G68" s="705"/>
      <c r="H68" s="716"/>
      <c r="I68" s="605"/>
      <c r="J68" s="716"/>
      <c r="K68" s="605"/>
      <c r="L68" s="716"/>
      <c r="M68" s="605"/>
      <c r="N68" s="716"/>
      <c r="O68" s="605"/>
      <c r="P68" s="716"/>
      <c r="Q68" s="705"/>
      <c r="R68" s="716"/>
      <c r="S68" s="605"/>
      <c r="T68" s="716"/>
      <c r="U68" s="605"/>
      <c r="V68" s="716"/>
      <c r="W68" s="605"/>
      <c r="X68" s="716"/>
      <c r="Y68" s="605"/>
      <c r="Z68" s="709"/>
      <c r="AA68" s="705"/>
      <c r="AB68" s="709"/>
      <c r="AC68" s="705"/>
      <c r="AD68" s="709">
        <v>1</v>
      </c>
      <c r="AE68" s="705">
        <v>109.3</v>
      </c>
      <c r="AF68" s="709"/>
      <c r="AG68" s="705"/>
      <c r="AH68" s="709"/>
      <c r="AI68" s="705"/>
      <c r="AJ68" s="709"/>
      <c r="AK68" s="705"/>
      <c r="AL68" s="728">
        <f t="shared" si="7"/>
        <v>1</v>
      </c>
      <c r="AM68" s="730">
        <f t="shared" si="7"/>
        <v>109.3</v>
      </c>
    </row>
    <row r="69" spans="1:39" s="67" customFormat="1" ht="19.5" customHeight="1">
      <c r="A69" s="12" t="s">
        <v>278</v>
      </c>
      <c r="B69" s="709"/>
      <c r="C69" s="705"/>
      <c r="D69" s="709"/>
      <c r="E69" s="705"/>
      <c r="F69" s="709"/>
      <c r="G69" s="705"/>
      <c r="H69" s="716"/>
      <c r="I69" s="605"/>
      <c r="J69" s="716"/>
      <c r="K69" s="605"/>
      <c r="L69" s="716"/>
      <c r="M69" s="605"/>
      <c r="N69" s="716"/>
      <c r="O69" s="605"/>
      <c r="P69" s="716"/>
      <c r="Q69" s="705"/>
      <c r="R69" s="716"/>
      <c r="S69" s="605"/>
      <c r="T69" s="716"/>
      <c r="U69" s="605"/>
      <c r="V69" s="716"/>
      <c r="W69" s="605"/>
      <c r="X69" s="716"/>
      <c r="Y69" s="605"/>
      <c r="Z69" s="709"/>
      <c r="AA69" s="705"/>
      <c r="AB69" s="709"/>
      <c r="AC69" s="705"/>
      <c r="AD69" s="709">
        <v>2</v>
      </c>
      <c r="AE69" s="705">
        <v>288.6</v>
      </c>
      <c r="AF69" s="709"/>
      <c r="AG69" s="705"/>
      <c r="AH69" s="709"/>
      <c r="AI69" s="705"/>
      <c r="AJ69" s="709">
        <v>1</v>
      </c>
      <c r="AK69" s="705">
        <v>5.5</v>
      </c>
      <c r="AL69" s="728">
        <f t="shared" si="7"/>
        <v>3</v>
      </c>
      <c r="AM69" s="730">
        <f t="shared" si="7"/>
        <v>294.1</v>
      </c>
    </row>
    <row r="70" spans="1:39" s="67" customFormat="1" ht="19.5" customHeight="1">
      <c r="A70" s="12" t="s">
        <v>55</v>
      </c>
      <c r="B70" s="709"/>
      <c r="C70" s="705"/>
      <c r="D70" s="709"/>
      <c r="E70" s="705"/>
      <c r="F70" s="709"/>
      <c r="G70" s="705"/>
      <c r="H70" s="716"/>
      <c r="I70" s="605"/>
      <c r="J70" s="716"/>
      <c r="K70" s="605"/>
      <c r="L70" s="716"/>
      <c r="M70" s="605"/>
      <c r="N70" s="716"/>
      <c r="O70" s="605"/>
      <c r="P70" s="716"/>
      <c r="Q70" s="705"/>
      <c r="R70" s="716"/>
      <c r="S70" s="605"/>
      <c r="T70" s="716"/>
      <c r="U70" s="605"/>
      <c r="V70" s="716">
        <v>2</v>
      </c>
      <c r="W70" s="605">
        <v>560.8</v>
      </c>
      <c r="X70" s="716"/>
      <c r="Y70" s="605"/>
      <c r="Z70" s="709"/>
      <c r="AA70" s="705"/>
      <c r="AB70" s="709"/>
      <c r="AC70" s="705"/>
      <c r="AD70" s="709">
        <v>2</v>
      </c>
      <c r="AE70" s="705">
        <v>308</v>
      </c>
      <c r="AF70" s="709"/>
      <c r="AG70" s="705"/>
      <c r="AH70" s="709"/>
      <c r="AI70" s="705"/>
      <c r="AJ70" s="709"/>
      <c r="AK70" s="705"/>
      <c r="AL70" s="728">
        <f t="shared" si="7"/>
        <v>4</v>
      </c>
      <c r="AM70" s="730">
        <f t="shared" si="7"/>
        <v>868.8</v>
      </c>
    </row>
    <row r="71" spans="1:39" s="67" customFormat="1" ht="19.5" customHeight="1">
      <c r="A71" s="12" t="s">
        <v>56</v>
      </c>
      <c r="B71" s="709"/>
      <c r="C71" s="705"/>
      <c r="D71" s="709"/>
      <c r="E71" s="705"/>
      <c r="F71" s="709"/>
      <c r="G71" s="705"/>
      <c r="H71" s="716"/>
      <c r="I71" s="605"/>
      <c r="J71" s="716"/>
      <c r="K71" s="605"/>
      <c r="L71" s="716"/>
      <c r="M71" s="605"/>
      <c r="N71" s="716"/>
      <c r="O71" s="605"/>
      <c r="P71" s="716"/>
      <c r="Q71" s="705"/>
      <c r="R71" s="716"/>
      <c r="S71" s="605"/>
      <c r="T71" s="716"/>
      <c r="U71" s="605"/>
      <c r="V71" s="716">
        <v>1</v>
      </c>
      <c r="W71" s="605">
        <v>285.7</v>
      </c>
      <c r="X71" s="716"/>
      <c r="Y71" s="605"/>
      <c r="Z71" s="709"/>
      <c r="AA71" s="705"/>
      <c r="AB71" s="709"/>
      <c r="AC71" s="705"/>
      <c r="AD71" s="709"/>
      <c r="AE71" s="705"/>
      <c r="AF71" s="709"/>
      <c r="AG71" s="705"/>
      <c r="AH71" s="709"/>
      <c r="AI71" s="705"/>
      <c r="AJ71" s="709"/>
      <c r="AK71" s="705"/>
      <c r="AL71" s="728">
        <f t="shared" si="7"/>
        <v>1</v>
      </c>
      <c r="AM71" s="730">
        <f t="shared" si="7"/>
        <v>285.7</v>
      </c>
    </row>
    <row r="72" spans="1:39" s="67" customFormat="1" ht="19.5" customHeight="1">
      <c r="A72" s="12" t="s">
        <v>236</v>
      </c>
      <c r="B72" s="709">
        <v>1</v>
      </c>
      <c r="C72" s="705">
        <v>368.6</v>
      </c>
      <c r="D72" s="709"/>
      <c r="E72" s="705"/>
      <c r="F72" s="709"/>
      <c r="G72" s="705"/>
      <c r="H72" s="716"/>
      <c r="I72" s="605"/>
      <c r="J72" s="716"/>
      <c r="K72" s="605"/>
      <c r="L72" s="716"/>
      <c r="M72" s="605"/>
      <c r="N72" s="716"/>
      <c r="O72" s="605"/>
      <c r="P72" s="716"/>
      <c r="Q72" s="705"/>
      <c r="R72" s="716"/>
      <c r="S72" s="605"/>
      <c r="T72" s="716"/>
      <c r="U72" s="605"/>
      <c r="V72" s="716">
        <v>1</v>
      </c>
      <c r="W72" s="605">
        <v>187.9</v>
      </c>
      <c r="X72" s="716">
        <v>1</v>
      </c>
      <c r="Y72" s="605">
        <v>234.8</v>
      </c>
      <c r="Z72" s="709">
        <v>1</v>
      </c>
      <c r="AA72" s="705">
        <v>218.1</v>
      </c>
      <c r="AB72" s="709"/>
      <c r="AC72" s="705"/>
      <c r="AD72" s="709"/>
      <c r="AE72" s="705"/>
      <c r="AF72" s="709"/>
      <c r="AG72" s="705"/>
      <c r="AH72" s="709"/>
      <c r="AI72" s="705"/>
      <c r="AJ72" s="709"/>
      <c r="AK72" s="705"/>
      <c r="AL72" s="728">
        <f t="shared" si="7"/>
        <v>4</v>
      </c>
      <c r="AM72" s="730">
        <f t="shared" si="7"/>
        <v>1009.4000000000001</v>
      </c>
    </row>
    <row r="73" spans="1:39" s="67" customFormat="1" ht="19.5" customHeight="1">
      <c r="A73" s="12" t="s">
        <v>57</v>
      </c>
      <c r="B73" s="709">
        <v>1</v>
      </c>
      <c r="C73" s="705">
        <v>184.2</v>
      </c>
      <c r="D73" s="709"/>
      <c r="E73" s="705"/>
      <c r="F73" s="709"/>
      <c r="G73" s="705"/>
      <c r="H73" s="716"/>
      <c r="I73" s="605"/>
      <c r="J73" s="716"/>
      <c r="K73" s="605"/>
      <c r="L73" s="716"/>
      <c r="M73" s="605"/>
      <c r="N73" s="716"/>
      <c r="O73" s="605"/>
      <c r="P73" s="716"/>
      <c r="Q73" s="705"/>
      <c r="R73" s="716"/>
      <c r="S73" s="605"/>
      <c r="T73" s="716"/>
      <c r="U73" s="605"/>
      <c r="V73" s="716"/>
      <c r="W73" s="605"/>
      <c r="X73" s="716"/>
      <c r="Y73" s="605"/>
      <c r="Z73" s="709"/>
      <c r="AA73" s="705"/>
      <c r="AB73" s="709"/>
      <c r="AC73" s="705"/>
      <c r="AD73" s="709"/>
      <c r="AE73" s="705"/>
      <c r="AF73" s="709"/>
      <c r="AG73" s="705"/>
      <c r="AH73" s="709"/>
      <c r="AI73" s="705"/>
      <c r="AJ73" s="709"/>
      <c r="AK73" s="705"/>
      <c r="AL73" s="728">
        <f t="shared" si="7"/>
        <v>1</v>
      </c>
      <c r="AM73" s="730">
        <f t="shared" si="7"/>
        <v>184.2</v>
      </c>
    </row>
    <row r="74" spans="1:39" s="67" customFormat="1" ht="19.5" customHeight="1">
      <c r="A74" s="12" t="s">
        <v>279</v>
      </c>
      <c r="B74" s="709">
        <v>2</v>
      </c>
      <c r="C74" s="705">
        <v>523</v>
      </c>
      <c r="D74" s="709"/>
      <c r="E74" s="705"/>
      <c r="F74" s="709"/>
      <c r="G74" s="705"/>
      <c r="H74" s="716"/>
      <c r="I74" s="605"/>
      <c r="J74" s="716"/>
      <c r="K74" s="605"/>
      <c r="L74" s="716"/>
      <c r="M74" s="605"/>
      <c r="N74" s="716"/>
      <c r="O74" s="605"/>
      <c r="P74" s="716"/>
      <c r="Q74" s="705"/>
      <c r="R74" s="716"/>
      <c r="S74" s="605"/>
      <c r="T74" s="716"/>
      <c r="U74" s="605"/>
      <c r="V74" s="716">
        <v>1</v>
      </c>
      <c r="W74" s="605">
        <v>239.8</v>
      </c>
      <c r="X74" s="716">
        <v>1</v>
      </c>
      <c r="Y74" s="605">
        <v>246.7</v>
      </c>
      <c r="Z74" s="709"/>
      <c r="AA74" s="705"/>
      <c r="AB74" s="709"/>
      <c r="AC74" s="705"/>
      <c r="AD74" s="709">
        <v>2</v>
      </c>
      <c r="AE74" s="705">
        <v>316.2</v>
      </c>
      <c r="AF74" s="709"/>
      <c r="AG74" s="705"/>
      <c r="AH74" s="709"/>
      <c r="AI74" s="705"/>
      <c r="AJ74" s="709"/>
      <c r="AK74" s="705"/>
      <c r="AL74" s="728">
        <f t="shared" si="7"/>
        <v>6</v>
      </c>
      <c r="AM74" s="730">
        <f t="shared" si="7"/>
        <v>1325.7</v>
      </c>
    </row>
    <row r="75" spans="1:39" s="67" customFormat="1" ht="19.5" customHeight="1">
      <c r="A75" s="12" t="s">
        <v>514</v>
      </c>
      <c r="B75" s="709"/>
      <c r="C75" s="705"/>
      <c r="D75" s="709"/>
      <c r="E75" s="705"/>
      <c r="F75" s="709"/>
      <c r="G75" s="705"/>
      <c r="H75" s="716"/>
      <c r="I75" s="605"/>
      <c r="J75" s="716"/>
      <c r="K75" s="605"/>
      <c r="L75" s="716"/>
      <c r="M75" s="605"/>
      <c r="N75" s="716"/>
      <c r="O75" s="605"/>
      <c r="P75" s="716"/>
      <c r="Q75" s="705"/>
      <c r="R75" s="716"/>
      <c r="S75" s="605"/>
      <c r="T75" s="716"/>
      <c r="U75" s="605"/>
      <c r="V75" s="716"/>
      <c r="W75" s="605"/>
      <c r="X75" s="716"/>
      <c r="Y75" s="605"/>
      <c r="Z75" s="709"/>
      <c r="AA75" s="705"/>
      <c r="AB75" s="709"/>
      <c r="AC75" s="705"/>
      <c r="AD75" s="709"/>
      <c r="AE75" s="705"/>
      <c r="AF75" s="709"/>
      <c r="AG75" s="705"/>
      <c r="AH75" s="709"/>
      <c r="AI75" s="705"/>
      <c r="AJ75" s="709">
        <v>1</v>
      </c>
      <c r="AK75" s="705">
        <v>5.5</v>
      </c>
      <c r="AL75" s="728">
        <f>SUM(B75,D75,F75,H75,J75,L75,N75,P75,R75,T75,V75,Z75,X75,AB75,AD75,AF75,AH75,AJ75)</f>
        <v>1</v>
      </c>
      <c r="AM75" s="730">
        <f>SUM(C75,E75,G75,I75,K75,M75,O75,Q75,S75,U75,W75,AA75,Y75,AC75,AE75,AG75,AI75,AK75)</f>
        <v>5.5</v>
      </c>
    </row>
    <row r="76" spans="1:39" s="67" customFormat="1" ht="19.5" customHeight="1">
      <c r="A76" s="12" t="s">
        <v>497</v>
      </c>
      <c r="B76" s="709"/>
      <c r="C76" s="705"/>
      <c r="D76" s="709"/>
      <c r="E76" s="705"/>
      <c r="F76" s="709"/>
      <c r="G76" s="705"/>
      <c r="H76" s="716"/>
      <c r="I76" s="605"/>
      <c r="J76" s="716"/>
      <c r="K76" s="605"/>
      <c r="L76" s="716"/>
      <c r="M76" s="605"/>
      <c r="N76" s="716"/>
      <c r="O76" s="605"/>
      <c r="P76" s="716"/>
      <c r="Q76" s="705"/>
      <c r="R76" s="716"/>
      <c r="S76" s="605"/>
      <c r="T76" s="716"/>
      <c r="U76" s="605"/>
      <c r="V76" s="716"/>
      <c r="W76" s="605"/>
      <c r="X76" s="716"/>
      <c r="Y76" s="605"/>
      <c r="Z76" s="709"/>
      <c r="AA76" s="705"/>
      <c r="AB76" s="709"/>
      <c r="AC76" s="705"/>
      <c r="AD76" s="709">
        <v>1</v>
      </c>
      <c r="AE76" s="705">
        <v>109.3</v>
      </c>
      <c r="AF76" s="709"/>
      <c r="AG76" s="705"/>
      <c r="AH76" s="709"/>
      <c r="AI76" s="705"/>
      <c r="AJ76" s="709"/>
      <c r="AK76" s="705"/>
      <c r="AL76" s="728">
        <f t="shared" si="7"/>
        <v>1</v>
      </c>
      <c r="AM76" s="730">
        <f t="shared" si="7"/>
        <v>109.3</v>
      </c>
    </row>
    <row r="77" spans="1:39" s="67" customFormat="1" ht="19.5" customHeight="1">
      <c r="A77" s="12" t="s">
        <v>58</v>
      </c>
      <c r="B77" s="709">
        <v>1</v>
      </c>
      <c r="C77" s="705">
        <v>298.8</v>
      </c>
      <c r="D77" s="709"/>
      <c r="E77" s="705"/>
      <c r="F77" s="709"/>
      <c r="G77" s="705"/>
      <c r="H77" s="716"/>
      <c r="I77" s="605"/>
      <c r="J77" s="716"/>
      <c r="K77" s="605"/>
      <c r="L77" s="716"/>
      <c r="M77" s="605"/>
      <c r="N77" s="716"/>
      <c r="O77" s="605"/>
      <c r="P77" s="716"/>
      <c r="Q77" s="705"/>
      <c r="R77" s="716"/>
      <c r="S77" s="605"/>
      <c r="T77" s="716"/>
      <c r="U77" s="605"/>
      <c r="V77" s="716"/>
      <c r="W77" s="605"/>
      <c r="X77" s="716"/>
      <c r="Y77" s="605"/>
      <c r="Z77" s="709"/>
      <c r="AA77" s="705"/>
      <c r="AB77" s="709"/>
      <c r="AC77" s="705"/>
      <c r="AD77" s="709">
        <v>1</v>
      </c>
      <c r="AE77" s="705">
        <v>108.9</v>
      </c>
      <c r="AF77" s="709"/>
      <c r="AG77" s="705"/>
      <c r="AH77" s="709"/>
      <c r="AI77" s="705"/>
      <c r="AJ77" s="709"/>
      <c r="AK77" s="705"/>
      <c r="AL77" s="728">
        <f t="shared" si="7"/>
        <v>2</v>
      </c>
      <c r="AM77" s="730">
        <f t="shared" si="7"/>
        <v>407.70000000000005</v>
      </c>
    </row>
    <row r="78" spans="1:39" s="67" customFormat="1" ht="19.5" customHeight="1">
      <c r="A78" s="12" t="s">
        <v>237</v>
      </c>
      <c r="B78" s="709">
        <v>1</v>
      </c>
      <c r="C78" s="705">
        <v>254.6</v>
      </c>
      <c r="D78" s="709"/>
      <c r="E78" s="705"/>
      <c r="F78" s="709"/>
      <c r="G78" s="705"/>
      <c r="H78" s="716"/>
      <c r="I78" s="605"/>
      <c r="J78" s="716"/>
      <c r="K78" s="605"/>
      <c r="L78" s="716"/>
      <c r="M78" s="605"/>
      <c r="N78" s="716"/>
      <c r="O78" s="605"/>
      <c r="P78" s="716"/>
      <c r="Q78" s="705"/>
      <c r="R78" s="716"/>
      <c r="S78" s="605"/>
      <c r="T78" s="716"/>
      <c r="U78" s="605"/>
      <c r="V78" s="716"/>
      <c r="W78" s="605"/>
      <c r="X78" s="716"/>
      <c r="Y78" s="605"/>
      <c r="Z78" s="709"/>
      <c r="AA78" s="705"/>
      <c r="AB78" s="709"/>
      <c r="AC78" s="705"/>
      <c r="AD78" s="709">
        <v>2</v>
      </c>
      <c r="AE78" s="705">
        <v>316.2</v>
      </c>
      <c r="AF78" s="709"/>
      <c r="AG78" s="705"/>
      <c r="AH78" s="709"/>
      <c r="AI78" s="705"/>
      <c r="AJ78" s="709"/>
      <c r="AK78" s="705"/>
      <c r="AL78" s="728">
        <f t="shared" si="7"/>
        <v>3</v>
      </c>
      <c r="AM78" s="730">
        <f t="shared" si="7"/>
        <v>570.8</v>
      </c>
    </row>
    <row r="79" spans="1:39" s="67" customFormat="1" ht="19.5" customHeight="1">
      <c r="A79" s="12" t="s">
        <v>281</v>
      </c>
      <c r="B79" s="709"/>
      <c r="C79" s="705"/>
      <c r="D79" s="709"/>
      <c r="E79" s="705"/>
      <c r="F79" s="709"/>
      <c r="G79" s="705"/>
      <c r="H79" s="716"/>
      <c r="I79" s="605"/>
      <c r="J79" s="716"/>
      <c r="K79" s="605"/>
      <c r="L79" s="716"/>
      <c r="M79" s="605"/>
      <c r="N79" s="716"/>
      <c r="O79" s="605"/>
      <c r="P79" s="716"/>
      <c r="Q79" s="705"/>
      <c r="R79" s="716"/>
      <c r="S79" s="605"/>
      <c r="T79" s="716"/>
      <c r="U79" s="605"/>
      <c r="V79" s="716"/>
      <c r="W79" s="605"/>
      <c r="X79" s="716">
        <v>1</v>
      </c>
      <c r="Y79" s="605">
        <v>195</v>
      </c>
      <c r="Z79" s="709">
        <v>1</v>
      </c>
      <c r="AA79" s="705">
        <v>294.5</v>
      </c>
      <c r="AB79" s="709"/>
      <c r="AC79" s="705"/>
      <c r="AD79" s="709">
        <v>2</v>
      </c>
      <c r="AE79" s="705">
        <v>291.2</v>
      </c>
      <c r="AF79" s="709"/>
      <c r="AG79" s="705"/>
      <c r="AH79" s="709"/>
      <c r="AI79" s="705"/>
      <c r="AJ79" s="709"/>
      <c r="AK79" s="705"/>
      <c r="AL79" s="728">
        <f t="shared" si="7"/>
        <v>4</v>
      </c>
      <c r="AM79" s="730">
        <f t="shared" si="7"/>
        <v>780.7</v>
      </c>
    </row>
    <row r="80" spans="1:39" s="67" customFormat="1" ht="19.5" customHeight="1">
      <c r="A80" s="12" t="s">
        <v>59</v>
      </c>
      <c r="B80" s="709"/>
      <c r="C80" s="705"/>
      <c r="D80" s="709"/>
      <c r="E80" s="705"/>
      <c r="F80" s="709"/>
      <c r="G80" s="705"/>
      <c r="H80" s="716"/>
      <c r="I80" s="605"/>
      <c r="J80" s="716"/>
      <c r="K80" s="605"/>
      <c r="L80" s="716">
        <v>3</v>
      </c>
      <c r="M80" s="605">
        <v>478.4</v>
      </c>
      <c r="N80" s="716"/>
      <c r="O80" s="605"/>
      <c r="P80" s="716"/>
      <c r="Q80" s="705"/>
      <c r="R80" s="716"/>
      <c r="S80" s="605"/>
      <c r="T80" s="716"/>
      <c r="U80" s="605"/>
      <c r="V80" s="716"/>
      <c r="W80" s="605"/>
      <c r="X80" s="716"/>
      <c r="Y80" s="605"/>
      <c r="Z80" s="709"/>
      <c r="AA80" s="705"/>
      <c r="AB80" s="709"/>
      <c r="AC80" s="705"/>
      <c r="AD80" s="709">
        <v>3</v>
      </c>
      <c r="AE80" s="705">
        <v>743.5</v>
      </c>
      <c r="AF80" s="709"/>
      <c r="AG80" s="705"/>
      <c r="AH80" s="709"/>
      <c r="AI80" s="705"/>
      <c r="AJ80" s="709"/>
      <c r="AK80" s="705"/>
      <c r="AL80" s="728">
        <f t="shared" si="7"/>
        <v>6</v>
      </c>
      <c r="AM80" s="730">
        <f t="shared" si="7"/>
        <v>1221.9</v>
      </c>
    </row>
    <row r="81" spans="1:39" s="67" customFormat="1" ht="19.5" customHeight="1">
      <c r="A81" s="12" t="s">
        <v>60</v>
      </c>
      <c r="B81" s="709"/>
      <c r="C81" s="705"/>
      <c r="D81" s="709"/>
      <c r="E81" s="705"/>
      <c r="F81" s="709"/>
      <c r="G81" s="705"/>
      <c r="H81" s="716"/>
      <c r="I81" s="605"/>
      <c r="J81" s="716"/>
      <c r="K81" s="605"/>
      <c r="L81" s="716"/>
      <c r="M81" s="605"/>
      <c r="N81" s="716"/>
      <c r="O81" s="605"/>
      <c r="P81" s="716"/>
      <c r="Q81" s="705"/>
      <c r="R81" s="716"/>
      <c r="S81" s="605"/>
      <c r="T81" s="716"/>
      <c r="U81" s="605"/>
      <c r="V81" s="716"/>
      <c r="W81" s="605"/>
      <c r="X81" s="716"/>
      <c r="Y81" s="605"/>
      <c r="Z81" s="709"/>
      <c r="AA81" s="705"/>
      <c r="AB81" s="709"/>
      <c r="AC81" s="705"/>
      <c r="AD81" s="709">
        <v>2</v>
      </c>
      <c r="AE81" s="705">
        <v>359</v>
      </c>
      <c r="AF81" s="709"/>
      <c r="AG81" s="705"/>
      <c r="AH81" s="709"/>
      <c r="AI81" s="705"/>
      <c r="AJ81" s="709"/>
      <c r="AK81" s="705"/>
      <c r="AL81" s="728">
        <f t="shared" si="7"/>
        <v>2</v>
      </c>
      <c r="AM81" s="730">
        <f t="shared" si="7"/>
        <v>359</v>
      </c>
    </row>
    <row r="82" spans="1:39" s="67" customFormat="1" ht="19.5" customHeight="1">
      <c r="A82" s="12" t="s">
        <v>170</v>
      </c>
      <c r="B82" s="709"/>
      <c r="C82" s="705"/>
      <c r="D82" s="709"/>
      <c r="E82" s="705"/>
      <c r="F82" s="709"/>
      <c r="G82" s="705"/>
      <c r="H82" s="716"/>
      <c r="I82" s="605"/>
      <c r="J82" s="716"/>
      <c r="K82" s="605"/>
      <c r="L82" s="716"/>
      <c r="M82" s="605"/>
      <c r="N82" s="716"/>
      <c r="O82" s="605"/>
      <c r="P82" s="716"/>
      <c r="Q82" s="705"/>
      <c r="R82" s="716"/>
      <c r="S82" s="605"/>
      <c r="T82" s="716"/>
      <c r="U82" s="605"/>
      <c r="V82" s="716"/>
      <c r="W82" s="605"/>
      <c r="X82" s="716"/>
      <c r="Y82" s="605"/>
      <c r="Z82" s="709"/>
      <c r="AA82" s="705"/>
      <c r="AB82" s="709"/>
      <c r="AC82" s="705"/>
      <c r="AD82" s="709">
        <v>1</v>
      </c>
      <c r="AE82" s="705">
        <v>140.1</v>
      </c>
      <c r="AF82" s="709"/>
      <c r="AG82" s="705"/>
      <c r="AH82" s="709"/>
      <c r="AI82" s="705"/>
      <c r="AJ82" s="709"/>
      <c r="AK82" s="705"/>
      <c r="AL82" s="728">
        <f t="shared" si="7"/>
        <v>1</v>
      </c>
      <c r="AM82" s="730">
        <f t="shared" si="7"/>
        <v>140.1</v>
      </c>
    </row>
    <row r="83" spans="1:39" s="350" customFormat="1" ht="19.5" customHeight="1">
      <c r="A83" s="18" t="s">
        <v>203</v>
      </c>
      <c r="B83" s="710"/>
      <c r="C83" s="706"/>
      <c r="D83" s="710"/>
      <c r="E83" s="706"/>
      <c r="F83" s="710"/>
      <c r="G83" s="706"/>
      <c r="H83" s="717"/>
      <c r="I83" s="718"/>
      <c r="J83" s="717"/>
      <c r="K83" s="718"/>
      <c r="L83" s="717"/>
      <c r="M83" s="718"/>
      <c r="N83" s="717"/>
      <c r="O83" s="718"/>
      <c r="P83" s="717"/>
      <c r="Q83" s="706"/>
      <c r="R83" s="717"/>
      <c r="S83" s="718"/>
      <c r="T83" s="717"/>
      <c r="U83" s="718"/>
      <c r="V83" s="717"/>
      <c r="W83" s="718"/>
      <c r="X83" s="717"/>
      <c r="Y83" s="718"/>
      <c r="Z83" s="710"/>
      <c r="AA83" s="706"/>
      <c r="AB83" s="710"/>
      <c r="AC83" s="706"/>
      <c r="AD83" s="710">
        <v>2</v>
      </c>
      <c r="AE83" s="706">
        <v>362.9</v>
      </c>
      <c r="AF83" s="710"/>
      <c r="AG83" s="706"/>
      <c r="AH83" s="710"/>
      <c r="AI83" s="706"/>
      <c r="AJ83" s="710"/>
      <c r="AK83" s="706"/>
      <c r="AL83" s="729">
        <f>SUM(B83,D83,F83,H83,J83,L83,N83,P83,R83,T83,V83,Z83,X83,AB83,AD83,AF83,AH83,AJ83)</f>
        <v>2</v>
      </c>
      <c r="AM83" s="731">
        <f>SUM(C83,E83,G83,I83,K83,M83,O83,Q83,S83,U83,W83,AA83,Y83,AC83,AE83,AG83,AI83,AK83)</f>
        <v>362.9</v>
      </c>
    </row>
    <row r="84" spans="1:39" s="67" customFormat="1" ht="27" customHeight="1" thickBot="1">
      <c r="A84" s="735" t="s">
        <v>206</v>
      </c>
      <c r="B84" s="778">
        <v>10</v>
      </c>
      <c r="C84" s="779">
        <v>759</v>
      </c>
      <c r="D84" s="778"/>
      <c r="E84" s="779"/>
      <c r="F84" s="778"/>
      <c r="G84" s="779"/>
      <c r="H84" s="780">
        <v>3</v>
      </c>
      <c r="I84" s="781">
        <v>378</v>
      </c>
      <c r="J84" s="780">
        <v>20</v>
      </c>
      <c r="K84" s="781">
        <v>2308.8</v>
      </c>
      <c r="L84" s="780"/>
      <c r="M84" s="781"/>
      <c r="N84" s="780">
        <v>2</v>
      </c>
      <c r="O84" s="781">
        <v>371.7</v>
      </c>
      <c r="P84" s="780">
        <v>1</v>
      </c>
      <c r="Q84" s="779">
        <v>72.7</v>
      </c>
      <c r="R84" s="780"/>
      <c r="S84" s="781"/>
      <c r="T84" s="780"/>
      <c r="U84" s="781"/>
      <c r="V84" s="780">
        <v>21</v>
      </c>
      <c r="W84" s="781">
        <v>1000.7</v>
      </c>
      <c r="X84" s="780">
        <v>6</v>
      </c>
      <c r="Y84" s="781">
        <v>420</v>
      </c>
      <c r="Z84" s="778">
        <v>47</v>
      </c>
      <c r="AA84" s="779">
        <v>1463.8</v>
      </c>
      <c r="AB84" s="778"/>
      <c r="AC84" s="779">
        <v>339.8</v>
      </c>
      <c r="AD84" s="778">
        <v>6</v>
      </c>
      <c r="AE84" s="1194">
        <f>380.8+20493.9+3114.2</f>
        <v>23988.9</v>
      </c>
      <c r="AF84" s="778">
        <v>6</v>
      </c>
      <c r="AG84" s="779">
        <v>104.4</v>
      </c>
      <c r="AH84" s="778">
        <v>7</v>
      </c>
      <c r="AI84" s="779">
        <v>199.5</v>
      </c>
      <c r="AJ84" s="778">
        <v>4</v>
      </c>
      <c r="AK84" s="779">
        <v>324.6</v>
      </c>
      <c r="AL84" s="782">
        <f>SUM(B84,D84,F84,H84,J84,L84,N84,P84,R84,T84,V84,Z84,X84,AB84,AD84,AF84,AH84,AJ84)</f>
        <v>133</v>
      </c>
      <c r="AM84" s="784">
        <f>SUM(C84,E84,G84,I84,K84,M84,O84,Q84,S84,U84,W84,AA84,Y84,AC84,AE84,AG84,AI84,AK84)</f>
        <v>31731.9</v>
      </c>
    </row>
    <row r="85" spans="1:39" s="359" customFormat="1" ht="27" customHeight="1" thickBot="1">
      <c r="A85" s="760" t="s">
        <v>61</v>
      </c>
      <c r="B85" s="761">
        <f>SUM(B4:B84)</f>
        <v>334</v>
      </c>
      <c r="C85" s="1195">
        <f>SUM(C4:C84)</f>
        <v>35956.8</v>
      </c>
      <c r="D85" s="761">
        <f aca="true" t="shared" si="8" ref="D85:AM85">SUM(D4:D84)</f>
        <v>9</v>
      </c>
      <c r="E85" s="1195">
        <f t="shared" si="8"/>
        <v>1425.4</v>
      </c>
      <c r="F85" s="761">
        <f t="shared" si="8"/>
        <v>35</v>
      </c>
      <c r="G85" s="1195">
        <f t="shared" si="8"/>
        <v>6912.500000000001</v>
      </c>
      <c r="H85" s="762">
        <f t="shared" si="8"/>
        <v>264</v>
      </c>
      <c r="I85" s="1205">
        <f t="shared" si="8"/>
        <v>27046.2</v>
      </c>
      <c r="J85" s="762">
        <f t="shared" si="8"/>
        <v>112</v>
      </c>
      <c r="K85" s="1205">
        <f t="shared" si="8"/>
        <v>11794</v>
      </c>
      <c r="L85" s="762">
        <f t="shared" si="8"/>
        <v>54</v>
      </c>
      <c r="M85" s="1205">
        <f t="shared" si="8"/>
        <v>5949.6</v>
      </c>
      <c r="N85" s="762">
        <f t="shared" si="8"/>
        <v>69</v>
      </c>
      <c r="O85" s="1205">
        <f t="shared" si="8"/>
        <v>6999.4000000000015</v>
      </c>
      <c r="P85" s="762">
        <f t="shared" si="8"/>
        <v>28</v>
      </c>
      <c r="Q85" s="1195">
        <f t="shared" si="8"/>
        <v>4291</v>
      </c>
      <c r="R85" s="762">
        <f t="shared" si="8"/>
        <v>4</v>
      </c>
      <c r="S85" s="1205">
        <f t="shared" si="8"/>
        <v>4120</v>
      </c>
      <c r="T85" s="762">
        <f t="shared" si="8"/>
        <v>12</v>
      </c>
      <c r="U85" s="763">
        <f t="shared" si="8"/>
        <v>918.5</v>
      </c>
      <c r="V85" s="762">
        <f t="shared" si="8"/>
        <v>189</v>
      </c>
      <c r="W85" s="1205">
        <f>SUM(W4:W84)</f>
        <v>18725.5</v>
      </c>
      <c r="X85" s="762">
        <f t="shared" si="8"/>
        <v>184</v>
      </c>
      <c r="Y85" s="1205">
        <f t="shared" si="8"/>
        <v>21802.6</v>
      </c>
      <c r="Z85" s="761">
        <f t="shared" si="8"/>
        <v>420</v>
      </c>
      <c r="AA85" s="1195">
        <f t="shared" si="8"/>
        <v>37678.50000000001</v>
      </c>
      <c r="AB85" s="761">
        <f t="shared" si="8"/>
        <v>35</v>
      </c>
      <c r="AC85" s="1195">
        <f t="shared" si="8"/>
        <v>7607.4</v>
      </c>
      <c r="AD85" s="761">
        <f t="shared" si="8"/>
        <v>150</v>
      </c>
      <c r="AE85" s="1195">
        <f t="shared" si="8"/>
        <v>62095.09999999999</v>
      </c>
      <c r="AF85" s="761">
        <f t="shared" si="8"/>
        <v>33</v>
      </c>
      <c r="AG85" s="1195">
        <f t="shared" si="8"/>
        <v>2870.5000000000005</v>
      </c>
      <c r="AH85" s="761">
        <f t="shared" si="8"/>
        <v>113</v>
      </c>
      <c r="AI85" s="1195">
        <f t="shared" si="8"/>
        <v>11965.500000000002</v>
      </c>
      <c r="AJ85" s="761">
        <f t="shared" si="8"/>
        <v>250</v>
      </c>
      <c r="AK85" s="1195">
        <f t="shared" si="8"/>
        <v>4825.700000000001</v>
      </c>
      <c r="AL85" s="1206">
        <f t="shared" si="8"/>
        <v>2295</v>
      </c>
      <c r="AM85" s="1205">
        <f t="shared" si="8"/>
        <v>272984.2</v>
      </c>
    </row>
    <row r="86" spans="2:39" s="67" customFormat="1" ht="27" customHeight="1">
      <c r="B86" s="711"/>
      <c r="C86" s="703"/>
      <c r="D86" s="711"/>
      <c r="E86" s="703"/>
      <c r="F86" s="711"/>
      <c r="G86" s="703"/>
      <c r="H86" s="719"/>
      <c r="I86" s="720"/>
      <c r="J86" s="719"/>
      <c r="K86" s="720"/>
      <c r="L86" s="719"/>
      <c r="M86" s="720"/>
      <c r="N86" s="719"/>
      <c r="O86" s="720"/>
      <c r="P86" s="719"/>
      <c r="Q86" s="703"/>
      <c r="R86" s="719"/>
      <c r="S86" s="720"/>
      <c r="T86" s="719"/>
      <c r="U86" s="720"/>
      <c r="V86" s="719"/>
      <c r="W86" s="720"/>
      <c r="X86" s="719"/>
      <c r="Y86" s="720"/>
      <c r="Z86" s="711"/>
      <c r="AA86" s="703"/>
      <c r="AB86" s="711"/>
      <c r="AC86" s="703"/>
      <c r="AD86" s="711"/>
      <c r="AE86" s="703"/>
      <c r="AF86" s="711"/>
      <c r="AG86" s="703"/>
      <c r="AH86" s="711"/>
      <c r="AI86" s="703"/>
      <c r="AJ86" s="711"/>
      <c r="AK86" s="703"/>
      <c r="AL86" s="711"/>
      <c r="AM86" s="720"/>
    </row>
    <row r="87" spans="2:39" s="67" customFormat="1" ht="27" customHeight="1">
      <c r="B87" s="711"/>
      <c r="C87" s="703"/>
      <c r="D87" s="711"/>
      <c r="E87" s="703"/>
      <c r="F87" s="711"/>
      <c r="G87" s="703"/>
      <c r="H87" s="719"/>
      <c r="I87" s="720"/>
      <c r="J87" s="719"/>
      <c r="K87" s="720"/>
      <c r="L87" s="719"/>
      <c r="M87" s="720"/>
      <c r="N87" s="719"/>
      <c r="O87" s="720"/>
      <c r="P87" s="719"/>
      <c r="Q87" s="703"/>
      <c r="R87" s="719"/>
      <c r="S87" s="720"/>
      <c r="T87" s="719"/>
      <c r="U87" s="720"/>
      <c r="V87" s="719"/>
      <c r="W87" s="720"/>
      <c r="X87" s="719"/>
      <c r="Y87" s="720"/>
      <c r="Z87" s="711"/>
      <c r="AA87" s="703"/>
      <c r="AB87" s="711"/>
      <c r="AC87" s="703"/>
      <c r="AD87" s="711"/>
      <c r="AE87" s="703"/>
      <c r="AF87" s="711"/>
      <c r="AG87" s="703"/>
      <c r="AH87" s="711"/>
      <c r="AI87" s="703"/>
      <c r="AJ87" s="711"/>
      <c r="AK87" s="703"/>
      <c r="AL87" s="711"/>
      <c r="AM87" s="720"/>
    </row>
    <row r="88" spans="2:39" s="67" customFormat="1" ht="27" customHeight="1">
      <c r="B88" s="711"/>
      <c r="C88" s="703"/>
      <c r="D88" s="711"/>
      <c r="E88" s="703"/>
      <c r="F88" s="711"/>
      <c r="G88" s="703"/>
      <c r="H88" s="719"/>
      <c r="I88" s="720"/>
      <c r="J88" s="719"/>
      <c r="K88" s="1204"/>
      <c r="L88" s="719"/>
      <c r="M88" s="720"/>
      <c r="N88" s="719"/>
      <c r="O88" s="720"/>
      <c r="P88" s="719"/>
      <c r="Q88" s="703"/>
      <c r="R88" s="719"/>
      <c r="S88" s="720"/>
      <c r="T88" s="719"/>
      <c r="U88" s="720"/>
      <c r="V88" s="719"/>
      <c r="W88" s="720"/>
      <c r="X88" s="719"/>
      <c r="Y88" s="720"/>
      <c r="Z88" s="711"/>
      <c r="AA88" s="703"/>
      <c r="AB88" s="711"/>
      <c r="AC88" s="703"/>
      <c r="AD88" s="711"/>
      <c r="AE88" s="703"/>
      <c r="AF88" s="711"/>
      <c r="AG88" s="703"/>
      <c r="AH88" s="711"/>
      <c r="AI88" s="703"/>
      <c r="AJ88" s="711"/>
      <c r="AK88" s="703"/>
      <c r="AL88" s="711"/>
      <c r="AM88" s="720"/>
    </row>
    <row r="89" spans="2:39" s="67" customFormat="1" ht="27" customHeight="1">
      <c r="B89" s="711"/>
      <c r="C89" s="703"/>
      <c r="D89" s="711"/>
      <c r="E89" s="703"/>
      <c r="F89" s="711"/>
      <c r="G89" s="703"/>
      <c r="H89" s="719"/>
      <c r="I89" s="720"/>
      <c r="J89" s="719"/>
      <c r="K89" s="720"/>
      <c r="L89" s="719"/>
      <c r="M89" s="720"/>
      <c r="N89" s="719"/>
      <c r="O89" s="720"/>
      <c r="P89" s="719"/>
      <c r="Q89" s="703"/>
      <c r="R89" s="719"/>
      <c r="S89" s="720"/>
      <c r="T89" s="719"/>
      <c r="U89" s="720"/>
      <c r="V89" s="719"/>
      <c r="W89" s="720"/>
      <c r="X89" s="719"/>
      <c r="Y89" s="720"/>
      <c r="Z89" s="711"/>
      <c r="AA89" s="703"/>
      <c r="AB89" s="711"/>
      <c r="AC89" s="703"/>
      <c r="AD89" s="711"/>
      <c r="AE89" s="703"/>
      <c r="AF89" s="711"/>
      <c r="AG89" s="703"/>
      <c r="AH89" s="711"/>
      <c r="AI89" s="703"/>
      <c r="AJ89" s="711"/>
      <c r="AK89" s="703"/>
      <c r="AL89" s="711"/>
      <c r="AM89" s="720"/>
    </row>
    <row r="90" spans="2:39" s="67" customFormat="1" ht="27" customHeight="1">
      <c r="B90" s="711"/>
      <c r="C90" s="703"/>
      <c r="D90" s="711"/>
      <c r="E90" s="703"/>
      <c r="F90" s="711"/>
      <c r="G90" s="703"/>
      <c r="H90" s="719"/>
      <c r="I90" s="720"/>
      <c r="J90" s="719"/>
      <c r="K90" s="720"/>
      <c r="L90" s="719"/>
      <c r="M90" s="720"/>
      <c r="N90" s="719"/>
      <c r="O90" s="720"/>
      <c r="P90" s="719"/>
      <c r="Q90" s="703"/>
      <c r="R90" s="719"/>
      <c r="S90" s="720"/>
      <c r="T90" s="719"/>
      <c r="U90" s="720"/>
      <c r="V90" s="719"/>
      <c r="W90" s="720"/>
      <c r="X90" s="719"/>
      <c r="Y90" s="720"/>
      <c r="Z90" s="711"/>
      <c r="AA90" s="703"/>
      <c r="AB90" s="711"/>
      <c r="AC90" s="703"/>
      <c r="AD90" s="711"/>
      <c r="AE90" s="703"/>
      <c r="AF90" s="711"/>
      <c r="AG90" s="703"/>
      <c r="AH90" s="711"/>
      <c r="AI90" s="703"/>
      <c r="AJ90" s="711"/>
      <c r="AK90" s="703"/>
      <c r="AL90" s="711"/>
      <c r="AM90" s="720"/>
    </row>
    <row r="91" spans="2:39" s="67" customFormat="1" ht="27" customHeight="1">
      <c r="B91" s="711"/>
      <c r="C91" s="703"/>
      <c r="D91" s="711"/>
      <c r="E91" s="703"/>
      <c r="F91" s="711"/>
      <c r="G91" s="703"/>
      <c r="H91" s="719"/>
      <c r="I91" s="720"/>
      <c r="J91" s="719"/>
      <c r="K91" s="720"/>
      <c r="L91" s="719"/>
      <c r="M91" s="720"/>
      <c r="N91" s="719"/>
      <c r="O91" s="720"/>
      <c r="P91" s="719"/>
      <c r="Q91" s="703"/>
      <c r="R91" s="719"/>
      <c r="S91" s="720"/>
      <c r="T91" s="719"/>
      <c r="U91" s="720"/>
      <c r="V91" s="719"/>
      <c r="W91" s="720"/>
      <c r="X91" s="719"/>
      <c r="Y91" s="720"/>
      <c r="Z91" s="711"/>
      <c r="AA91" s="703"/>
      <c r="AB91" s="711"/>
      <c r="AC91" s="703"/>
      <c r="AD91" s="711"/>
      <c r="AE91" s="703"/>
      <c r="AF91" s="711"/>
      <c r="AG91" s="703"/>
      <c r="AH91" s="711"/>
      <c r="AI91" s="703"/>
      <c r="AJ91" s="711"/>
      <c r="AK91" s="703"/>
      <c r="AL91" s="711"/>
      <c r="AM91" s="720"/>
    </row>
    <row r="92" spans="2:39" s="67" customFormat="1" ht="27" customHeight="1">
      <c r="B92" s="711"/>
      <c r="C92" s="703"/>
      <c r="D92" s="711"/>
      <c r="E92" s="703"/>
      <c r="F92" s="711"/>
      <c r="G92" s="703"/>
      <c r="H92" s="719"/>
      <c r="I92" s="720"/>
      <c r="J92" s="719"/>
      <c r="K92" s="720"/>
      <c r="L92" s="719"/>
      <c r="M92" s="720"/>
      <c r="N92" s="719"/>
      <c r="O92" s="720"/>
      <c r="P92" s="719"/>
      <c r="Q92" s="703"/>
      <c r="R92" s="719"/>
      <c r="S92" s="720"/>
      <c r="T92" s="719"/>
      <c r="U92" s="720"/>
      <c r="V92" s="719"/>
      <c r="W92" s="720"/>
      <c r="X92" s="719"/>
      <c r="Y92" s="720"/>
      <c r="Z92" s="711"/>
      <c r="AA92" s="703"/>
      <c r="AB92" s="711"/>
      <c r="AC92" s="703"/>
      <c r="AD92" s="711"/>
      <c r="AE92" s="703"/>
      <c r="AF92" s="711"/>
      <c r="AG92" s="703"/>
      <c r="AH92" s="711"/>
      <c r="AI92" s="703"/>
      <c r="AJ92" s="711"/>
      <c r="AK92" s="703"/>
      <c r="AL92" s="711"/>
      <c r="AM92" s="720"/>
    </row>
    <row r="93" spans="2:39" s="67" customFormat="1" ht="27" customHeight="1">
      <c r="B93" s="711"/>
      <c r="C93" s="703"/>
      <c r="D93" s="711"/>
      <c r="E93" s="703"/>
      <c r="F93" s="711"/>
      <c r="G93" s="703"/>
      <c r="H93" s="719"/>
      <c r="I93" s="720"/>
      <c r="J93" s="719"/>
      <c r="K93" s="720"/>
      <c r="L93" s="719"/>
      <c r="M93" s="720"/>
      <c r="N93" s="719"/>
      <c r="O93" s="720"/>
      <c r="P93" s="719"/>
      <c r="Q93" s="703"/>
      <c r="R93" s="719"/>
      <c r="S93" s="720"/>
      <c r="T93" s="719"/>
      <c r="U93" s="720"/>
      <c r="V93" s="719"/>
      <c r="W93" s="720"/>
      <c r="X93" s="719"/>
      <c r="Y93" s="720"/>
      <c r="Z93" s="711"/>
      <c r="AA93" s="703"/>
      <c r="AB93" s="711"/>
      <c r="AC93" s="703"/>
      <c r="AD93" s="711"/>
      <c r="AE93" s="703"/>
      <c r="AF93" s="711"/>
      <c r="AG93" s="703"/>
      <c r="AH93" s="711"/>
      <c r="AI93" s="703"/>
      <c r="AJ93" s="711"/>
      <c r="AK93" s="703"/>
      <c r="AL93" s="711"/>
      <c r="AM93" s="720"/>
    </row>
    <row r="94" spans="2:39" s="67" customFormat="1" ht="27" customHeight="1">
      <c r="B94" s="711"/>
      <c r="C94" s="703"/>
      <c r="D94" s="711"/>
      <c r="E94" s="703"/>
      <c r="F94" s="711"/>
      <c r="G94" s="703"/>
      <c r="H94" s="719"/>
      <c r="I94" s="720"/>
      <c r="J94" s="719"/>
      <c r="K94" s="720"/>
      <c r="L94" s="719"/>
      <c r="M94" s="720"/>
      <c r="N94" s="719"/>
      <c r="O94" s="720"/>
      <c r="P94" s="719"/>
      <c r="Q94" s="703"/>
      <c r="R94" s="719"/>
      <c r="S94" s="720"/>
      <c r="T94" s="719"/>
      <c r="U94" s="720"/>
      <c r="V94" s="719"/>
      <c r="W94" s="720"/>
      <c r="X94" s="719"/>
      <c r="Y94" s="720"/>
      <c r="Z94" s="711"/>
      <c r="AA94" s="703"/>
      <c r="AB94" s="711"/>
      <c r="AC94" s="703"/>
      <c r="AD94" s="711"/>
      <c r="AE94" s="703"/>
      <c r="AF94" s="711"/>
      <c r="AG94" s="703"/>
      <c r="AH94" s="711"/>
      <c r="AI94" s="703"/>
      <c r="AJ94" s="711"/>
      <c r="AK94" s="703"/>
      <c r="AL94" s="711"/>
      <c r="AM94" s="720"/>
    </row>
    <row r="95" spans="2:39" s="67" customFormat="1" ht="27" customHeight="1">
      <c r="B95" s="711"/>
      <c r="C95" s="703"/>
      <c r="D95" s="711"/>
      <c r="E95" s="703"/>
      <c r="F95" s="711"/>
      <c r="G95" s="703"/>
      <c r="H95" s="719"/>
      <c r="I95" s="720"/>
      <c r="J95" s="719"/>
      <c r="K95" s="720"/>
      <c r="L95" s="719"/>
      <c r="M95" s="720"/>
      <c r="N95" s="719"/>
      <c r="O95" s="720"/>
      <c r="P95" s="719"/>
      <c r="Q95" s="703"/>
      <c r="R95" s="719"/>
      <c r="S95" s="720"/>
      <c r="T95" s="719"/>
      <c r="U95" s="720"/>
      <c r="V95" s="719"/>
      <c r="W95" s="720"/>
      <c r="X95" s="719"/>
      <c r="Y95" s="720"/>
      <c r="Z95" s="711"/>
      <c r="AA95" s="703"/>
      <c r="AB95" s="711"/>
      <c r="AC95" s="703"/>
      <c r="AD95" s="711"/>
      <c r="AE95" s="703"/>
      <c r="AF95" s="711"/>
      <c r="AG95" s="703"/>
      <c r="AH95" s="711"/>
      <c r="AI95" s="703"/>
      <c r="AJ95" s="711"/>
      <c r="AK95" s="703"/>
      <c r="AL95" s="711"/>
      <c r="AM95" s="720"/>
    </row>
    <row r="96" spans="2:39" s="67" customFormat="1" ht="27" customHeight="1">
      <c r="B96" s="711"/>
      <c r="C96" s="703"/>
      <c r="D96" s="711"/>
      <c r="E96" s="703"/>
      <c r="F96" s="711"/>
      <c r="G96" s="703"/>
      <c r="H96" s="719"/>
      <c r="I96" s="720"/>
      <c r="J96" s="719"/>
      <c r="K96" s="720"/>
      <c r="L96" s="719"/>
      <c r="M96" s="720"/>
      <c r="N96" s="719"/>
      <c r="O96" s="720"/>
      <c r="P96" s="719"/>
      <c r="Q96" s="703"/>
      <c r="R96" s="719"/>
      <c r="S96" s="720"/>
      <c r="T96" s="719"/>
      <c r="U96" s="720"/>
      <c r="V96" s="719"/>
      <c r="W96" s="720"/>
      <c r="X96" s="719"/>
      <c r="Y96" s="720"/>
      <c r="Z96" s="711"/>
      <c r="AA96" s="703"/>
      <c r="AB96" s="711"/>
      <c r="AC96" s="703"/>
      <c r="AD96" s="711"/>
      <c r="AE96" s="703"/>
      <c r="AF96" s="711"/>
      <c r="AG96" s="703"/>
      <c r="AH96" s="711"/>
      <c r="AI96" s="703"/>
      <c r="AJ96" s="711"/>
      <c r="AK96" s="703"/>
      <c r="AL96" s="711"/>
      <c r="AM96" s="720"/>
    </row>
    <row r="97" spans="2:39" s="67" customFormat="1" ht="27" customHeight="1">
      <c r="B97" s="711"/>
      <c r="C97" s="703"/>
      <c r="D97" s="711"/>
      <c r="E97" s="703"/>
      <c r="F97" s="711"/>
      <c r="G97" s="703"/>
      <c r="H97" s="719"/>
      <c r="I97" s="720"/>
      <c r="J97" s="719"/>
      <c r="K97" s="720"/>
      <c r="L97" s="719"/>
      <c r="M97" s="720"/>
      <c r="N97" s="719"/>
      <c r="O97" s="720"/>
      <c r="P97" s="719"/>
      <c r="Q97" s="703"/>
      <c r="R97" s="719"/>
      <c r="S97" s="720"/>
      <c r="T97" s="719"/>
      <c r="U97" s="720"/>
      <c r="V97" s="719"/>
      <c r="W97" s="720"/>
      <c r="X97" s="719"/>
      <c r="Y97" s="720"/>
      <c r="Z97" s="711"/>
      <c r="AA97" s="703"/>
      <c r="AB97" s="711"/>
      <c r="AC97" s="703"/>
      <c r="AD97" s="711"/>
      <c r="AE97" s="703"/>
      <c r="AF97" s="711"/>
      <c r="AG97" s="703"/>
      <c r="AH97" s="711"/>
      <c r="AI97" s="703"/>
      <c r="AJ97" s="711"/>
      <c r="AK97" s="703"/>
      <c r="AL97" s="711"/>
      <c r="AM97" s="720"/>
    </row>
    <row r="98" spans="2:39" s="67" customFormat="1" ht="27" customHeight="1">
      <c r="B98" s="711"/>
      <c r="C98" s="703"/>
      <c r="D98" s="711"/>
      <c r="E98" s="703"/>
      <c r="F98" s="711"/>
      <c r="G98" s="703"/>
      <c r="H98" s="719"/>
      <c r="I98" s="720"/>
      <c r="J98" s="719"/>
      <c r="K98" s="720"/>
      <c r="L98" s="719"/>
      <c r="M98" s="720"/>
      <c r="N98" s="719"/>
      <c r="O98" s="720"/>
      <c r="P98" s="719"/>
      <c r="Q98" s="703"/>
      <c r="R98" s="719"/>
      <c r="S98" s="720"/>
      <c r="T98" s="719"/>
      <c r="U98" s="720"/>
      <c r="V98" s="719"/>
      <c r="W98" s="720"/>
      <c r="X98" s="719"/>
      <c r="Y98" s="720"/>
      <c r="Z98" s="711"/>
      <c r="AA98" s="703"/>
      <c r="AB98" s="711"/>
      <c r="AC98" s="703"/>
      <c r="AD98" s="711"/>
      <c r="AE98" s="703"/>
      <c r="AF98" s="711"/>
      <c r="AG98" s="703"/>
      <c r="AH98" s="711"/>
      <c r="AI98" s="703"/>
      <c r="AJ98" s="711"/>
      <c r="AK98" s="703"/>
      <c r="AL98" s="711"/>
      <c r="AM98" s="720"/>
    </row>
    <row r="99" spans="2:39" s="67" customFormat="1" ht="27" customHeight="1">
      <c r="B99" s="711"/>
      <c r="C99" s="703"/>
      <c r="D99" s="711"/>
      <c r="E99" s="703"/>
      <c r="F99" s="711"/>
      <c r="G99" s="703"/>
      <c r="H99" s="719"/>
      <c r="I99" s="720"/>
      <c r="J99" s="719"/>
      <c r="K99" s="720"/>
      <c r="L99" s="719"/>
      <c r="M99" s="720"/>
      <c r="N99" s="719"/>
      <c r="O99" s="720"/>
      <c r="P99" s="719"/>
      <c r="Q99" s="703"/>
      <c r="R99" s="719"/>
      <c r="S99" s="720"/>
      <c r="T99" s="719"/>
      <c r="U99" s="720"/>
      <c r="V99" s="719"/>
      <c r="W99" s="720"/>
      <c r="X99" s="719"/>
      <c r="Y99" s="720"/>
      <c r="Z99" s="711"/>
      <c r="AA99" s="703"/>
      <c r="AB99" s="711"/>
      <c r="AC99" s="703"/>
      <c r="AD99" s="711"/>
      <c r="AE99" s="703"/>
      <c r="AF99" s="711"/>
      <c r="AG99" s="703"/>
      <c r="AH99" s="711"/>
      <c r="AI99" s="703"/>
      <c r="AJ99" s="711"/>
      <c r="AK99" s="703"/>
      <c r="AL99" s="711"/>
      <c r="AM99" s="720"/>
    </row>
    <row r="100" spans="2:39" s="67" customFormat="1" ht="27" customHeight="1">
      <c r="B100" s="711"/>
      <c r="C100" s="703"/>
      <c r="D100" s="711"/>
      <c r="E100" s="703"/>
      <c r="F100" s="711"/>
      <c r="G100" s="703"/>
      <c r="H100" s="719"/>
      <c r="I100" s="720"/>
      <c r="J100" s="719"/>
      <c r="K100" s="720"/>
      <c r="L100" s="719"/>
      <c r="M100" s="720"/>
      <c r="N100" s="719"/>
      <c r="O100" s="720"/>
      <c r="P100" s="719"/>
      <c r="Q100" s="703"/>
      <c r="R100" s="719"/>
      <c r="S100" s="720"/>
      <c r="T100" s="719"/>
      <c r="U100" s="720"/>
      <c r="V100" s="719"/>
      <c r="W100" s="720"/>
      <c r="X100" s="719"/>
      <c r="Y100" s="720"/>
      <c r="Z100" s="711"/>
      <c r="AA100" s="703"/>
      <c r="AB100" s="711"/>
      <c r="AC100" s="703"/>
      <c r="AD100" s="711"/>
      <c r="AE100" s="703"/>
      <c r="AF100" s="711"/>
      <c r="AG100" s="703"/>
      <c r="AH100" s="711"/>
      <c r="AI100" s="703"/>
      <c r="AJ100" s="711"/>
      <c r="AK100" s="703"/>
      <c r="AL100" s="711"/>
      <c r="AM100" s="720"/>
    </row>
    <row r="101" spans="2:39" s="67" customFormat="1" ht="27" customHeight="1">
      <c r="B101" s="711"/>
      <c r="C101" s="703"/>
      <c r="D101" s="711"/>
      <c r="E101" s="703"/>
      <c r="F101" s="711"/>
      <c r="G101" s="703"/>
      <c r="H101" s="719"/>
      <c r="I101" s="720"/>
      <c r="J101" s="719"/>
      <c r="K101" s="720"/>
      <c r="L101" s="719"/>
      <c r="M101" s="720"/>
      <c r="N101" s="719"/>
      <c r="O101" s="720"/>
      <c r="P101" s="719"/>
      <c r="Q101" s="703"/>
      <c r="R101" s="719"/>
      <c r="S101" s="720"/>
      <c r="T101" s="719"/>
      <c r="U101" s="720"/>
      <c r="V101" s="719"/>
      <c r="W101" s="720"/>
      <c r="X101" s="719"/>
      <c r="Y101" s="720"/>
      <c r="Z101" s="711"/>
      <c r="AA101" s="703"/>
      <c r="AB101" s="711"/>
      <c r="AC101" s="703"/>
      <c r="AD101" s="711"/>
      <c r="AE101" s="703"/>
      <c r="AF101" s="711"/>
      <c r="AG101" s="703"/>
      <c r="AH101" s="711"/>
      <c r="AI101" s="703"/>
      <c r="AJ101" s="711"/>
      <c r="AK101" s="703"/>
      <c r="AL101" s="711"/>
      <c r="AM101" s="720"/>
    </row>
    <row r="102" spans="2:39" s="67" customFormat="1" ht="27" customHeight="1">
      <c r="B102" s="711"/>
      <c r="C102" s="703"/>
      <c r="D102" s="711"/>
      <c r="E102" s="703"/>
      <c r="F102" s="711"/>
      <c r="G102" s="703"/>
      <c r="H102" s="719"/>
      <c r="I102" s="720"/>
      <c r="J102" s="719"/>
      <c r="K102" s="720"/>
      <c r="L102" s="719"/>
      <c r="M102" s="720"/>
      <c r="N102" s="719"/>
      <c r="O102" s="720"/>
      <c r="P102" s="719"/>
      <c r="Q102" s="703"/>
      <c r="R102" s="719"/>
      <c r="S102" s="720"/>
      <c r="T102" s="719"/>
      <c r="U102" s="720"/>
      <c r="V102" s="719"/>
      <c r="W102" s="720"/>
      <c r="X102" s="719"/>
      <c r="Y102" s="720"/>
      <c r="Z102" s="711"/>
      <c r="AA102" s="703"/>
      <c r="AB102" s="711"/>
      <c r="AC102" s="703"/>
      <c r="AD102" s="711"/>
      <c r="AE102" s="703"/>
      <c r="AF102" s="711"/>
      <c r="AG102" s="703"/>
      <c r="AH102" s="711"/>
      <c r="AI102" s="703"/>
      <c r="AJ102" s="711"/>
      <c r="AK102" s="703"/>
      <c r="AL102" s="711"/>
      <c r="AM102" s="720"/>
    </row>
    <row r="103" spans="2:39" s="67" customFormat="1" ht="27" customHeight="1">
      <c r="B103" s="711"/>
      <c r="C103" s="703"/>
      <c r="D103" s="711"/>
      <c r="E103" s="703"/>
      <c r="F103" s="711"/>
      <c r="G103" s="703"/>
      <c r="H103" s="719"/>
      <c r="I103" s="720"/>
      <c r="J103" s="719"/>
      <c r="K103" s="720"/>
      <c r="L103" s="719"/>
      <c r="M103" s="720"/>
      <c r="N103" s="719"/>
      <c r="O103" s="720"/>
      <c r="P103" s="719"/>
      <c r="Q103" s="703"/>
      <c r="R103" s="719"/>
      <c r="S103" s="720"/>
      <c r="T103" s="719"/>
      <c r="U103" s="720"/>
      <c r="V103" s="719"/>
      <c r="W103" s="720"/>
      <c r="X103" s="719"/>
      <c r="Y103" s="720"/>
      <c r="Z103" s="711"/>
      <c r="AA103" s="703"/>
      <c r="AB103" s="711"/>
      <c r="AC103" s="703"/>
      <c r="AD103" s="711"/>
      <c r="AE103" s="703"/>
      <c r="AF103" s="711"/>
      <c r="AG103" s="703"/>
      <c r="AH103" s="711"/>
      <c r="AI103" s="703"/>
      <c r="AJ103" s="711"/>
      <c r="AK103" s="703"/>
      <c r="AL103" s="711"/>
      <c r="AM103" s="720"/>
    </row>
    <row r="104" spans="2:39" s="67" customFormat="1" ht="27" customHeight="1">
      <c r="B104" s="711"/>
      <c r="C104" s="703"/>
      <c r="D104" s="711"/>
      <c r="E104" s="703"/>
      <c r="F104" s="711"/>
      <c r="G104" s="703"/>
      <c r="H104" s="719"/>
      <c r="I104" s="720"/>
      <c r="J104" s="719"/>
      <c r="K104" s="720"/>
      <c r="L104" s="719"/>
      <c r="M104" s="720"/>
      <c r="N104" s="719"/>
      <c r="O104" s="720"/>
      <c r="P104" s="719"/>
      <c r="Q104" s="703"/>
      <c r="R104" s="719"/>
      <c r="S104" s="720"/>
      <c r="T104" s="719"/>
      <c r="U104" s="720"/>
      <c r="V104" s="719"/>
      <c r="W104" s="720"/>
      <c r="X104" s="719"/>
      <c r="Y104" s="720"/>
      <c r="Z104" s="711"/>
      <c r="AA104" s="703"/>
      <c r="AB104" s="711"/>
      <c r="AC104" s="703"/>
      <c r="AD104" s="711"/>
      <c r="AE104" s="703"/>
      <c r="AF104" s="711"/>
      <c r="AG104" s="703"/>
      <c r="AH104" s="711"/>
      <c r="AI104" s="703"/>
      <c r="AJ104" s="711"/>
      <c r="AK104" s="703"/>
      <c r="AL104" s="711"/>
      <c r="AM104" s="720"/>
    </row>
    <row r="105" spans="2:39" s="67" customFormat="1" ht="27" customHeight="1">
      <c r="B105" s="711"/>
      <c r="C105" s="703"/>
      <c r="D105" s="711"/>
      <c r="E105" s="703"/>
      <c r="F105" s="711"/>
      <c r="G105" s="703"/>
      <c r="H105" s="719"/>
      <c r="I105" s="720"/>
      <c r="J105" s="719"/>
      <c r="K105" s="720"/>
      <c r="L105" s="719"/>
      <c r="M105" s="720"/>
      <c r="N105" s="719"/>
      <c r="O105" s="720"/>
      <c r="P105" s="719"/>
      <c r="Q105" s="703"/>
      <c r="R105" s="719"/>
      <c r="S105" s="720"/>
      <c r="T105" s="719"/>
      <c r="U105" s="720"/>
      <c r="V105" s="719"/>
      <c r="W105" s="720"/>
      <c r="X105" s="719"/>
      <c r="Y105" s="720"/>
      <c r="Z105" s="711"/>
      <c r="AA105" s="703"/>
      <c r="AB105" s="711"/>
      <c r="AC105" s="703"/>
      <c r="AD105" s="711"/>
      <c r="AE105" s="703"/>
      <c r="AF105" s="711"/>
      <c r="AG105" s="703"/>
      <c r="AH105" s="711"/>
      <c r="AI105" s="703"/>
      <c r="AJ105" s="711"/>
      <c r="AK105" s="703"/>
      <c r="AL105" s="711"/>
      <c r="AM105" s="720"/>
    </row>
    <row r="106" spans="2:39" s="67" customFormat="1" ht="27" customHeight="1">
      <c r="B106" s="711"/>
      <c r="C106" s="703"/>
      <c r="D106" s="711"/>
      <c r="E106" s="703"/>
      <c r="F106" s="711"/>
      <c r="G106" s="703"/>
      <c r="H106" s="719"/>
      <c r="I106" s="720"/>
      <c r="J106" s="719"/>
      <c r="K106" s="720"/>
      <c r="L106" s="719"/>
      <c r="M106" s="720"/>
      <c r="N106" s="719"/>
      <c r="O106" s="720"/>
      <c r="P106" s="719"/>
      <c r="Q106" s="703"/>
      <c r="R106" s="719"/>
      <c r="S106" s="720"/>
      <c r="T106" s="719"/>
      <c r="U106" s="720"/>
      <c r="V106" s="719"/>
      <c r="W106" s="720"/>
      <c r="X106" s="719"/>
      <c r="Y106" s="720"/>
      <c r="Z106" s="711"/>
      <c r="AA106" s="703"/>
      <c r="AB106" s="711"/>
      <c r="AC106" s="703"/>
      <c r="AD106" s="711"/>
      <c r="AE106" s="703"/>
      <c r="AF106" s="711"/>
      <c r="AG106" s="703"/>
      <c r="AH106" s="711"/>
      <c r="AI106" s="703"/>
      <c r="AJ106" s="711"/>
      <c r="AK106" s="703"/>
      <c r="AL106" s="711"/>
      <c r="AM106" s="720"/>
    </row>
    <row r="107" spans="2:39" s="67" customFormat="1" ht="27" customHeight="1">
      <c r="B107" s="711"/>
      <c r="C107" s="703"/>
      <c r="D107" s="711"/>
      <c r="E107" s="703"/>
      <c r="F107" s="711"/>
      <c r="G107" s="703"/>
      <c r="H107" s="719"/>
      <c r="I107" s="720"/>
      <c r="J107" s="719"/>
      <c r="K107" s="720"/>
      <c r="L107" s="719"/>
      <c r="M107" s="720"/>
      <c r="N107" s="719"/>
      <c r="O107" s="720"/>
      <c r="P107" s="719"/>
      <c r="Q107" s="703"/>
      <c r="R107" s="719"/>
      <c r="S107" s="720"/>
      <c r="T107" s="719"/>
      <c r="U107" s="720"/>
      <c r="V107" s="719"/>
      <c r="W107" s="720"/>
      <c r="X107" s="719"/>
      <c r="Y107" s="720"/>
      <c r="Z107" s="711"/>
      <c r="AA107" s="703"/>
      <c r="AB107" s="711"/>
      <c r="AC107" s="703"/>
      <c r="AD107" s="711"/>
      <c r="AE107" s="703"/>
      <c r="AF107" s="711"/>
      <c r="AG107" s="703"/>
      <c r="AH107" s="711"/>
      <c r="AI107" s="703"/>
      <c r="AJ107" s="711"/>
      <c r="AK107" s="703"/>
      <c r="AL107" s="711"/>
      <c r="AM107" s="720"/>
    </row>
    <row r="108" spans="2:39" s="67" customFormat="1" ht="27" customHeight="1">
      <c r="B108" s="711"/>
      <c r="C108" s="703"/>
      <c r="D108" s="711"/>
      <c r="E108" s="703"/>
      <c r="F108" s="711"/>
      <c r="G108" s="703"/>
      <c r="H108" s="719"/>
      <c r="I108" s="720"/>
      <c r="J108" s="719"/>
      <c r="K108" s="720"/>
      <c r="L108" s="719"/>
      <c r="M108" s="720"/>
      <c r="N108" s="719"/>
      <c r="O108" s="720"/>
      <c r="P108" s="719"/>
      <c r="Q108" s="703"/>
      <c r="R108" s="719"/>
      <c r="S108" s="720"/>
      <c r="T108" s="719"/>
      <c r="U108" s="720"/>
      <c r="V108" s="719"/>
      <c r="W108" s="720"/>
      <c r="X108" s="719"/>
      <c r="Y108" s="720"/>
      <c r="Z108" s="711"/>
      <c r="AA108" s="703"/>
      <c r="AB108" s="711"/>
      <c r="AC108" s="703"/>
      <c r="AD108" s="711"/>
      <c r="AE108" s="703"/>
      <c r="AF108" s="711"/>
      <c r="AG108" s="703"/>
      <c r="AH108" s="711"/>
      <c r="AI108" s="703"/>
      <c r="AJ108" s="711"/>
      <c r="AK108" s="703"/>
      <c r="AL108" s="711"/>
      <c r="AM108" s="720"/>
    </row>
    <row r="109" spans="2:39" s="67" customFormat="1" ht="27" customHeight="1">
      <c r="B109" s="711"/>
      <c r="C109" s="703"/>
      <c r="D109" s="711"/>
      <c r="E109" s="703"/>
      <c r="F109" s="711"/>
      <c r="G109" s="703"/>
      <c r="H109" s="719"/>
      <c r="I109" s="720"/>
      <c r="J109" s="719"/>
      <c r="K109" s="720"/>
      <c r="L109" s="719"/>
      <c r="M109" s="720"/>
      <c r="N109" s="719"/>
      <c r="O109" s="720"/>
      <c r="P109" s="719"/>
      <c r="Q109" s="703"/>
      <c r="R109" s="719"/>
      <c r="S109" s="720"/>
      <c r="T109" s="719"/>
      <c r="U109" s="720"/>
      <c r="V109" s="719"/>
      <c r="W109" s="720"/>
      <c r="X109" s="719"/>
      <c r="Y109" s="720"/>
      <c r="Z109" s="711"/>
      <c r="AA109" s="703"/>
      <c r="AB109" s="711"/>
      <c r="AC109" s="703"/>
      <c r="AD109" s="711"/>
      <c r="AE109" s="703"/>
      <c r="AF109" s="711"/>
      <c r="AG109" s="703"/>
      <c r="AH109" s="711"/>
      <c r="AI109" s="703"/>
      <c r="AJ109" s="711"/>
      <c r="AK109" s="703"/>
      <c r="AL109" s="711"/>
      <c r="AM109" s="720"/>
    </row>
    <row r="110" spans="2:39" s="67" customFormat="1" ht="27" customHeight="1">
      <c r="B110" s="711"/>
      <c r="C110" s="703"/>
      <c r="D110" s="711"/>
      <c r="E110" s="703"/>
      <c r="F110" s="711"/>
      <c r="G110" s="703"/>
      <c r="H110" s="719"/>
      <c r="I110" s="720"/>
      <c r="J110" s="719"/>
      <c r="K110" s="720"/>
      <c r="L110" s="719"/>
      <c r="M110" s="720"/>
      <c r="N110" s="719"/>
      <c r="O110" s="720"/>
      <c r="P110" s="719"/>
      <c r="Q110" s="703"/>
      <c r="R110" s="719"/>
      <c r="S110" s="720"/>
      <c r="T110" s="719"/>
      <c r="U110" s="720"/>
      <c r="V110" s="719"/>
      <c r="W110" s="720"/>
      <c r="X110" s="719"/>
      <c r="Y110" s="720"/>
      <c r="Z110" s="711"/>
      <c r="AA110" s="703"/>
      <c r="AB110" s="711"/>
      <c r="AC110" s="703"/>
      <c r="AD110" s="711"/>
      <c r="AE110" s="703"/>
      <c r="AF110" s="711"/>
      <c r="AG110" s="703"/>
      <c r="AH110" s="711"/>
      <c r="AI110" s="703"/>
      <c r="AJ110" s="711"/>
      <c r="AK110" s="703"/>
      <c r="AL110" s="711"/>
      <c r="AM110" s="720"/>
    </row>
    <row r="111" spans="2:39" s="67" customFormat="1" ht="27" customHeight="1">
      <c r="B111" s="711"/>
      <c r="C111" s="703"/>
      <c r="D111" s="711"/>
      <c r="E111" s="703"/>
      <c r="F111" s="711"/>
      <c r="G111" s="703"/>
      <c r="H111" s="719"/>
      <c r="I111" s="720"/>
      <c r="J111" s="719"/>
      <c r="K111" s="720"/>
      <c r="L111" s="719"/>
      <c r="M111" s="720"/>
      <c r="N111" s="719"/>
      <c r="O111" s="720"/>
      <c r="P111" s="719"/>
      <c r="Q111" s="703"/>
      <c r="R111" s="719"/>
      <c r="S111" s="720"/>
      <c r="T111" s="719"/>
      <c r="U111" s="720"/>
      <c r="V111" s="719"/>
      <c r="W111" s="720"/>
      <c r="X111" s="719"/>
      <c r="Y111" s="720"/>
      <c r="Z111" s="711"/>
      <c r="AA111" s="703"/>
      <c r="AB111" s="711"/>
      <c r="AC111" s="703"/>
      <c r="AD111" s="711"/>
      <c r="AE111" s="703"/>
      <c r="AF111" s="711"/>
      <c r="AG111" s="703"/>
      <c r="AH111" s="711"/>
      <c r="AI111" s="703"/>
      <c r="AJ111" s="711"/>
      <c r="AK111" s="703"/>
      <c r="AL111" s="711"/>
      <c r="AM111" s="720"/>
    </row>
    <row r="112" spans="2:39" s="67" customFormat="1" ht="27" customHeight="1">
      <c r="B112" s="711"/>
      <c r="C112" s="703"/>
      <c r="D112" s="711"/>
      <c r="E112" s="703"/>
      <c r="F112" s="711"/>
      <c r="G112" s="703"/>
      <c r="H112" s="719"/>
      <c r="I112" s="720"/>
      <c r="J112" s="719"/>
      <c r="K112" s="720"/>
      <c r="L112" s="719"/>
      <c r="M112" s="720"/>
      <c r="N112" s="719"/>
      <c r="O112" s="720"/>
      <c r="P112" s="719"/>
      <c r="Q112" s="703"/>
      <c r="R112" s="719"/>
      <c r="S112" s="720"/>
      <c r="T112" s="719"/>
      <c r="U112" s="720"/>
      <c r="V112" s="719"/>
      <c r="W112" s="720"/>
      <c r="X112" s="719"/>
      <c r="Y112" s="720"/>
      <c r="Z112" s="711"/>
      <c r="AA112" s="703"/>
      <c r="AB112" s="711"/>
      <c r="AC112" s="703"/>
      <c r="AD112" s="711"/>
      <c r="AE112" s="703"/>
      <c r="AF112" s="711"/>
      <c r="AG112" s="703"/>
      <c r="AH112" s="711"/>
      <c r="AI112" s="703"/>
      <c r="AJ112" s="711"/>
      <c r="AK112" s="703"/>
      <c r="AL112" s="711"/>
      <c r="AM112" s="720"/>
    </row>
    <row r="113" spans="2:39" s="67" customFormat="1" ht="27" customHeight="1">
      <c r="B113" s="711"/>
      <c r="C113" s="703"/>
      <c r="D113" s="711"/>
      <c r="E113" s="703"/>
      <c r="F113" s="711"/>
      <c r="G113" s="703"/>
      <c r="H113" s="719"/>
      <c r="I113" s="720"/>
      <c r="J113" s="719"/>
      <c r="K113" s="720"/>
      <c r="L113" s="719"/>
      <c r="M113" s="720"/>
      <c r="N113" s="719"/>
      <c r="O113" s="720"/>
      <c r="P113" s="719"/>
      <c r="Q113" s="703"/>
      <c r="R113" s="719"/>
      <c r="S113" s="720"/>
      <c r="T113" s="719"/>
      <c r="U113" s="720"/>
      <c r="V113" s="719"/>
      <c r="W113" s="720"/>
      <c r="X113" s="719"/>
      <c r="Y113" s="720"/>
      <c r="Z113" s="711"/>
      <c r="AA113" s="703"/>
      <c r="AB113" s="711"/>
      <c r="AC113" s="703"/>
      <c r="AD113" s="711"/>
      <c r="AE113" s="703"/>
      <c r="AF113" s="711"/>
      <c r="AG113" s="703"/>
      <c r="AH113" s="711"/>
      <c r="AI113" s="703"/>
      <c r="AJ113" s="711"/>
      <c r="AK113" s="703"/>
      <c r="AL113" s="711"/>
      <c r="AM113" s="720"/>
    </row>
    <row r="114" spans="2:39" s="67" customFormat="1" ht="27" customHeight="1">
      <c r="B114" s="711"/>
      <c r="C114" s="703"/>
      <c r="D114" s="711"/>
      <c r="E114" s="703"/>
      <c r="F114" s="711"/>
      <c r="G114" s="703"/>
      <c r="H114" s="719"/>
      <c r="I114" s="720"/>
      <c r="J114" s="719"/>
      <c r="K114" s="720"/>
      <c r="L114" s="719"/>
      <c r="M114" s="720"/>
      <c r="N114" s="719"/>
      <c r="O114" s="720"/>
      <c r="P114" s="719"/>
      <c r="Q114" s="703"/>
      <c r="R114" s="719"/>
      <c r="S114" s="720"/>
      <c r="T114" s="719"/>
      <c r="U114" s="720"/>
      <c r="V114" s="719"/>
      <c r="W114" s="720"/>
      <c r="X114" s="719"/>
      <c r="Y114" s="720"/>
      <c r="Z114" s="711"/>
      <c r="AA114" s="703"/>
      <c r="AB114" s="711"/>
      <c r="AC114" s="703"/>
      <c r="AD114" s="711"/>
      <c r="AE114" s="703"/>
      <c r="AF114" s="711"/>
      <c r="AG114" s="703"/>
      <c r="AH114" s="711"/>
      <c r="AI114" s="703"/>
      <c r="AJ114" s="711"/>
      <c r="AK114" s="703"/>
      <c r="AL114" s="711"/>
      <c r="AM114" s="720"/>
    </row>
    <row r="115" spans="2:39" s="67" customFormat="1" ht="27" customHeight="1">
      <c r="B115" s="711"/>
      <c r="C115" s="703"/>
      <c r="D115" s="711"/>
      <c r="E115" s="703"/>
      <c r="F115" s="711"/>
      <c r="G115" s="703"/>
      <c r="H115" s="719"/>
      <c r="I115" s="720"/>
      <c r="J115" s="719"/>
      <c r="K115" s="720"/>
      <c r="L115" s="719"/>
      <c r="M115" s="720"/>
      <c r="N115" s="719"/>
      <c r="O115" s="720"/>
      <c r="P115" s="719"/>
      <c r="Q115" s="703"/>
      <c r="R115" s="719"/>
      <c r="S115" s="720"/>
      <c r="T115" s="719"/>
      <c r="U115" s="720"/>
      <c r="V115" s="719"/>
      <c r="W115" s="720"/>
      <c r="X115" s="719"/>
      <c r="Y115" s="720"/>
      <c r="Z115" s="711"/>
      <c r="AA115" s="703"/>
      <c r="AB115" s="711"/>
      <c r="AC115" s="703"/>
      <c r="AD115" s="711"/>
      <c r="AE115" s="703"/>
      <c r="AF115" s="711"/>
      <c r="AG115" s="703"/>
      <c r="AH115" s="711"/>
      <c r="AI115" s="703"/>
      <c r="AJ115" s="711"/>
      <c r="AK115" s="703"/>
      <c r="AL115" s="711"/>
      <c r="AM115" s="720"/>
    </row>
    <row r="116" spans="2:39" s="67" customFormat="1" ht="27" customHeight="1">
      <c r="B116" s="711"/>
      <c r="C116" s="703"/>
      <c r="D116" s="711"/>
      <c r="E116" s="703"/>
      <c r="F116" s="711"/>
      <c r="G116" s="703"/>
      <c r="H116" s="719"/>
      <c r="I116" s="720"/>
      <c r="J116" s="719"/>
      <c r="K116" s="720"/>
      <c r="L116" s="719"/>
      <c r="M116" s="720"/>
      <c r="N116" s="719"/>
      <c r="O116" s="720"/>
      <c r="P116" s="719"/>
      <c r="Q116" s="703"/>
      <c r="R116" s="719"/>
      <c r="S116" s="720"/>
      <c r="T116" s="719"/>
      <c r="U116" s="720"/>
      <c r="V116" s="719"/>
      <c r="W116" s="720"/>
      <c r="X116" s="719"/>
      <c r="Y116" s="720"/>
      <c r="Z116" s="711"/>
      <c r="AA116" s="703"/>
      <c r="AB116" s="711"/>
      <c r="AC116" s="703"/>
      <c r="AD116" s="711"/>
      <c r="AE116" s="703"/>
      <c r="AF116" s="711"/>
      <c r="AG116" s="703"/>
      <c r="AH116" s="711"/>
      <c r="AI116" s="703"/>
      <c r="AJ116" s="711"/>
      <c r="AK116" s="703"/>
      <c r="AL116" s="711"/>
      <c r="AM116" s="720"/>
    </row>
    <row r="117" spans="2:39" s="67" customFormat="1" ht="27" customHeight="1">
      <c r="B117" s="711"/>
      <c r="C117" s="703"/>
      <c r="D117" s="711"/>
      <c r="E117" s="703"/>
      <c r="F117" s="711"/>
      <c r="G117" s="703"/>
      <c r="H117" s="719"/>
      <c r="I117" s="720"/>
      <c r="J117" s="719"/>
      <c r="K117" s="720"/>
      <c r="L117" s="719"/>
      <c r="M117" s="720"/>
      <c r="N117" s="719"/>
      <c r="O117" s="720"/>
      <c r="P117" s="719"/>
      <c r="Q117" s="703"/>
      <c r="R117" s="719"/>
      <c r="S117" s="720"/>
      <c r="T117" s="719"/>
      <c r="U117" s="720"/>
      <c r="V117" s="719"/>
      <c r="W117" s="720"/>
      <c r="X117" s="719"/>
      <c r="Y117" s="720"/>
      <c r="Z117" s="711"/>
      <c r="AA117" s="703"/>
      <c r="AB117" s="711"/>
      <c r="AC117" s="703"/>
      <c r="AD117" s="711"/>
      <c r="AE117" s="703"/>
      <c r="AF117" s="711"/>
      <c r="AG117" s="703"/>
      <c r="AH117" s="711"/>
      <c r="AI117" s="703"/>
      <c r="AJ117" s="711"/>
      <c r="AK117" s="703"/>
      <c r="AL117" s="711"/>
      <c r="AM117" s="720"/>
    </row>
    <row r="118" spans="2:39" s="67" customFormat="1" ht="27" customHeight="1">
      <c r="B118" s="711"/>
      <c r="C118" s="703"/>
      <c r="D118" s="711"/>
      <c r="E118" s="703"/>
      <c r="F118" s="711"/>
      <c r="G118" s="703"/>
      <c r="H118" s="719"/>
      <c r="I118" s="720"/>
      <c r="J118" s="719"/>
      <c r="K118" s="720"/>
      <c r="L118" s="719"/>
      <c r="M118" s="720"/>
      <c r="N118" s="719"/>
      <c r="O118" s="720"/>
      <c r="P118" s="719"/>
      <c r="Q118" s="703"/>
      <c r="R118" s="719"/>
      <c r="S118" s="720"/>
      <c r="T118" s="719"/>
      <c r="U118" s="720"/>
      <c r="V118" s="719"/>
      <c r="W118" s="720"/>
      <c r="X118" s="719"/>
      <c r="Y118" s="720"/>
      <c r="Z118" s="711"/>
      <c r="AA118" s="703"/>
      <c r="AB118" s="711"/>
      <c r="AC118" s="703"/>
      <c r="AD118" s="711"/>
      <c r="AE118" s="703"/>
      <c r="AF118" s="711"/>
      <c r="AG118" s="703"/>
      <c r="AH118" s="711"/>
      <c r="AI118" s="703"/>
      <c r="AJ118" s="711"/>
      <c r="AK118" s="703"/>
      <c r="AL118" s="711"/>
      <c r="AM118" s="720"/>
    </row>
    <row r="119" spans="2:39" s="67" customFormat="1" ht="27" customHeight="1">
      <c r="B119" s="711"/>
      <c r="C119" s="703"/>
      <c r="D119" s="711"/>
      <c r="E119" s="703"/>
      <c r="F119" s="711"/>
      <c r="G119" s="703"/>
      <c r="H119" s="719"/>
      <c r="I119" s="720"/>
      <c r="J119" s="719"/>
      <c r="K119" s="720"/>
      <c r="L119" s="719"/>
      <c r="M119" s="720"/>
      <c r="N119" s="719"/>
      <c r="O119" s="720"/>
      <c r="P119" s="719"/>
      <c r="Q119" s="703"/>
      <c r="R119" s="719"/>
      <c r="S119" s="720"/>
      <c r="T119" s="719"/>
      <c r="U119" s="720"/>
      <c r="V119" s="719"/>
      <c r="W119" s="720"/>
      <c r="X119" s="719"/>
      <c r="Y119" s="720"/>
      <c r="Z119" s="711"/>
      <c r="AA119" s="703"/>
      <c r="AB119" s="711"/>
      <c r="AC119" s="703"/>
      <c r="AD119" s="711"/>
      <c r="AE119" s="703"/>
      <c r="AF119" s="711"/>
      <c r="AG119" s="703"/>
      <c r="AH119" s="711"/>
      <c r="AI119" s="703"/>
      <c r="AJ119" s="711"/>
      <c r="AK119" s="703"/>
      <c r="AL119" s="711"/>
      <c r="AM119" s="720"/>
    </row>
    <row r="120" spans="2:39" s="67" customFormat="1" ht="27" customHeight="1">
      <c r="B120" s="711"/>
      <c r="C120" s="703"/>
      <c r="D120" s="711"/>
      <c r="E120" s="703"/>
      <c r="F120" s="711"/>
      <c r="G120" s="703"/>
      <c r="H120" s="719"/>
      <c r="I120" s="720"/>
      <c r="J120" s="719"/>
      <c r="K120" s="720"/>
      <c r="L120" s="719"/>
      <c r="M120" s="720"/>
      <c r="N120" s="719"/>
      <c r="O120" s="720"/>
      <c r="P120" s="719"/>
      <c r="Q120" s="703"/>
      <c r="R120" s="719"/>
      <c r="S120" s="720"/>
      <c r="T120" s="719"/>
      <c r="U120" s="720"/>
      <c r="V120" s="719"/>
      <c r="W120" s="720"/>
      <c r="X120" s="719"/>
      <c r="Y120" s="720"/>
      <c r="Z120" s="711"/>
      <c r="AA120" s="703"/>
      <c r="AB120" s="711"/>
      <c r="AC120" s="703"/>
      <c r="AD120" s="711"/>
      <c r="AE120" s="703"/>
      <c r="AF120" s="711"/>
      <c r="AG120" s="703"/>
      <c r="AH120" s="711"/>
      <c r="AI120" s="703"/>
      <c r="AJ120" s="711"/>
      <c r="AK120" s="703"/>
      <c r="AL120" s="711"/>
      <c r="AM120" s="720"/>
    </row>
    <row r="121" spans="2:39" s="67" customFormat="1" ht="27" customHeight="1">
      <c r="B121" s="711"/>
      <c r="C121" s="703"/>
      <c r="D121" s="711"/>
      <c r="E121" s="703"/>
      <c r="F121" s="711"/>
      <c r="G121" s="703"/>
      <c r="H121" s="719"/>
      <c r="I121" s="720"/>
      <c r="J121" s="719"/>
      <c r="K121" s="720"/>
      <c r="L121" s="719"/>
      <c r="M121" s="720"/>
      <c r="N121" s="719"/>
      <c r="O121" s="720"/>
      <c r="P121" s="719"/>
      <c r="Q121" s="703"/>
      <c r="R121" s="719"/>
      <c r="S121" s="720"/>
      <c r="T121" s="719"/>
      <c r="U121" s="720"/>
      <c r="V121" s="719"/>
      <c r="W121" s="720"/>
      <c r="X121" s="719"/>
      <c r="Y121" s="720"/>
      <c r="Z121" s="711"/>
      <c r="AA121" s="703"/>
      <c r="AB121" s="711"/>
      <c r="AC121" s="703"/>
      <c r="AD121" s="711"/>
      <c r="AE121" s="703"/>
      <c r="AF121" s="711"/>
      <c r="AG121" s="703"/>
      <c r="AH121" s="711"/>
      <c r="AI121" s="703"/>
      <c r="AJ121" s="711"/>
      <c r="AK121" s="703"/>
      <c r="AL121" s="711"/>
      <c r="AM121" s="720"/>
    </row>
    <row r="122" spans="2:39" s="67" customFormat="1" ht="27" customHeight="1">
      <c r="B122" s="711"/>
      <c r="C122" s="703"/>
      <c r="D122" s="711"/>
      <c r="E122" s="703"/>
      <c r="F122" s="711"/>
      <c r="G122" s="703"/>
      <c r="H122" s="719"/>
      <c r="I122" s="720"/>
      <c r="J122" s="719"/>
      <c r="K122" s="720"/>
      <c r="L122" s="719"/>
      <c r="M122" s="720"/>
      <c r="N122" s="719"/>
      <c r="O122" s="720"/>
      <c r="P122" s="719"/>
      <c r="Q122" s="703"/>
      <c r="R122" s="719"/>
      <c r="S122" s="720"/>
      <c r="T122" s="719"/>
      <c r="U122" s="720"/>
      <c r="V122" s="719"/>
      <c r="W122" s="720"/>
      <c r="X122" s="719"/>
      <c r="Y122" s="720"/>
      <c r="Z122" s="711"/>
      <c r="AA122" s="703"/>
      <c r="AB122" s="711"/>
      <c r="AC122" s="703"/>
      <c r="AD122" s="711"/>
      <c r="AE122" s="703"/>
      <c r="AF122" s="711"/>
      <c r="AG122" s="703"/>
      <c r="AH122" s="711"/>
      <c r="AI122" s="703"/>
      <c r="AJ122" s="711"/>
      <c r="AK122" s="703"/>
      <c r="AL122" s="711"/>
      <c r="AM122" s="720"/>
    </row>
    <row r="123" spans="2:39" s="67" customFormat="1" ht="27" customHeight="1">
      <c r="B123" s="711"/>
      <c r="C123" s="703"/>
      <c r="D123" s="711"/>
      <c r="E123" s="703"/>
      <c r="F123" s="711"/>
      <c r="G123" s="703"/>
      <c r="H123" s="719"/>
      <c r="I123" s="720"/>
      <c r="J123" s="719"/>
      <c r="K123" s="720"/>
      <c r="L123" s="719"/>
      <c r="M123" s="720"/>
      <c r="N123" s="719"/>
      <c r="O123" s="720"/>
      <c r="P123" s="719"/>
      <c r="Q123" s="703"/>
      <c r="R123" s="719"/>
      <c r="S123" s="720"/>
      <c r="T123" s="719"/>
      <c r="U123" s="720"/>
      <c r="V123" s="719"/>
      <c r="W123" s="720"/>
      <c r="X123" s="719"/>
      <c r="Y123" s="720"/>
      <c r="Z123" s="711"/>
      <c r="AA123" s="703"/>
      <c r="AB123" s="711"/>
      <c r="AC123" s="703"/>
      <c r="AD123" s="711"/>
      <c r="AE123" s="703"/>
      <c r="AF123" s="711"/>
      <c r="AG123" s="703"/>
      <c r="AH123" s="711"/>
      <c r="AI123" s="703"/>
      <c r="AJ123" s="711"/>
      <c r="AK123" s="703"/>
      <c r="AL123" s="711"/>
      <c r="AM123" s="720"/>
    </row>
    <row r="124" spans="2:39" s="67" customFormat="1" ht="27" customHeight="1">
      <c r="B124" s="711"/>
      <c r="C124" s="703"/>
      <c r="D124" s="711"/>
      <c r="E124" s="703"/>
      <c r="F124" s="711"/>
      <c r="G124" s="703"/>
      <c r="H124" s="719"/>
      <c r="I124" s="720"/>
      <c r="J124" s="719"/>
      <c r="K124" s="720"/>
      <c r="L124" s="719"/>
      <c r="M124" s="720"/>
      <c r="N124" s="719"/>
      <c r="O124" s="720"/>
      <c r="P124" s="719"/>
      <c r="Q124" s="703"/>
      <c r="R124" s="719"/>
      <c r="S124" s="720"/>
      <c r="T124" s="719"/>
      <c r="U124" s="720"/>
      <c r="V124" s="719"/>
      <c r="W124" s="720"/>
      <c r="X124" s="719"/>
      <c r="Y124" s="720"/>
      <c r="Z124" s="711"/>
      <c r="AA124" s="703"/>
      <c r="AB124" s="711"/>
      <c r="AC124" s="703"/>
      <c r="AD124" s="711"/>
      <c r="AE124" s="703"/>
      <c r="AF124" s="711"/>
      <c r="AG124" s="703"/>
      <c r="AH124" s="711"/>
      <c r="AI124" s="703"/>
      <c r="AJ124" s="711"/>
      <c r="AK124" s="703"/>
      <c r="AL124" s="711"/>
      <c r="AM124" s="720"/>
    </row>
    <row r="125" spans="2:39" s="67" customFormat="1" ht="27" customHeight="1">
      <c r="B125" s="711"/>
      <c r="C125" s="703"/>
      <c r="D125" s="711"/>
      <c r="E125" s="703"/>
      <c r="F125" s="711"/>
      <c r="G125" s="703"/>
      <c r="H125" s="719"/>
      <c r="I125" s="720"/>
      <c r="J125" s="719"/>
      <c r="K125" s="720"/>
      <c r="L125" s="719"/>
      <c r="M125" s="720"/>
      <c r="N125" s="719"/>
      <c r="O125" s="720"/>
      <c r="P125" s="719"/>
      <c r="Q125" s="703"/>
      <c r="R125" s="719"/>
      <c r="S125" s="720"/>
      <c r="T125" s="719"/>
      <c r="U125" s="720"/>
      <c r="V125" s="719"/>
      <c r="W125" s="720"/>
      <c r="X125" s="719"/>
      <c r="Y125" s="720"/>
      <c r="Z125" s="711"/>
      <c r="AA125" s="703"/>
      <c r="AB125" s="711"/>
      <c r="AC125" s="703"/>
      <c r="AD125" s="711"/>
      <c r="AE125" s="703"/>
      <c r="AF125" s="711"/>
      <c r="AG125" s="703"/>
      <c r="AH125" s="711"/>
      <c r="AI125" s="703"/>
      <c r="AJ125" s="711"/>
      <c r="AK125" s="703"/>
      <c r="AL125" s="711"/>
      <c r="AM125" s="720"/>
    </row>
    <row r="126" spans="2:39" s="67" customFormat="1" ht="27" customHeight="1">
      <c r="B126" s="711"/>
      <c r="C126" s="703"/>
      <c r="D126" s="711"/>
      <c r="E126" s="703"/>
      <c r="F126" s="711"/>
      <c r="G126" s="703"/>
      <c r="H126" s="719"/>
      <c r="I126" s="720"/>
      <c r="J126" s="719"/>
      <c r="K126" s="720"/>
      <c r="L126" s="719"/>
      <c r="M126" s="720"/>
      <c r="N126" s="719"/>
      <c r="O126" s="720"/>
      <c r="P126" s="719"/>
      <c r="Q126" s="703"/>
      <c r="R126" s="719"/>
      <c r="S126" s="720"/>
      <c r="T126" s="719"/>
      <c r="U126" s="720"/>
      <c r="V126" s="719"/>
      <c r="W126" s="720"/>
      <c r="X126" s="719"/>
      <c r="Y126" s="720"/>
      <c r="Z126" s="711"/>
      <c r="AA126" s="703"/>
      <c r="AB126" s="711"/>
      <c r="AC126" s="703"/>
      <c r="AD126" s="711"/>
      <c r="AE126" s="703"/>
      <c r="AF126" s="711"/>
      <c r="AG126" s="703"/>
      <c r="AH126" s="711"/>
      <c r="AI126" s="703"/>
      <c r="AJ126" s="711"/>
      <c r="AK126" s="703"/>
      <c r="AL126" s="711"/>
      <c r="AM126" s="720"/>
    </row>
    <row r="127" spans="2:39" s="67" customFormat="1" ht="27" customHeight="1">
      <c r="B127" s="711"/>
      <c r="C127" s="703"/>
      <c r="D127" s="711"/>
      <c r="E127" s="703"/>
      <c r="F127" s="711"/>
      <c r="G127" s="703"/>
      <c r="H127" s="719"/>
      <c r="I127" s="720"/>
      <c r="J127" s="719"/>
      <c r="K127" s="720"/>
      <c r="L127" s="719"/>
      <c r="M127" s="720"/>
      <c r="N127" s="719"/>
      <c r="O127" s="720"/>
      <c r="P127" s="719"/>
      <c r="Q127" s="703"/>
      <c r="R127" s="719"/>
      <c r="S127" s="720"/>
      <c r="T127" s="719"/>
      <c r="U127" s="720"/>
      <c r="V127" s="719"/>
      <c r="W127" s="720"/>
      <c r="X127" s="719"/>
      <c r="Y127" s="720"/>
      <c r="Z127" s="711"/>
      <c r="AA127" s="703"/>
      <c r="AB127" s="711"/>
      <c r="AC127" s="703"/>
      <c r="AD127" s="711"/>
      <c r="AE127" s="703"/>
      <c r="AF127" s="711"/>
      <c r="AG127" s="703"/>
      <c r="AH127" s="711"/>
      <c r="AI127" s="703"/>
      <c r="AJ127" s="711"/>
      <c r="AK127" s="703"/>
      <c r="AL127" s="711"/>
      <c r="AM127" s="720"/>
    </row>
    <row r="128" spans="2:39" s="67" customFormat="1" ht="27" customHeight="1">
      <c r="B128" s="711"/>
      <c r="C128" s="703"/>
      <c r="D128" s="711"/>
      <c r="E128" s="703"/>
      <c r="F128" s="711"/>
      <c r="G128" s="703"/>
      <c r="H128" s="719"/>
      <c r="I128" s="720"/>
      <c r="J128" s="719"/>
      <c r="K128" s="720"/>
      <c r="L128" s="719"/>
      <c r="M128" s="720"/>
      <c r="N128" s="719"/>
      <c r="O128" s="720"/>
      <c r="P128" s="719"/>
      <c r="Q128" s="703"/>
      <c r="R128" s="719"/>
      <c r="S128" s="720"/>
      <c r="T128" s="719"/>
      <c r="U128" s="720"/>
      <c r="V128" s="719"/>
      <c r="W128" s="720"/>
      <c r="X128" s="719"/>
      <c r="Y128" s="720"/>
      <c r="Z128" s="711"/>
      <c r="AA128" s="703"/>
      <c r="AB128" s="711"/>
      <c r="AC128" s="703"/>
      <c r="AD128" s="711"/>
      <c r="AE128" s="703"/>
      <c r="AF128" s="711"/>
      <c r="AG128" s="703"/>
      <c r="AH128" s="711"/>
      <c r="AI128" s="703"/>
      <c r="AJ128" s="711"/>
      <c r="AK128" s="703"/>
      <c r="AL128" s="711"/>
      <c r="AM128" s="720"/>
    </row>
    <row r="129" spans="2:39" s="67" customFormat="1" ht="27" customHeight="1">
      <c r="B129" s="711"/>
      <c r="C129" s="703"/>
      <c r="D129" s="711"/>
      <c r="E129" s="703"/>
      <c r="F129" s="711"/>
      <c r="G129" s="703"/>
      <c r="H129" s="719"/>
      <c r="I129" s="720"/>
      <c r="J129" s="719"/>
      <c r="K129" s="720"/>
      <c r="L129" s="719"/>
      <c r="M129" s="720"/>
      <c r="N129" s="719"/>
      <c r="O129" s="720"/>
      <c r="P129" s="719"/>
      <c r="Q129" s="703"/>
      <c r="R129" s="719"/>
      <c r="S129" s="720"/>
      <c r="T129" s="719"/>
      <c r="U129" s="720"/>
      <c r="V129" s="719"/>
      <c r="W129" s="720"/>
      <c r="X129" s="719"/>
      <c r="Y129" s="720"/>
      <c r="Z129" s="711"/>
      <c r="AA129" s="703"/>
      <c r="AB129" s="711"/>
      <c r="AC129" s="703"/>
      <c r="AD129" s="711"/>
      <c r="AE129" s="703"/>
      <c r="AF129" s="711"/>
      <c r="AG129" s="703"/>
      <c r="AH129" s="711"/>
      <c r="AI129" s="703"/>
      <c r="AJ129" s="711"/>
      <c r="AK129" s="703"/>
      <c r="AL129" s="711"/>
      <c r="AM129" s="720"/>
    </row>
    <row r="130" spans="2:39" s="67" customFormat="1" ht="27" customHeight="1">
      <c r="B130" s="711"/>
      <c r="C130" s="703"/>
      <c r="D130" s="711"/>
      <c r="E130" s="703"/>
      <c r="F130" s="711"/>
      <c r="G130" s="703"/>
      <c r="H130" s="719"/>
      <c r="I130" s="720"/>
      <c r="J130" s="719"/>
      <c r="K130" s="720"/>
      <c r="L130" s="719"/>
      <c r="M130" s="720"/>
      <c r="N130" s="719"/>
      <c r="O130" s="720"/>
      <c r="P130" s="719"/>
      <c r="Q130" s="703"/>
      <c r="R130" s="719"/>
      <c r="S130" s="720"/>
      <c r="T130" s="719"/>
      <c r="U130" s="720"/>
      <c r="V130" s="719"/>
      <c r="W130" s="720"/>
      <c r="X130" s="719"/>
      <c r="Y130" s="720"/>
      <c r="Z130" s="711"/>
      <c r="AA130" s="703"/>
      <c r="AB130" s="711"/>
      <c r="AC130" s="703"/>
      <c r="AD130" s="711"/>
      <c r="AE130" s="703"/>
      <c r="AF130" s="711"/>
      <c r="AG130" s="703"/>
      <c r="AH130" s="711"/>
      <c r="AI130" s="703"/>
      <c r="AJ130" s="711"/>
      <c r="AK130" s="703"/>
      <c r="AL130" s="711"/>
      <c r="AM130" s="720"/>
    </row>
    <row r="131" spans="2:39" s="67" customFormat="1" ht="27" customHeight="1">
      <c r="B131" s="711"/>
      <c r="C131" s="703"/>
      <c r="D131" s="711"/>
      <c r="E131" s="703"/>
      <c r="F131" s="711"/>
      <c r="G131" s="703"/>
      <c r="H131" s="719"/>
      <c r="I131" s="720"/>
      <c r="J131" s="719"/>
      <c r="K131" s="720"/>
      <c r="L131" s="719"/>
      <c r="M131" s="720"/>
      <c r="N131" s="719"/>
      <c r="O131" s="720"/>
      <c r="P131" s="719"/>
      <c r="Q131" s="703"/>
      <c r="R131" s="719"/>
      <c r="S131" s="720"/>
      <c r="T131" s="719"/>
      <c r="U131" s="720"/>
      <c r="V131" s="719"/>
      <c r="W131" s="720"/>
      <c r="X131" s="719"/>
      <c r="Y131" s="720"/>
      <c r="Z131" s="711"/>
      <c r="AA131" s="703"/>
      <c r="AB131" s="711"/>
      <c r="AC131" s="703"/>
      <c r="AD131" s="711"/>
      <c r="AE131" s="703"/>
      <c r="AF131" s="711"/>
      <c r="AG131" s="703"/>
      <c r="AH131" s="711"/>
      <c r="AI131" s="703"/>
      <c r="AJ131" s="711"/>
      <c r="AK131" s="703"/>
      <c r="AL131" s="711"/>
      <c r="AM131" s="720"/>
    </row>
    <row r="132" spans="2:39" s="67" customFormat="1" ht="27" customHeight="1">
      <c r="B132" s="711"/>
      <c r="C132" s="703"/>
      <c r="D132" s="711"/>
      <c r="E132" s="703"/>
      <c r="F132" s="711"/>
      <c r="G132" s="703"/>
      <c r="H132" s="719"/>
      <c r="I132" s="720"/>
      <c r="J132" s="719"/>
      <c r="K132" s="720"/>
      <c r="L132" s="719"/>
      <c r="M132" s="720"/>
      <c r="N132" s="719"/>
      <c r="O132" s="720"/>
      <c r="P132" s="719"/>
      <c r="Q132" s="703"/>
      <c r="R132" s="719"/>
      <c r="S132" s="720"/>
      <c r="T132" s="719"/>
      <c r="U132" s="720"/>
      <c r="V132" s="719"/>
      <c r="W132" s="720"/>
      <c r="X132" s="719"/>
      <c r="Y132" s="720"/>
      <c r="Z132" s="711"/>
      <c r="AA132" s="703"/>
      <c r="AB132" s="711"/>
      <c r="AC132" s="703"/>
      <c r="AD132" s="711"/>
      <c r="AE132" s="703"/>
      <c r="AF132" s="711"/>
      <c r="AG132" s="703"/>
      <c r="AH132" s="711"/>
      <c r="AI132" s="703"/>
      <c r="AJ132" s="711"/>
      <c r="AK132" s="703"/>
      <c r="AL132" s="711"/>
      <c r="AM132" s="720"/>
    </row>
    <row r="133" spans="2:39" s="67" customFormat="1" ht="12.75">
      <c r="B133" s="711"/>
      <c r="C133" s="703"/>
      <c r="D133" s="711"/>
      <c r="E133" s="703"/>
      <c r="F133" s="711"/>
      <c r="G133" s="703"/>
      <c r="H133" s="719"/>
      <c r="I133" s="720"/>
      <c r="J133" s="719"/>
      <c r="K133" s="720"/>
      <c r="L133" s="719"/>
      <c r="M133" s="720"/>
      <c r="N133" s="719"/>
      <c r="O133" s="720"/>
      <c r="P133" s="719"/>
      <c r="Q133" s="703"/>
      <c r="R133" s="719"/>
      <c r="S133" s="720"/>
      <c r="T133" s="719"/>
      <c r="U133" s="720"/>
      <c r="V133" s="719"/>
      <c r="W133" s="720"/>
      <c r="X133" s="719"/>
      <c r="Y133" s="720"/>
      <c r="Z133" s="711"/>
      <c r="AA133" s="703"/>
      <c r="AB133" s="711"/>
      <c r="AC133" s="703"/>
      <c r="AD133" s="711"/>
      <c r="AE133" s="703"/>
      <c r="AF133" s="711"/>
      <c r="AG133" s="703"/>
      <c r="AH133" s="711"/>
      <c r="AI133" s="703"/>
      <c r="AJ133" s="711"/>
      <c r="AK133" s="703"/>
      <c r="AL133" s="711"/>
      <c r="AM133" s="720"/>
    </row>
    <row r="134" spans="2:39" s="67" customFormat="1" ht="12.75">
      <c r="B134" s="711"/>
      <c r="C134" s="703"/>
      <c r="D134" s="711"/>
      <c r="E134" s="703"/>
      <c r="F134" s="711"/>
      <c r="G134" s="703"/>
      <c r="H134" s="719"/>
      <c r="I134" s="720"/>
      <c r="J134" s="719"/>
      <c r="K134" s="720"/>
      <c r="L134" s="719"/>
      <c r="M134" s="720"/>
      <c r="N134" s="719"/>
      <c r="O134" s="720"/>
      <c r="P134" s="719"/>
      <c r="Q134" s="703"/>
      <c r="R134" s="719"/>
      <c r="S134" s="720"/>
      <c r="T134" s="719"/>
      <c r="U134" s="720"/>
      <c r="V134" s="719"/>
      <c r="W134" s="720"/>
      <c r="X134" s="719"/>
      <c r="Y134" s="720"/>
      <c r="Z134" s="711"/>
      <c r="AA134" s="703"/>
      <c r="AB134" s="711"/>
      <c r="AC134" s="703"/>
      <c r="AD134" s="711"/>
      <c r="AE134" s="703"/>
      <c r="AF134" s="711"/>
      <c r="AG134" s="703"/>
      <c r="AH134" s="711"/>
      <c r="AI134" s="703"/>
      <c r="AJ134" s="711"/>
      <c r="AK134" s="703"/>
      <c r="AL134" s="711"/>
      <c r="AM134" s="720"/>
    </row>
    <row r="135" spans="2:39" s="67" customFormat="1" ht="12.75">
      <c r="B135" s="711"/>
      <c r="C135" s="703"/>
      <c r="D135" s="711"/>
      <c r="E135" s="703"/>
      <c r="F135" s="711"/>
      <c r="G135" s="703"/>
      <c r="H135" s="719"/>
      <c r="I135" s="720"/>
      <c r="J135" s="719"/>
      <c r="K135" s="720"/>
      <c r="L135" s="719"/>
      <c r="M135" s="720"/>
      <c r="N135" s="719"/>
      <c r="O135" s="720"/>
      <c r="P135" s="719"/>
      <c r="Q135" s="703"/>
      <c r="R135" s="719"/>
      <c r="S135" s="720"/>
      <c r="T135" s="719"/>
      <c r="U135" s="720"/>
      <c r="V135" s="719"/>
      <c r="W135" s="720"/>
      <c r="X135" s="719"/>
      <c r="Y135" s="720"/>
      <c r="Z135" s="711"/>
      <c r="AA135" s="703"/>
      <c r="AB135" s="711"/>
      <c r="AC135" s="703"/>
      <c r="AD135" s="711"/>
      <c r="AE135" s="703"/>
      <c r="AF135" s="711"/>
      <c r="AG135" s="703"/>
      <c r="AH135" s="711"/>
      <c r="AI135" s="703"/>
      <c r="AJ135" s="711"/>
      <c r="AK135" s="703"/>
      <c r="AL135" s="711"/>
      <c r="AM135" s="720"/>
    </row>
    <row r="136" spans="2:39" s="67" customFormat="1" ht="12.75">
      <c r="B136" s="711"/>
      <c r="C136" s="703"/>
      <c r="D136" s="711"/>
      <c r="E136" s="703"/>
      <c r="F136" s="711"/>
      <c r="G136" s="703"/>
      <c r="H136" s="719"/>
      <c r="I136" s="720"/>
      <c r="J136" s="719"/>
      <c r="K136" s="720"/>
      <c r="L136" s="719"/>
      <c r="M136" s="720"/>
      <c r="N136" s="719"/>
      <c r="O136" s="720"/>
      <c r="P136" s="719"/>
      <c r="Q136" s="703"/>
      <c r="R136" s="719"/>
      <c r="S136" s="720"/>
      <c r="T136" s="719"/>
      <c r="U136" s="720"/>
      <c r="V136" s="719"/>
      <c r="W136" s="720"/>
      <c r="X136" s="719"/>
      <c r="Y136" s="720"/>
      <c r="Z136" s="711"/>
      <c r="AA136" s="703"/>
      <c r="AB136" s="711"/>
      <c r="AC136" s="703"/>
      <c r="AD136" s="711"/>
      <c r="AE136" s="703"/>
      <c r="AF136" s="711"/>
      <c r="AG136" s="703"/>
      <c r="AH136" s="711"/>
      <c r="AI136" s="703"/>
      <c r="AJ136" s="711"/>
      <c r="AK136" s="703"/>
      <c r="AL136" s="711"/>
      <c r="AM136" s="720"/>
    </row>
    <row r="137" spans="2:39" s="67" customFormat="1" ht="12.75">
      <c r="B137" s="711"/>
      <c r="C137" s="703"/>
      <c r="D137" s="711"/>
      <c r="E137" s="703"/>
      <c r="F137" s="711"/>
      <c r="G137" s="703"/>
      <c r="H137" s="719"/>
      <c r="I137" s="720"/>
      <c r="J137" s="719"/>
      <c r="K137" s="720"/>
      <c r="L137" s="719"/>
      <c r="M137" s="720"/>
      <c r="N137" s="719"/>
      <c r="O137" s="720"/>
      <c r="P137" s="719"/>
      <c r="Q137" s="703"/>
      <c r="R137" s="719"/>
      <c r="S137" s="720"/>
      <c r="T137" s="719"/>
      <c r="U137" s="720"/>
      <c r="V137" s="719"/>
      <c r="W137" s="720"/>
      <c r="X137" s="719"/>
      <c r="Y137" s="720"/>
      <c r="Z137" s="711"/>
      <c r="AA137" s="703"/>
      <c r="AB137" s="711"/>
      <c r="AC137" s="703"/>
      <c r="AD137" s="711"/>
      <c r="AE137" s="703"/>
      <c r="AF137" s="711"/>
      <c r="AG137" s="703"/>
      <c r="AH137" s="711"/>
      <c r="AI137" s="703"/>
      <c r="AJ137" s="711"/>
      <c r="AK137" s="703"/>
      <c r="AL137" s="711"/>
      <c r="AM137" s="720"/>
    </row>
    <row r="138" spans="1:11" ht="21.75">
      <c r="A138" s="75"/>
      <c r="B138" s="712"/>
      <c r="C138" s="707"/>
      <c r="D138" s="714"/>
      <c r="E138" s="707"/>
      <c r="F138" s="714"/>
      <c r="G138" s="707"/>
      <c r="J138" s="722"/>
      <c r="K138" s="723"/>
    </row>
  </sheetData>
  <sheetProtection/>
  <mergeCells count="20">
    <mergeCell ref="AF1:AG1"/>
    <mergeCell ref="AH1:AI1"/>
    <mergeCell ref="AJ1:AK1"/>
    <mergeCell ref="N1:O1"/>
    <mergeCell ref="P1:Q1"/>
    <mergeCell ref="R1:S1"/>
    <mergeCell ref="T1:U1"/>
    <mergeCell ref="AL1:AM1"/>
    <mergeCell ref="X1:Y1"/>
    <mergeCell ref="Z1:AA1"/>
    <mergeCell ref="AB1:AC1"/>
    <mergeCell ref="AD1:AE1"/>
    <mergeCell ref="V1:W1"/>
    <mergeCell ref="H1:I1"/>
    <mergeCell ref="J1:K1"/>
    <mergeCell ref="L1:M1"/>
    <mergeCell ref="A1:A2"/>
    <mergeCell ref="B1:C1"/>
    <mergeCell ref="D1:E1"/>
    <mergeCell ref="F1:G1"/>
  </mergeCells>
  <printOptions/>
  <pageMargins left="0" right="0" top="0.75" bottom="0.25" header="0.5" footer="0.5"/>
  <pageSetup horizontalDpi="600" verticalDpi="600" orientation="landscape" paperSize="9" r:id="rId1"/>
  <headerFooter alignWithMargins="0">
    <oddHeader>&amp;LAppendix II : Total Value of Thai International Cooperation Programme by Sector (TICP FY2011)</oddHeader>
  </headerFooter>
</worksheet>
</file>

<file path=xl/worksheets/sheet3.xml><?xml version="1.0" encoding="utf-8"?>
<worksheet xmlns="http://schemas.openxmlformats.org/spreadsheetml/2006/main" xmlns:r="http://schemas.openxmlformats.org/officeDocument/2006/relationships">
  <sheetPr>
    <tabColor indexed="13"/>
  </sheetPr>
  <dimension ref="A1:X90"/>
  <sheetViews>
    <sheetView zoomScale="120" zoomScaleNormal="120" zoomScalePageLayoutView="0" workbookViewId="0" topLeftCell="A1">
      <pane ySplit="4" topLeftCell="A11" activePane="bottomLeft" state="frozen"/>
      <selection pane="topLeft" activeCell="A1" sqref="A1"/>
      <selection pane="bottomLeft" activeCell="C21" sqref="C21"/>
    </sheetView>
  </sheetViews>
  <sheetFormatPr defaultColWidth="10.57421875" defaultRowHeight="12.75"/>
  <cols>
    <col min="1" max="1" width="19.140625" style="42" customWidth="1"/>
    <col min="2" max="2" width="5.00390625" style="37" customWidth="1"/>
    <col min="3" max="3" width="8.8515625" style="608" customWidth="1"/>
    <col min="4" max="4" width="4.421875" style="38" customWidth="1"/>
    <col min="5" max="5" width="8.7109375" style="608" customWidth="1"/>
    <col min="6" max="6" width="5.7109375" style="608" customWidth="1"/>
    <col min="7" max="7" width="8.8515625" style="608" customWidth="1"/>
    <col min="8" max="8" width="4.8515625" style="37" customWidth="1"/>
    <col min="9" max="9" width="7.8515625" style="608" customWidth="1"/>
    <col min="10" max="10" width="4.421875" style="39" customWidth="1"/>
    <col min="11" max="11" width="8.421875" style="608" customWidth="1"/>
    <col min="12" max="12" width="8.00390625" style="608" customWidth="1"/>
    <col min="13" max="13" width="8.7109375" style="608" customWidth="1"/>
    <col min="14" max="14" width="5.00390625" style="37" customWidth="1"/>
    <col min="15" max="15" width="7.8515625" style="38" customWidth="1"/>
    <col min="16" max="16" width="9.140625" style="88" customWidth="1"/>
    <col min="17" max="17" width="6.28125" style="37" customWidth="1"/>
    <col min="18" max="18" width="5.8515625" style="38" customWidth="1"/>
    <col min="19" max="19" width="8.7109375" style="608" customWidth="1"/>
    <col min="20" max="20" width="15.57421875" style="42" customWidth="1"/>
    <col min="21" max="21" width="9.57421875" style="156" customWidth="1"/>
    <col min="22" max="24" width="10.57421875" style="156" customWidth="1"/>
    <col min="25" max="16384" width="10.57421875" style="42" customWidth="1"/>
  </cols>
  <sheetData>
    <row r="1" spans="1:19" ht="18.75" customHeight="1" thickBot="1">
      <c r="A1" s="36" t="s">
        <v>314</v>
      </c>
      <c r="Q1" s="40"/>
      <c r="R1" s="40"/>
      <c r="S1" s="503" t="s">
        <v>0</v>
      </c>
    </row>
    <row r="2" spans="1:24" s="43" customFormat="1" ht="17.25" customHeight="1">
      <c r="A2" s="1223" t="s">
        <v>1</v>
      </c>
      <c r="B2" s="1228" t="s">
        <v>500</v>
      </c>
      <c r="C2" s="1229"/>
      <c r="D2" s="1229"/>
      <c r="E2" s="1230"/>
      <c r="F2" s="1242" t="s">
        <v>62</v>
      </c>
      <c r="G2" s="1243"/>
      <c r="H2" s="1243"/>
      <c r="I2" s="1243"/>
      <c r="J2" s="1243"/>
      <c r="K2" s="1243"/>
      <c r="L2" s="1243"/>
      <c r="M2" s="1244"/>
      <c r="N2" s="1238" t="s">
        <v>63</v>
      </c>
      <c r="O2" s="1239"/>
      <c r="P2" s="1232" t="s">
        <v>64</v>
      </c>
      <c r="Q2" s="1234" t="s">
        <v>65</v>
      </c>
      <c r="R2" s="1236" t="s">
        <v>66</v>
      </c>
      <c r="S2" s="1236"/>
      <c r="U2" s="44"/>
      <c r="V2" s="44"/>
      <c r="W2" s="44"/>
      <c r="X2" s="44"/>
    </row>
    <row r="3" spans="1:24" s="43" customFormat="1" ht="18" customHeight="1">
      <c r="A3" s="1224"/>
      <c r="B3" s="1226" t="s">
        <v>121</v>
      </c>
      <c r="C3" s="1227"/>
      <c r="D3" s="1227" t="s">
        <v>67</v>
      </c>
      <c r="E3" s="1231"/>
      <c r="F3" s="1226" t="s">
        <v>121</v>
      </c>
      <c r="G3" s="1227"/>
      <c r="H3" s="1227" t="s">
        <v>67</v>
      </c>
      <c r="I3" s="1231"/>
      <c r="J3" s="1245" t="s">
        <v>68</v>
      </c>
      <c r="K3" s="1245"/>
      <c r="L3" s="785" t="s">
        <v>64</v>
      </c>
      <c r="M3" s="786" t="s">
        <v>65</v>
      </c>
      <c r="N3" s="1240"/>
      <c r="O3" s="1241"/>
      <c r="P3" s="1233"/>
      <c r="Q3" s="1235"/>
      <c r="R3" s="1237"/>
      <c r="S3" s="1237"/>
      <c r="U3" s="44"/>
      <c r="V3" s="44"/>
      <c r="W3" s="44"/>
      <c r="X3" s="44"/>
    </row>
    <row r="4" spans="1:24" s="45" customFormat="1" ht="15.75" customHeight="1" thickBot="1">
      <c r="A4" s="1225"/>
      <c r="B4" s="787" t="s">
        <v>10</v>
      </c>
      <c r="C4" s="788" t="s">
        <v>9</v>
      </c>
      <c r="D4" s="789" t="s">
        <v>10</v>
      </c>
      <c r="E4" s="790" t="s">
        <v>9</v>
      </c>
      <c r="F4" s="787" t="s">
        <v>10</v>
      </c>
      <c r="G4" s="788" t="s">
        <v>9</v>
      </c>
      <c r="H4" s="789" t="s">
        <v>10</v>
      </c>
      <c r="I4" s="790" t="s">
        <v>9</v>
      </c>
      <c r="J4" s="789" t="s">
        <v>10</v>
      </c>
      <c r="K4" s="788" t="s">
        <v>9</v>
      </c>
      <c r="L4" s="788" t="s">
        <v>9</v>
      </c>
      <c r="M4" s="790" t="s">
        <v>9</v>
      </c>
      <c r="N4" s="787" t="s">
        <v>10</v>
      </c>
      <c r="O4" s="791" t="s">
        <v>9</v>
      </c>
      <c r="P4" s="792" t="s">
        <v>9</v>
      </c>
      <c r="Q4" s="793" t="s">
        <v>9</v>
      </c>
      <c r="R4" s="789" t="s">
        <v>8</v>
      </c>
      <c r="S4" s="788" t="s">
        <v>9</v>
      </c>
      <c r="U4" s="44"/>
      <c r="V4" s="44"/>
      <c r="W4" s="44"/>
      <c r="X4" s="44"/>
    </row>
    <row r="5" spans="1:19" ht="18" customHeight="1">
      <c r="A5" s="794" t="s">
        <v>69</v>
      </c>
      <c r="B5" s="795"/>
      <c r="C5" s="796"/>
      <c r="D5" s="797"/>
      <c r="E5" s="798"/>
      <c r="F5" s="795"/>
      <c r="G5" s="796"/>
      <c r="H5" s="797"/>
      <c r="I5" s="798"/>
      <c r="J5" s="800"/>
      <c r="K5" s="799"/>
      <c r="L5" s="799"/>
      <c r="M5" s="801"/>
      <c r="N5" s="795"/>
      <c r="O5" s="797"/>
      <c r="P5" s="802"/>
      <c r="Q5" s="803"/>
      <c r="R5" s="804"/>
      <c r="S5" s="805"/>
    </row>
    <row r="6" spans="1:21" ht="17.25" customHeight="1">
      <c r="A6" s="46" t="s">
        <v>11</v>
      </c>
      <c r="B6" s="615">
        <f>ApIV!AL5</f>
        <v>0</v>
      </c>
      <c r="C6" s="52">
        <f>ApIV!AM5</f>
        <v>0</v>
      </c>
      <c r="D6" s="52">
        <f>ApIV!AN5</f>
        <v>0</v>
      </c>
      <c r="E6" s="1187">
        <v>1243.8</v>
      </c>
      <c r="F6" s="615">
        <f>ApV!D17</f>
        <v>0</v>
      </c>
      <c r="G6" s="643">
        <f>ApV!E17</f>
        <v>0</v>
      </c>
      <c r="H6" s="52">
        <f>ApV!F17</f>
        <v>1</v>
      </c>
      <c r="I6" s="650">
        <f>ApV!G17</f>
        <v>110.00000000000001</v>
      </c>
      <c r="J6" s="615">
        <f>ApV!H17</f>
        <v>2</v>
      </c>
      <c r="K6" s="643">
        <f>ApV!I17</f>
        <v>190</v>
      </c>
      <c r="L6" s="52">
        <f>ApV!J17</f>
        <v>0</v>
      </c>
      <c r="M6" s="650">
        <f>ApV!K17</f>
        <v>432.2</v>
      </c>
      <c r="N6" s="615">
        <v>1</v>
      </c>
      <c r="O6" s="643">
        <v>451.6</v>
      </c>
      <c r="P6" s="643" t="s">
        <v>12</v>
      </c>
      <c r="Q6" s="650"/>
      <c r="R6" s="53">
        <f>SUM(B6,H6,D6,F6)</f>
        <v>1</v>
      </c>
      <c r="S6" s="1188">
        <f>SUM(C6,E6,G6,I6,K6,L6,M6,O6,P6,Q6)</f>
        <v>2427.6</v>
      </c>
      <c r="T6" s="157"/>
      <c r="U6" s="157"/>
    </row>
    <row r="7" spans="1:22" ht="17.25" customHeight="1">
      <c r="A7" s="46" t="s">
        <v>13</v>
      </c>
      <c r="B7" s="615">
        <v>189</v>
      </c>
      <c r="C7" s="1192">
        <v>16308.5</v>
      </c>
      <c r="D7" s="52">
        <v>51</v>
      </c>
      <c r="E7" s="1187">
        <v>34302.1</v>
      </c>
      <c r="F7" s="615">
        <f>ApV!D41</f>
        <v>240</v>
      </c>
      <c r="G7" s="643">
        <f>ApV!E41</f>
        <v>4910.510000000001</v>
      </c>
      <c r="H7" s="52">
        <f>ApV!F41</f>
        <v>19</v>
      </c>
      <c r="I7" s="650">
        <f>ApV!G41</f>
        <v>4771.0700000000015</v>
      </c>
      <c r="J7" s="615">
        <f>ApV!H41</f>
        <v>32</v>
      </c>
      <c r="K7" s="643">
        <f>ApV!I41</f>
        <v>734</v>
      </c>
      <c r="L7" s="643">
        <f>ApV!J41</f>
        <v>1022.5</v>
      </c>
      <c r="M7" s="650">
        <f>ApV!K41</f>
        <v>820.3</v>
      </c>
      <c r="N7" s="615">
        <v>11</v>
      </c>
      <c r="O7" s="643">
        <f>171.3+69+63.2</f>
        <v>303.5</v>
      </c>
      <c r="P7" s="643" t="s">
        <v>12</v>
      </c>
      <c r="Q7" s="650"/>
      <c r="R7" s="53">
        <f>SUM(B7,H7,D7,F7)</f>
        <v>499</v>
      </c>
      <c r="S7" s="1188">
        <f>SUM(C7,E7,G7,I7,K7,L7,M7,O7,P7,Q7)</f>
        <v>63172.48</v>
      </c>
      <c r="T7" s="157"/>
      <c r="U7" s="157"/>
      <c r="V7" s="47"/>
    </row>
    <row r="8" spans="1:21" ht="17.25" customHeight="1">
      <c r="A8" s="46" t="s">
        <v>14</v>
      </c>
      <c r="B8" s="615">
        <v>229</v>
      </c>
      <c r="C8" s="1192">
        <v>15925.8</v>
      </c>
      <c r="D8" s="52">
        <v>8</v>
      </c>
      <c r="E8" s="1187">
        <v>4379.1</v>
      </c>
      <c r="F8" s="615">
        <f>ApV!D62</f>
        <v>11</v>
      </c>
      <c r="G8" s="643">
        <f>ApV!E62</f>
        <v>629.3100000000001</v>
      </c>
      <c r="H8" s="52">
        <f>ApV!F62</f>
        <v>2</v>
      </c>
      <c r="I8" s="650">
        <f>ApV!G62</f>
        <v>175.67</v>
      </c>
      <c r="J8" s="615">
        <f>ApV!H62</f>
        <v>10</v>
      </c>
      <c r="K8" s="643">
        <f>ApV!I62</f>
        <v>327.2</v>
      </c>
      <c r="L8" s="643">
        <f>ApV!J62</f>
        <v>4479.599999999999</v>
      </c>
      <c r="M8" s="650">
        <f>ApV!K62</f>
        <v>7622.2</v>
      </c>
      <c r="N8" s="615"/>
      <c r="O8" s="643"/>
      <c r="P8" s="643">
        <v>240.3</v>
      </c>
      <c r="Q8" s="650"/>
      <c r="R8" s="53">
        <f>SUM(B8,H8,D8,F8)</f>
        <v>250</v>
      </c>
      <c r="S8" s="1188">
        <f>SUM(C8,E8,G8,I8,K8,L8,M8,O8,P8,Q8)</f>
        <v>33779.18</v>
      </c>
      <c r="T8" s="157"/>
      <c r="U8" s="48"/>
    </row>
    <row r="9" spans="1:24" s="326" customFormat="1" ht="17.25" customHeight="1">
      <c r="A9" s="51" t="s">
        <v>15</v>
      </c>
      <c r="B9" s="616">
        <v>85</v>
      </c>
      <c r="C9" s="1193">
        <v>5061.6</v>
      </c>
      <c r="D9" s="610" t="s">
        <v>12</v>
      </c>
      <c r="E9" s="619" t="s">
        <v>12</v>
      </c>
      <c r="F9" s="616">
        <f>ApV!D83</f>
        <v>0</v>
      </c>
      <c r="G9" s="644">
        <f>ApV!E83</f>
        <v>0</v>
      </c>
      <c r="H9" s="343">
        <f>ApV!F83</f>
        <v>1</v>
      </c>
      <c r="I9" s="1139">
        <f>ApV!G83</f>
        <v>21.12</v>
      </c>
      <c r="J9" s="616">
        <f>ApV!H83</f>
        <v>3</v>
      </c>
      <c r="K9" s="644">
        <f>ApV!I83</f>
        <v>462.1</v>
      </c>
      <c r="L9" s="343">
        <f>ApV!J83</f>
        <v>0</v>
      </c>
      <c r="M9" s="1139">
        <f>ApV!K83</f>
        <v>432.2</v>
      </c>
      <c r="N9" s="616"/>
      <c r="O9" s="644"/>
      <c r="P9" s="644" t="s">
        <v>12</v>
      </c>
      <c r="Q9" s="1139"/>
      <c r="R9" s="1140">
        <f>SUM(B9,H9,D9,F9)</f>
        <v>86</v>
      </c>
      <c r="S9" s="1189">
        <f>SUM(C9,E9,G9,I9,K9,L9,M9,O9,P9,Q9)</f>
        <v>5977.02</v>
      </c>
      <c r="T9" s="344"/>
      <c r="U9" s="344"/>
      <c r="V9" s="346"/>
      <c r="W9" s="346"/>
      <c r="X9" s="346"/>
    </row>
    <row r="10" spans="1:21" ht="18" customHeight="1">
      <c r="A10" s="794" t="s">
        <v>16</v>
      </c>
      <c r="B10" s="1131"/>
      <c r="C10" s="737"/>
      <c r="D10" s="1133"/>
      <c r="E10" s="1134"/>
      <c r="F10" s="1131"/>
      <c r="G10" s="1132"/>
      <c r="H10" s="1133"/>
      <c r="I10" s="1134"/>
      <c r="J10" s="1131"/>
      <c r="K10" s="1132"/>
      <c r="L10" s="1132"/>
      <c r="M10" s="1134"/>
      <c r="N10" s="1131"/>
      <c r="O10" s="1133"/>
      <c r="P10" s="1137"/>
      <c r="Q10" s="1138"/>
      <c r="R10" s="806"/>
      <c r="S10" s="737"/>
      <c r="T10" s="157"/>
      <c r="U10" s="157"/>
    </row>
    <row r="11" spans="1:21" ht="17.25" customHeight="1">
      <c r="A11" s="46" t="s">
        <v>17</v>
      </c>
      <c r="B11" s="615" t="s">
        <v>12</v>
      </c>
      <c r="C11" s="1192" t="s">
        <v>12</v>
      </c>
      <c r="D11" s="52" t="s">
        <v>12</v>
      </c>
      <c r="E11" s="618" t="s">
        <v>12</v>
      </c>
      <c r="F11" s="52" t="s">
        <v>12</v>
      </c>
      <c r="G11" s="52" t="s">
        <v>12</v>
      </c>
      <c r="H11" s="52" t="s">
        <v>12</v>
      </c>
      <c r="I11" s="618" t="s">
        <v>12</v>
      </c>
      <c r="J11" s="615">
        <f>ApV!H20</f>
        <v>0</v>
      </c>
      <c r="K11" s="52">
        <f>ApV!I20</f>
        <v>0</v>
      </c>
      <c r="L11" s="52">
        <f>ApV!J20</f>
        <v>0</v>
      </c>
      <c r="M11" s="650">
        <f>ApV!K20</f>
        <v>2848.4</v>
      </c>
      <c r="N11" s="615"/>
      <c r="O11" s="52"/>
      <c r="P11" s="643" t="s">
        <v>12</v>
      </c>
      <c r="Q11" s="651" t="s">
        <v>12</v>
      </c>
      <c r="R11" s="53">
        <f>SUM(B11,H11,D11,F11)</f>
        <v>0</v>
      </c>
      <c r="S11" s="1188">
        <f>SUM(C11,E11,G11,I11,K11,L11,M11,O11,P11,Q11)</f>
        <v>2848.4</v>
      </c>
      <c r="T11" s="157"/>
      <c r="U11" s="157"/>
    </row>
    <row r="12" spans="1:24" s="326" customFormat="1" ht="17.25" customHeight="1">
      <c r="A12" s="51" t="s">
        <v>20</v>
      </c>
      <c r="B12" s="616">
        <v>20</v>
      </c>
      <c r="C12" s="1193">
        <v>95.7</v>
      </c>
      <c r="D12" s="343" t="s">
        <v>12</v>
      </c>
      <c r="E12" s="619" t="s">
        <v>12</v>
      </c>
      <c r="F12" s="616">
        <f>ApV!D76</f>
        <v>38</v>
      </c>
      <c r="G12" s="644">
        <f>ApV!E76</f>
        <v>5320</v>
      </c>
      <c r="H12" s="343">
        <f>ApV!F76</f>
        <v>0</v>
      </c>
      <c r="I12" s="1139">
        <f>ApV!G76</f>
        <v>0</v>
      </c>
      <c r="J12" s="616">
        <f>ApV!H76</f>
        <v>2</v>
      </c>
      <c r="K12" s="644">
        <f>ApV!I76</f>
        <v>770.2</v>
      </c>
      <c r="L12" s="343">
        <f>ApV!J76</f>
        <v>0</v>
      </c>
      <c r="M12" s="652">
        <f>ApV!K76</f>
        <v>0</v>
      </c>
      <c r="N12" s="616">
        <v>2</v>
      </c>
      <c r="O12" s="644">
        <v>395.2</v>
      </c>
      <c r="P12" s="644" t="s">
        <v>12</v>
      </c>
      <c r="Q12" s="652" t="s">
        <v>12</v>
      </c>
      <c r="R12" s="1140">
        <f>SUM(B12,H12,D12,F12)</f>
        <v>58</v>
      </c>
      <c r="S12" s="1189">
        <f>SUM(C12,E12,G12,I12,K12,L12,M12,O12,P12,Q12)</f>
        <v>6581.099999999999</v>
      </c>
      <c r="T12" s="344"/>
      <c r="U12" s="344"/>
      <c r="V12" s="346"/>
      <c r="W12" s="346"/>
      <c r="X12" s="346"/>
    </row>
    <row r="13" spans="1:21" ht="17.25" customHeight="1">
      <c r="A13" s="794" t="s">
        <v>21</v>
      </c>
      <c r="B13" s="807"/>
      <c r="C13" s="740"/>
      <c r="D13" s="809"/>
      <c r="E13" s="810"/>
      <c r="F13" s="807"/>
      <c r="G13" s="808"/>
      <c r="H13" s="809"/>
      <c r="I13" s="810"/>
      <c r="J13" s="807"/>
      <c r="K13" s="808"/>
      <c r="L13" s="808"/>
      <c r="M13" s="810"/>
      <c r="N13" s="807"/>
      <c r="O13" s="809"/>
      <c r="P13" s="811"/>
      <c r="Q13" s="812"/>
      <c r="R13" s="806">
        <f>SUM(B13,H13,N13,D13,J13)</f>
        <v>0</v>
      </c>
      <c r="S13" s="737"/>
      <c r="T13" s="157"/>
      <c r="U13" s="157"/>
    </row>
    <row r="14" spans="1:24" s="326" customFormat="1" ht="17.25" customHeight="1">
      <c r="A14" s="51" t="s">
        <v>23</v>
      </c>
      <c r="B14" s="1156" t="s">
        <v>12</v>
      </c>
      <c r="C14" s="1193" t="s">
        <v>12</v>
      </c>
      <c r="D14" s="610" t="s">
        <v>12</v>
      </c>
      <c r="E14" s="619" t="s">
        <v>12</v>
      </c>
      <c r="F14" s="616">
        <f>ApV!D50</f>
        <v>0</v>
      </c>
      <c r="G14" s="343">
        <f>ApV!E50</f>
        <v>0</v>
      </c>
      <c r="H14" s="343">
        <f>ApV!F50</f>
        <v>0</v>
      </c>
      <c r="I14" s="652">
        <f>ApV!G50</f>
        <v>0</v>
      </c>
      <c r="J14" s="616">
        <f>ApV!H50</f>
        <v>0</v>
      </c>
      <c r="K14" s="343">
        <f>ApV!I50</f>
        <v>0</v>
      </c>
      <c r="L14" s="343">
        <f>ApV!J50</f>
        <v>0</v>
      </c>
      <c r="M14" s="1139">
        <f>ApV!K50</f>
        <v>1362.8</v>
      </c>
      <c r="N14" s="616" t="s">
        <v>12</v>
      </c>
      <c r="O14" s="343" t="s">
        <v>12</v>
      </c>
      <c r="P14" s="644" t="s">
        <v>12</v>
      </c>
      <c r="Q14" s="652" t="s">
        <v>12</v>
      </c>
      <c r="R14" s="1140">
        <f>SUM(B14,H14,D14,F14)</f>
        <v>0</v>
      </c>
      <c r="S14" s="1189">
        <f>SUM(C14,E14,G14,I14,K14,L14,M14,O14,P14,Q14)</f>
        <v>1362.8</v>
      </c>
      <c r="T14" s="344"/>
      <c r="U14" s="344"/>
      <c r="V14" s="346"/>
      <c r="W14" s="346"/>
      <c r="X14" s="346"/>
    </row>
    <row r="15" spans="1:21" ht="17.25" customHeight="1">
      <c r="A15" s="794" t="s">
        <v>24</v>
      </c>
      <c r="B15" s="1131"/>
      <c r="C15" s="737"/>
      <c r="D15" s="1133"/>
      <c r="E15" s="1134"/>
      <c r="F15" s="1131"/>
      <c r="G15" s="1132"/>
      <c r="H15" s="1133"/>
      <c r="I15" s="1134"/>
      <c r="J15" s="1131"/>
      <c r="K15" s="1132"/>
      <c r="L15" s="1132"/>
      <c r="M15" s="1134"/>
      <c r="N15" s="1131"/>
      <c r="O15" s="1133"/>
      <c r="P15" s="1137"/>
      <c r="Q15" s="1138"/>
      <c r="R15" s="806"/>
      <c r="S15" s="737"/>
      <c r="T15" s="157"/>
      <c r="U15" s="157"/>
    </row>
    <row r="16" spans="1:21" ht="18" customHeight="1">
      <c r="A16" s="46" t="s">
        <v>25</v>
      </c>
      <c r="B16" s="1157" t="s">
        <v>12</v>
      </c>
      <c r="C16" s="1192" t="s">
        <v>12</v>
      </c>
      <c r="D16" s="609" t="s">
        <v>12</v>
      </c>
      <c r="E16" s="618" t="s">
        <v>12</v>
      </c>
      <c r="F16" s="615" t="s">
        <v>12</v>
      </c>
      <c r="G16" s="609" t="s">
        <v>12</v>
      </c>
      <c r="H16" s="52" t="s">
        <v>12</v>
      </c>
      <c r="I16" s="618" t="s">
        <v>12</v>
      </c>
      <c r="J16" s="615">
        <f>ApV!H6</f>
        <v>0</v>
      </c>
      <c r="K16" s="52">
        <f>ApV!I6</f>
        <v>0</v>
      </c>
      <c r="L16" s="52">
        <f>ApV!J6</f>
        <v>0</v>
      </c>
      <c r="M16" s="650">
        <f>ApV!K6</f>
        <v>3375.1</v>
      </c>
      <c r="N16" s="615" t="s">
        <v>12</v>
      </c>
      <c r="O16" s="52" t="s">
        <v>12</v>
      </c>
      <c r="P16" s="643" t="s">
        <v>12</v>
      </c>
      <c r="Q16" s="651" t="s">
        <v>12</v>
      </c>
      <c r="R16" s="53">
        <f>SUM(B16,H16,D16,F16)</f>
        <v>0</v>
      </c>
      <c r="S16" s="1188">
        <f>SUM(C16,E16,G16,I16,K16,L16,M16,O16,P16,Q16)</f>
        <v>3375.1</v>
      </c>
      <c r="T16" s="157"/>
      <c r="U16" s="157"/>
    </row>
    <row r="17" spans="1:21" ht="18" customHeight="1">
      <c r="A17" s="46" t="s">
        <v>26</v>
      </c>
      <c r="B17" s="615">
        <v>2</v>
      </c>
      <c r="C17" s="1192">
        <v>240.6</v>
      </c>
      <c r="D17" s="52" t="s">
        <v>12</v>
      </c>
      <c r="E17" s="651" t="s">
        <v>12</v>
      </c>
      <c r="F17" s="615" t="s">
        <v>12</v>
      </c>
      <c r="G17" s="609" t="s">
        <v>12</v>
      </c>
      <c r="H17" s="52" t="s">
        <v>12</v>
      </c>
      <c r="I17" s="618" t="s">
        <v>12</v>
      </c>
      <c r="J17" s="1136">
        <f>ApV!H8</f>
        <v>6</v>
      </c>
      <c r="K17" s="609">
        <f>ApV!I8</f>
        <v>276.3</v>
      </c>
      <c r="L17" s="1192">
        <f>ApV!J8</f>
        <v>1727.5</v>
      </c>
      <c r="M17" s="618">
        <f>ApV!K8</f>
        <v>351.5</v>
      </c>
      <c r="N17" s="615" t="s">
        <v>12</v>
      </c>
      <c r="O17" s="52" t="s">
        <v>12</v>
      </c>
      <c r="P17" s="643" t="s">
        <v>12</v>
      </c>
      <c r="Q17" s="651" t="s">
        <v>12</v>
      </c>
      <c r="R17" s="53">
        <f aca="true" t="shared" si="0" ref="R17:R22">SUM(B17,H17,D17,F17)</f>
        <v>2</v>
      </c>
      <c r="S17" s="1188">
        <f aca="true" t="shared" si="1" ref="S17:S22">SUM(C17,E17,G17,I17,K17,L17,M17,O17,P17,Q17)</f>
        <v>2595.9</v>
      </c>
      <c r="T17" s="157"/>
      <c r="U17" s="157"/>
    </row>
    <row r="18" spans="1:21" ht="18" customHeight="1">
      <c r="A18" s="46" t="s">
        <v>27</v>
      </c>
      <c r="B18" s="615">
        <v>7</v>
      </c>
      <c r="C18" s="1192">
        <v>530.7</v>
      </c>
      <c r="D18" s="52">
        <v>28</v>
      </c>
      <c r="E18" s="618">
        <v>2307.4</v>
      </c>
      <c r="F18" s="615" t="s">
        <v>12</v>
      </c>
      <c r="G18" s="609" t="s">
        <v>12</v>
      </c>
      <c r="H18" s="52" t="s">
        <v>12</v>
      </c>
      <c r="I18" s="618" t="s">
        <v>12</v>
      </c>
      <c r="J18" s="615" t="s">
        <v>12</v>
      </c>
      <c r="K18" s="609" t="s">
        <v>12</v>
      </c>
      <c r="L18" s="609" t="s">
        <v>12</v>
      </c>
      <c r="M18" s="618" t="s">
        <v>12</v>
      </c>
      <c r="N18" s="615"/>
      <c r="O18" s="643"/>
      <c r="P18" s="643" t="s">
        <v>12</v>
      </c>
      <c r="Q18" s="650"/>
      <c r="R18" s="53">
        <f t="shared" si="0"/>
        <v>35</v>
      </c>
      <c r="S18" s="1188">
        <f t="shared" si="1"/>
        <v>2838.1000000000004</v>
      </c>
      <c r="T18" s="157"/>
      <c r="U18" s="157"/>
    </row>
    <row r="19" spans="1:21" ht="18" customHeight="1">
      <c r="A19" s="46" t="s">
        <v>498</v>
      </c>
      <c r="B19" s="615">
        <v>1</v>
      </c>
      <c r="C19" s="1192">
        <v>132.1</v>
      </c>
      <c r="D19" s="52" t="s">
        <v>12</v>
      </c>
      <c r="E19" s="618" t="s">
        <v>12</v>
      </c>
      <c r="F19" s="615" t="s">
        <v>12</v>
      </c>
      <c r="G19" s="609" t="s">
        <v>12</v>
      </c>
      <c r="H19" s="52" t="s">
        <v>12</v>
      </c>
      <c r="I19" s="618" t="s">
        <v>12</v>
      </c>
      <c r="J19" s="615" t="s">
        <v>12</v>
      </c>
      <c r="K19" s="609" t="s">
        <v>12</v>
      </c>
      <c r="L19" s="609" t="s">
        <v>12</v>
      </c>
      <c r="M19" s="618" t="s">
        <v>12</v>
      </c>
      <c r="N19" s="615" t="s">
        <v>12</v>
      </c>
      <c r="O19" s="52" t="s">
        <v>12</v>
      </c>
      <c r="P19" s="643" t="s">
        <v>12</v>
      </c>
      <c r="Q19" s="651" t="s">
        <v>12</v>
      </c>
      <c r="R19" s="53">
        <f>SUM(B19,H19,D19,F19)</f>
        <v>1</v>
      </c>
      <c r="S19" s="1188">
        <f>SUM(C19,E19,G19,I19,K19,L19,M19,O19,P19,Q19)</f>
        <v>132.1</v>
      </c>
      <c r="T19" s="157"/>
      <c r="U19" s="157"/>
    </row>
    <row r="20" spans="1:21" ht="18" customHeight="1">
      <c r="A20" s="46" t="s">
        <v>31</v>
      </c>
      <c r="B20" s="615">
        <v>3</v>
      </c>
      <c r="C20" s="1192">
        <v>455.7</v>
      </c>
      <c r="D20" s="52" t="s">
        <v>12</v>
      </c>
      <c r="E20" s="618" t="s">
        <v>12</v>
      </c>
      <c r="F20" s="615" t="s">
        <v>12</v>
      </c>
      <c r="G20" s="609" t="s">
        <v>12</v>
      </c>
      <c r="H20" s="52" t="s">
        <v>12</v>
      </c>
      <c r="I20" s="618" t="s">
        <v>12</v>
      </c>
      <c r="J20" s="615" t="s">
        <v>12</v>
      </c>
      <c r="K20" s="609" t="s">
        <v>12</v>
      </c>
      <c r="L20" s="609" t="s">
        <v>12</v>
      </c>
      <c r="M20" s="618" t="s">
        <v>12</v>
      </c>
      <c r="N20" s="615" t="s">
        <v>12</v>
      </c>
      <c r="O20" s="52" t="s">
        <v>12</v>
      </c>
      <c r="P20" s="643" t="s">
        <v>12</v>
      </c>
      <c r="Q20" s="651" t="s">
        <v>12</v>
      </c>
      <c r="R20" s="53">
        <f t="shared" si="0"/>
        <v>3</v>
      </c>
      <c r="S20" s="1188">
        <f t="shared" si="1"/>
        <v>455.7</v>
      </c>
      <c r="T20" s="157"/>
      <c r="U20" s="157"/>
    </row>
    <row r="21" spans="1:21" ht="18" customHeight="1">
      <c r="A21" s="46" t="s">
        <v>32</v>
      </c>
      <c r="B21" s="615">
        <v>2</v>
      </c>
      <c r="C21" s="1192">
        <v>211.2</v>
      </c>
      <c r="D21" s="52" t="s">
        <v>12</v>
      </c>
      <c r="E21" s="618">
        <v>431.2</v>
      </c>
      <c r="F21" s="615" t="s">
        <v>12</v>
      </c>
      <c r="G21" s="609" t="s">
        <v>12</v>
      </c>
      <c r="H21" s="52" t="s">
        <v>12</v>
      </c>
      <c r="I21" s="618" t="s">
        <v>12</v>
      </c>
      <c r="J21" s="615" t="s">
        <v>12</v>
      </c>
      <c r="K21" s="609" t="s">
        <v>12</v>
      </c>
      <c r="L21" s="609" t="s">
        <v>12</v>
      </c>
      <c r="M21" s="618" t="s">
        <v>12</v>
      </c>
      <c r="N21" s="615" t="s">
        <v>12</v>
      </c>
      <c r="O21" s="52" t="s">
        <v>12</v>
      </c>
      <c r="P21" s="643" t="s">
        <v>12</v>
      </c>
      <c r="Q21" s="651" t="s">
        <v>12</v>
      </c>
      <c r="R21" s="53">
        <f t="shared" si="0"/>
        <v>2</v>
      </c>
      <c r="S21" s="1188">
        <f t="shared" si="1"/>
        <v>642.4</v>
      </c>
      <c r="T21" s="157"/>
      <c r="U21" s="157"/>
    </row>
    <row r="22" spans="1:24" s="326" customFormat="1" ht="17.25" customHeight="1">
      <c r="A22" s="51" t="s">
        <v>34</v>
      </c>
      <c r="B22" s="616">
        <v>2</v>
      </c>
      <c r="C22" s="1193">
        <v>251</v>
      </c>
      <c r="D22" s="343" t="s">
        <v>12</v>
      </c>
      <c r="E22" s="619" t="s">
        <v>12</v>
      </c>
      <c r="F22" s="616" t="s">
        <v>12</v>
      </c>
      <c r="G22" s="610" t="s">
        <v>12</v>
      </c>
      <c r="H22" s="343" t="s">
        <v>12</v>
      </c>
      <c r="I22" s="619" t="s">
        <v>12</v>
      </c>
      <c r="J22" s="616" t="s">
        <v>12</v>
      </c>
      <c r="K22" s="610" t="s">
        <v>12</v>
      </c>
      <c r="L22" s="610" t="s">
        <v>12</v>
      </c>
      <c r="M22" s="619" t="s">
        <v>12</v>
      </c>
      <c r="N22" s="616" t="s">
        <v>12</v>
      </c>
      <c r="O22" s="343" t="s">
        <v>12</v>
      </c>
      <c r="P22" s="644" t="s">
        <v>12</v>
      </c>
      <c r="Q22" s="652" t="s">
        <v>12</v>
      </c>
      <c r="R22" s="1140">
        <f t="shared" si="0"/>
        <v>2</v>
      </c>
      <c r="S22" s="1189">
        <f t="shared" si="1"/>
        <v>251</v>
      </c>
      <c r="T22" s="344"/>
      <c r="U22" s="344"/>
      <c r="V22" s="346"/>
      <c r="W22" s="346"/>
      <c r="X22" s="346"/>
    </row>
    <row r="23" spans="1:21" ht="18" customHeight="1">
      <c r="A23" s="794" t="s">
        <v>150</v>
      </c>
      <c r="B23" s="1131"/>
      <c r="C23" s="737"/>
      <c r="D23" s="1133"/>
      <c r="E23" s="1134"/>
      <c r="F23" s="1131"/>
      <c r="G23" s="1132"/>
      <c r="H23" s="1133"/>
      <c r="I23" s="1134"/>
      <c r="J23" s="1131"/>
      <c r="K23" s="1132"/>
      <c r="L23" s="1132"/>
      <c r="M23" s="1134"/>
      <c r="N23" s="1131"/>
      <c r="O23" s="1133"/>
      <c r="P23" s="1137"/>
      <c r="Q23" s="1138"/>
      <c r="R23" s="806">
        <f>SUM(B23,H23,N23,D23,J23)</f>
        <v>0</v>
      </c>
      <c r="S23" s="737"/>
      <c r="T23" s="157"/>
      <c r="U23" s="157"/>
    </row>
    <row r="24" spans="1:21" ht="17.25" customHeight="1">
      <c r="A24" s="46" t="s">
        <v>195</v>
      </c>
      <c r="B24" s="615"/>
      <c r="C24" s="1192"/>
      <c r="D24" s="52">
        <v>1</v>
      </c>
      <c r="E24" s="618">
        <v>1052.4</v>
      </c>
      <c r="F24" s="615" t="s">
        <v>12</v>
      </c>
      <c r="G24" s="609" t="s">
        <v>12</v>
      </c>
      <c r="H24" s="52" t="s">
        <v>12</v>
      </c>
      <c r="I24" s="618" t="s">
        <v>12</v>
      </c>
      <c r="J24" s="615"/>
      <c r="K24" s="643"/>
      <c r="L24" s="52"/>
      <c r="M24" s="651"/>
      <c r="N24" s="615"/>
      <c r="O24" s="643"/>
      <c r="P24" s="643" t="s">
        <v>12</v>
      </c>
      <c r="Q24" s="651" t="s">
        <v>12</v>
      </c>
      <c r="R24" s="53">
        <f>SUM(B24,H24,D24,F24)</f>
        <v>1</v>
      </c>
      <c r="S24" s="1188">
        <f>SUM(C24,E24,G24,I24,K24,L24,M24,O24,P24,Q24)</f>
        <v>1052.4</v>
      </c>
      <c r="T24" s="157"/>
      <c r="U24" s="157"/>
    </row>
    <row r="25" spans="1:21" ht="17.25" customHeight="1">
      <c r="A25" s="46" t="s">
        <v>39</v>
      </c>
      <c r="B25" s="615">
        <v>2</v>
      </c>
      <c r="C25" s="1192">
        <v>344.6</v>
      </c>
      <c r="D25" s="52" t="s">
        <v>12</v>
      </c>
      <c r="E25" s="618" t="s">
        <v>12</v>
      </c>
      <c r="F25" s="615" t="s">
        <v>12</v>
      </c>
      <c r="G25" s="609" t="s">
        <v>12</v>
      </c>
      <c r="H25" s="52" t="s">
        <v>12</v>
      </c>
      <c r="I25" s="618" t="s">
        <v>12</v>
      </c>
      <c r="J25" s="615">
        <f>ApV!H11</f>
        <v>6</v>
      </c>
      <c r="K25" s="643">
        <f>ApV!I11</f>
        <v>354.3</v>
      </c>
      <c r="L25" s="643">
        <f>ApV!J11</f>
        <v>2494.6</v>
      </c>
      <c r="M25" s="651" t="str">
        <f>ApV!K11</f>
        <v>-</v>
      </c>
      <c r="N25" s="615"/>
      <c r="O25" s="643"/>
      <c r="P25" s="643" t="s">
        <v>12</v>
      </c>
      <c r="Q25" s="651" t="s">
        <v>12</v>
      </c>
      <c r="R25" s="53">
        <f aca="true" t="shared" si="2" ref="R25:R36">SUM(B25,H25,D25,F25)</f>
        <v>2</v>
      </c>
      <c r="S25" s="1188">
        <f aca="true" t="shared" si="3" ref="S25:S36">SUM(C25,E25,G25,I25,K25,L25,M25,O25,P25,Q25)</f>
        <v>3193.5</v>
      </c>
      <c r="T25" s="157"/>
      <c r="U25" s="157"/>
    </row>
    <row r="26" spans="1:21" ht="17.25" customHeight="1">
      <c r="A26" s="46" t="s">
        <v>41</v>
      </c>
      <c r="B26" s="615">
        <v>2</v>
      </c>
      <c r="C26" s="1192">
        <v>347.6</v>
      </c>
      <c r="D26" s="52" t="s">
        <v>12</v>
      </c>
      <c r="E26" s="618" t="s">
        <v>12</v>
      </c>
      <c r="F26" s="615" t="s">
        <v>12</v>
      </c>
      <c r="G26" s="609" t="s">
        <v>12</v>
      </c>
      <c r="H26" s="52" t="s">
        <v>12</v>
      </c>
      <c r="I26" s="618" t="s">
        <v>12</v>
      </c>
      <c r="J26" s="615" t="s">
        <v>12</v>
      </c>
      <c r="K26" s="609" t="s">
        <v>12</v>
      </c>
      <c r="L26" s="609" t="s">
        <v>12</v>
      </c>
      <c r="M26" s="618" t="s">
        <v>12</v>
      </c>
      <c r="N26" s="615" t="s">
        <v>12</v>
      </c>
      <c r="O26" s="52" t="s">
        <v>12</v>
      </c>
      <c r="P26" s="643" t="s">
        <v>12</v>
      </c>
      <c r="Q26" s="651" t="s">
        <v>12</v>
      </c>
      <c r="R26" s="53">
        <f t="shared" si="2"/>
        <v>2</v>
      </c>
      <c r="S26" s="1188">
        <f t="shared" si="3"/>
        <v>347.6</v>
      </c>
      <c r="T26" s="157"/>
      <c r="U26" s="157"/>
    </row>
    <row r="27" spans="1:21" ht="17.25" customHeight="1">
      <c r="A27" s="46" t="s">
        <v>235</v>
      </c>
      <c r="B27" s="615">
        <v>2</v>
      </c>
      <c r="C27" s="1192">
        <v>297.4</v>
      </c>
      <c r="D27" s="52" t="s">
        <v>12</v>
      </c>
      <c r="E27" s="618" t="s">
        <v>12</v>
      </c>
      <c r="F27" s="615" t="s">
        <v>12</v>
      </c>
      <c r="G27" s="609" t="s">
        <v>12</v>
      </c>
      <c r="H27" s="52" t="s">
        <v>12</v>
      </c>
      <c r="I27" s="618" t="s">
        <v>12</v>
      </c>
      <c r="J27" s="615" t="s">
        <v>12</v>
      </c>
      <c r="K27" s="609" t="s">
        <v>12</v>
      </c>
      <c r="L27" s="609" t="s">
        <v>12</v>
      </c>
      <c r="M27" s="618" t="s">
        <v>12</v>
      </c>
      <c r="N27" s="615" t="s">
        <v>12</v>
      </c>
      <c r="O27" s="52" t="s">
        <v>12</v>
      </c>
      <c r="P27" s="643" t="s">
        <v>12</v>
      </c>
      <c r="Q27" s="651" t="s">
        <v>12</v>
      </c>
      <c r="R27" s="53">
        <f>SUM(B27,H27,D27,F27)</f>
        <v>2</v>
      </c>
      <c r="S27" s="1188">
        <f>SUM(C27,E27,G27,I27,K27,L27,M27,O27,P27,Q27)</f>
        <v>297.4</v>
      </c>
      <c r="T27" s="157"/>
      <c r="U27" s="157"/>
    </row>
    <row r="28" spans="1:21" ht="17.25" customHeight="1">
      <c r="A28" s="46" t="s">
        <v>42</v>
      </c>
      <c r="B28" s="615">
        <v>2</v>
      </c>
      <c r="C28" s="1192">
        <v>324.4</v>
      </c>
      <c r="D28" s="52" t="s">
        <v>12</v>
      </c>
      <c r="E28" s="618" t="s">
        <v>12</v>
      </c>
      <c r="F28" s="615" t="s">
        <v>12</v>
      </c>
      <c r="G28" s="609" t="s">
        <v>12</v>
      </c>
      <c r="H28" s="52" t="s">
        <v>12</v>
      </c>
      <c r="I28" s="618" t="s">
        <v>12</v>
      </c>
      <c r="J28" s="615" t="s">
        <v>12</v>
      </c>
      <c r="K28" s="609" t="s">
        <v>12</v>
      </c>
      <c r="L28" s="609" t="s">
        <v>12</v>
      </c>
      <c r="M28" s="618" t="s">
        <v>12</v>
      </c>
      <c r="N28" s="615" t="s">
        <v>12</v>
      </c>
      <c r="O28" s="52" t="s">
        <v>12</v>
      </c>
      <c r="P28" s="643" t="s">
        <v>12</v>
      </c>
      <c r="Q28" s="651" t="s">
        <v>12</v>
      </c>
      <c r="R28" s="53">
        <f t="shared" si="2"/>
        <v>2</v>
      </c>
      <c r="S28" s="1188">
        <f t="shared" si="3"/>
        <v>324.4</v>
      </c>
      <c r="T28" s="157"/>
      <c r="U28" s="157"/>
    </row>
    <row r="29" spans="1:21" ht="17.25" customHeight="1">
      <c r="A29" s="46" t="s">
        <v>166</v>
      </c>
      <c r="B29" s="615">
        <v>3</v>
      </c>
      <c r="C29" s="1192">
        <v>618.7</v>
      </c>
      <c r="D29" s="52" t="s">
        <v>12</v>
      </c>
      <c r="E29" s="618" t="s">
        <v>12</v>
      </c>
      <c r="F29" s="615">
        <f>ApV!D44</f>
        <v>15</v>
      </c>
      <c r="G29" s="643">
        <f>ApV!E44</f>
        <v>93.06</v>
      </c>
      <c r="H29" s="52">
        <f>ApV!F44</f>
        <v>0</v>
      </c>
      <c r="I29" s="651">
        <f>ApV!G44</f>
        <v>0</v>
      </c>
      <c r="J29" s="615">
        <f>ApV!H44</f>
        <v>13</v>
      </c>
      <c r="K29" s="643">
        <f>ApV!I44</f>
        <v>1659.9</v>
      </c>
      <c r="L29" s="52">
        <f>ApV!J44</f>
        <v>0</v>
      </c>
      <c r="M29" s="651">
        <f>ApV!K44</f>
        <v>0</v>
      </c>
      <c r="N29" s="615"/>
      <c r="O29" s="643"/>
      <c r="P29" s="643" t="s">
        <v>12</v>
      </c>
      <c r="Q29" s="651" t="s">
        <v>12</v>
      </c>
      <c r="R29" s="53">
        <f t="shared" si="2"/>
        <v>18</v>
      </c>
      <c r="S29" s="1188">
        <f t="shared" si="3"/>
        <v>2371.66</v>
      </c>
      <c r="T29" s="157"/>
      <c r="U29" s="157"/>
    </row>
    <row r="30" spans="1:21" ht="17.25" customHeight="1">
      <c r="A30" s="46" t="s">
        <v>43</v>
      </c>
      <c r="B30" s="615">
        <v>8</v>
      </c>
      <c r="C30" s="1192">
        <v>652.1</v>
      </c>
      <c r="D30" s="52" t="s">
        <v>12</v>
      </c>
      <c r="E30" s="618" t="s">
        <v>12</v>
      </c>
      <c r="F30" s="615">
        <f>ApV!D47</f>
        <v>0</v>
      </c>
      <c r="G30" s="52">
        <f>ApV!E47</f>
        <v>0</v>
      </c>
      <c r="H30" s="52">
        <f>ApV!F47</f>
        <v>0</v>
      </c>
      <c r="I30" s="651">
        <f>ApV!G47</f>
        <v>0</v>
      </c>
      <c r="J30" s="615">
        <f>ApV!H47</f>
        <v>3</v>
      </c>
      <c r="K30" s="643">
        <f>ApV!I47</f>
        <v>260.4</v>
      </c>
      <c r="L30" s="52">
        <f>ApV!J47</f>
        <v>0</v>
      </c>
      <c r="M30" s="651">
        <f>ApV!K47</f>
        <v>0</v>
      </c>
      <c r="N30" s="615" t="s">
        <v>12</v>
      </c>
      <c r="O30" s="52" t="s">
        <v>12</v>
      </c>
      <c r="P30" s="643" t="s">
        <v>12</v>
      </c>
      <c r="Q30" s="651" t="s">
        <v>12</v>
      </c>
      <c r="R30" s="53">
        <f t="shared" si="2"/>
        <v>8</v>
      </c>
      <c r="S30" s="1188">
        <f t="shared" si="3"/>
        <v>912.5</v>
      </c>
      <c r="T30" s="157"/>
      <c r="U30" s="157"/>
    </row>
    <row r="31" spans="1:21" ht="17.25" customHeight="1">
      <c r="A31" s="46" t="s">
        <v>47</v>
      </c>
      <c r="B31" s="615">
        <v>1</v>
      </c>
      <c r="C31" s="1192">
        <v>214.3</v>
      </c>
      <c r="D31" s="52" t="s">
        <v>12</v>
      </c>
      <c r="E31" s="618" t="s">
        <v>12</v>
      </c>
      <c r="F31" s="615">
        <f>ApV!D53</f>
        <v>0</v>
      </c>
      <c r="G31" s="52">
        <f>ApV!E53</f>
        <v>0</v>
      </c>
      <c r="H31" s="52">
        <f>ApV!F53</f>
        <v>0</v>
      </c>
      <c r="I31" s="651">
        <f>ApV!G53</f>
        <v>0</v>
      </c>
      <c r="J31" s="615">
        <f>ApV!H53</f>
        <v>3</v>
      </c>
      <c r="K31" s="643">
        <f>ApV!I53</f>
        <v>260.35</v>
      </c>
      <c r="L31" s="52">
        <f>ApV!J53</f>
        <v>0</v>
      </c>
      <c r="M31" s="651">
        <f>ApV!K53</f>
        <v>0</v>
      </c>
      <c r="N31" s="615" t="s">
        <v>12</v>
      </c>
      <c r="O31" s="52" t="s">
        <v>12</v>
      </c>
      <c r="P31" s="643" t="s">
        <v>12</v>
      </c>
      <c r="Q31" s="651" t="s">
        <v>12</v>
      </c>
      <c r="R31" s="53">
        <f t="shared" si="2"/>
        <v>1</v>
      </c>
      <c r="S31" s="1188">
        <f t="shared" si="3"/>
        <v>474.65000000000003</v>
      </c>
      <c r="T31" s="157"/>
      <c r="U31" s="157"/>
    </row>
    <row r="32" spans="1:21" ht="17.25" customHeight="1">
      <c r="A32" s="46" t="s">
        <v>48</v>
      </c>
      <c r="B32" s="615">
        <v>1</v>
      </c>
      <c r="C32" s="1192">
        <v>171.8</v>
      </c>
      <c r="D32" s="52" t="s">
        <v>12</v>
      </c>
      <c r="E32" s="618">
        <v>189.1</v>
      </c>
      <c r="F32" s="615">
        <f>ApV!D65</f>
        <v>0</v>
      </c>
      <c r="G32" s="52">
        <f>ApV!E65</f>
        <v>0</v>
      </c>
      <c r="H32" s="52">
        <f>ApV!F65</f>
        <v>0</v>
      </c>
      <c r="I32" s="651">
        <f>ApV!G65</f>
        <v>0</v>
      </c>
      <c r="J32" s="615">
        <f>ApV!H65</f>
        <v>1</v>
      </c>
      <c r="K32" s="643">
        <f>ApV!I65</f>
        <v>75.1</v>
      </c>
      <c r="L32" s="52">
        <f>ApV!J65</f>
        <v>0</v>
      </c>
      <c r="M32" s="651">
        <f>ApV!K65</f>
        <v>0</v>
      </c>
      <c r="N32" s="615"/>
      <c r="O32" s="643"/>
      <c r="P32" s="643"/>
      <c r="Q32" s="651" t="s">
        <v>12</v>
      </c>
      <c r="R32" s="53">
        <f t="shared" si="2"/>
        <v>1</v>
      </c>
      <c r="S32" s="1188">
        <f t="shared" si="3"/>
        <v>436</v>
      </c>
      <c r="T32" s="157"/>
      <c r="U32" s="157"/>
    </row>
    <row r="33" spans="1:21" ht="17.25" customHeight="1">
      <c r="A33" s="46" t="s">
        <v>50</v>
      </c>
      <c r="B33" s="615">
        <v>1</v>
      </c>
      <c r="C33" s="1192">
        <v>157.3</v>
      </c>
      <c r="D33" s="52" t="s">
        <v>12</v>
      </c>
      <c r="E33" s="618" t="s">
        <v>12</v>
      </c>
      <c r="F33" s="615">
        <f>ApV!D68</f>
        <v>7</v>
      </c>
      <c r="G33" s="643">
        <f>ApV!E68</f>
        <v>1398.4</v>
      </c>
      <c r="H33" s="52">
        <f>ApV!F68</f>
        <v>0</v>
      </c>
      <c r="I33" s="651">
        <f>ApV!G68</f>
        <v>0</v>
      </c>
      <c r="J33" s="615">
        <f>ApV!H68</f>
        <v>2</v>
      </c>
      <c r="K33" s="643">
        <f>ApV!I68</f>
        <v>241.2</v>
      </c>
      <c r="L33" s="52">
        <f>ApV!J68</f>
        <v>0</v>
      </c>
      <c r="M33" s="651">
        <f>ApV!K68</f>
        <v>0</v>
      </c>
      <c r="N33" s="615" t="s">
        <v>12</v>
      </c>
      <c r="O33" s="52" t="s">
        <v>12</v>
      </c>
      <c r="P33" s="643" t="s">
        <v>12</v>
      </c>
      <c r="Q33" s="651" t="s">
        <v>12</v>
      </c>
      <c r="R33" s="53">
        <f t="shared" si="2"/>
        <v>8</v>
      </c>
      <c r="S33" s="1188">
        <f t="shared" si="3"/>
        <v>1796.9</v>
      </c>
      <c r="T33" s="157"/>
      <c r="U33" s="157"/>
    </row>
    <row r="34" spans="1:21" ht="17.25" customHeight="1">
      <c r="A34" s="46" t="s">
        <v>51</v>
      </c>
      <c r="B34" s="615">
        <v>6</v>
      </c>
      <c r="C34" s="1192">
        <v>42.2</v>
      </c>
      <c r="D34" s="52" t="s">
        <v>12</v>
      </c>
      <c r="E34" s="618" t="s">
        <v>12</v>
      </c>
      <c r="F34" s="615" t="s">
        <v>12</v>
      </c>
      <c r="G34" s="609" t="s">
        <v>12</v>
      </c>
      <c r="H34" s="52" t="s">
        <v>12</v>
      </c>
      <c r="I34" s="618" t="s">
        <v>12</v>
      </c>
      <c r="J34" s="615" t="s">
        <v>12</v>
      </c>
      <c r="K34" s="609" t="s">
        <v>12</v>
      </c>
      <c r="L34" s="52" t="s">
        <v>12</v>
      </c>
      <c r="M34" s="618" t="s">
        <v>12</v>
      </c>
      <c r="N34" s="615" t="s">
        <v>12</v>
      </c>
      <c r="O34" s="52" t="s">
        <v>12</v>
      </c>
      <c r="P34" s="643" t="s">
        <v>12</v>
      </c>
      <c r="Q34" s="651" t="s">
        <v>12</v>
      </c>
      <c r="R34" s="53">
        <f t="shared" si="2"/>
        <v>6</v>
      </c>
      <c r="S34" s="1188">
        <f t="shared" si="3"/>
        <v>42.2</v>
      </c>
      <c r="T34" s="157"/>
      <c r="U34" s="157"/>
    </row>
    <row r="35" spans="1:21" ht="17.25" customHeight="1">
      <c r="A35" s="46" t="s">
        <v>183</v>
      </c>
      <c r="B35" s="615">
        <v>7</v>
      </c>
      <c r="C35" s="1192">
        <v>583.5</v>
      </c>
      <c r="D35" s="52" t="s">
        <v>12</v>
      </c>
      <c r="E35" s="618" t="s">
        <v>12</v>
      </c>
      <c r="F35" s="615">
        <f>ApV!D71</f>
        <v>0</v>
      </c>
      <c r="G35" s="52">
        <f>ApV!E71</f>
        <v>0</v>
      </c>
      <c r="H35" s="52">
        <f>ApV!F71</f>
        <v>0</v>
      </c>
      <c r="I35" s="651">
        <f>ApV!G71</f>
        <v>0</v>
      </c>
      <c r="J35" s="615">
        <f>ApV!H71</f>
        <v>9</v>
      </c>
      <c r="K35" s="643">
        <f>ApV!I71</f>
        <v>1093</v>
      </c>
      <c r="L35" s="52">
        <f>ApV!J71</f>
        <v>0</v>
      </c>
      <c r="M35" s="651">
        <f>ApV!K71</f>
        <v>0</v>
      </c>
      <c r="N35" s="615"/>
      <c r="O35" s="643"/>
      <c r="P35" s="643" t="s">
        <v>12</v>
      </c>
      <c r="Q35" s="651" t="s">
        <v>12</v>
      </c>
      <c r="R35" s="53">
        <f t="shared" si="2"/>
        <v>7</v>
      </c>
      <c r="S35" s="1188">
        <f t="shared" si="3"/>
        <v>1676.5</v>
      </c>
      <c r="T35" s="157"/>
      <c r="U35" s="157"/>
    </row>
    <row r="36" spans="1:24" s="326" customFormat="1" ht="17.25" customHeight="1">
      <c r="A36" s="51" t="s">
        <v>52</v>
      </c>
      <c r="B36" s="616">
        <v>1</v>
      </c>
      <c r="C36" s="1193">
        <v>156.5</v>
      </c>
      <c r="D36" s="343" t="s">
        <v>12</v>
      </c>
      <c r="E36" s="619" t="s">
        <v>12</v>
      </c>
      <c r="F36" s="616" t="s">
        <v>12</v>
      </c>
      <c r="G36" s="610" t="s">
        <v>12</v>
      </c>
      <c r="H36" s="343" t="s">
        <v>12</v>
      </c>
      <c r="I36" s="619" t="s">
        <v>12</v>
      </c>
      <c r="J36" s="616" t="s">
        <v>12</v>
      </c>
      <c r="K36" s="610" t="s">
        <v>12</v>
      </c>
      <c r="L36" s="343" t="s">
        <v>12</v>
      </c>
      <c r="M36" s="619" t="s">
        <v>12</v>
      </c>
      <c r="N36" s="616" t="s">
        <v>12</v>
      </c>
      <c r="O36" s="343" t="s">
        <v>12</v>
      </c>
      <c r="P36" s="644" t="s">
        <v>12</v>
      </c>
      <c r="Q36" s="652" t="s">
        <v>12</v>
      </c>
      <c r="R36" s="1140">
        <f t="shared" si="2"/>
        <v>1</v>
      </c>
      <c r="S36" s="1189">
        <f t="shared" si="3"/>
        <v>156.5</v>
      </c>
      <c r="T36" s="344"/>
      <c r="U36" s="344"/>
      <c r="V36" s="346"/>
      <c r="W36" s="346"/>
      <c r="X36" s="346"/>
    </row>
    <row r="37" spans="1:21" ht="17.25" customHeight="1">
      <c r="A37" s="794" t="s">
        <v>156</v>
      </c>
      <c r="B37" s="807"/>
      <c r="C37" s="740"/>
      <c r="D37" s="809"/>
      <c r="E37" s="810"/>
      <c r="F37" s="807"/>
      <c r="G37" s="808"/>
      <c r="H37" s="809"/>
      <c r="I37" s="810"/>
      <c r="J37" s="807"/>
      <c r="K37" s="808"/>
      <c r="L37" s="808"/>
      <c r="M37" s="810"/>
      <c r="N37" s="807"/>
      <c r="O37" s="809"/>
      <c r="P37" s="811"/>
      <c r="Q37" s="812"/>
      <c r="R37" s="806"/>
      <c r="S37" s="1190"/>
      <c r="T37" s="157"/>
      <c r="U37" s="157"/>
    </row>
    <row r="38" spans="1:24" s="1144" customFormat="1" ht="17.25" customHeight="1">
      <c r="A38" s="1141" t="s">
        <v>36</v>
      </c>
      <c r="B38" s="616">
        <v>15</v>
      </c>
      <c r="C38" s="1193">
        <v>679.7</v>
      </c>
      <c r="D38" s="343" t="s">
        <v>12</v>
      </c>
      <c r="E38" s="619" t="s">
        <v>12</v>
      </c>
      <c r="F38" s="616" t="s">
        <v>12</v>
      </c>
      <c r="G38" s="610" t="s">
        <v>12</v>
      </c>
      <c r="H38" s="343" t="s">
        <v>12</v>
      </c>
      <c r="I38" s="619" t="s">
        <v>12</v>
      </c>
      <c r="J38" s="616" t="s">
        <v>12</v>
      </c>
      <c r="K38" s="610" t="s">
        <v>12</v>
      </c>
      <c r="L38" s="610" t="s">
        <v>12</v>
      </c>
      <c r="M38" s="619" t="s">
        <v>12</v>
      </c>
      <c r="N38" s="616" t="s">
        <v>12</v>
      </c>
      <c r="O38" s="343" t="s">
        <v>12</v>
      </c>
      <c r="P38" s="644" t="s">
        <v>12</v>
      </c>
      <c r="Q38" s="652" t="s">
        <v>12</v>
      </c>
      <c r="R38" s="1140">
        <f>SUM(B38,H38,D38,F38)</f>
        <v>15</v>
      </c>
      <c r="S38" s="1189">
        <f>SUM(C38,E38,G38,I38,K38,L38,M38,O38,P38,Q38)</f>
        <v>679.7</v>
      </c>
      <c r="T38" s="1142"/>
      <c r="U38" s="1142"/>
      <c r="V38" s="1143"/>
      <c r="W38" s="1143"/>
      <c r="X38" s="1143"/>
    </row>
    <row r="39" spans="1:21" ht="18.75" customHeight="1">
      <c r="A39" s="794" t="s">
        <v>417</v>
      </c>
      <c r="B39" s="807"/>
      <c r="C39" s="740"/>
      <c r="D39" s="809"/>
      <c r="E39" s="810"/>
      <c r="F39" s="807"/>
      <c r="G39" s="808"/>
      <c r="H39" s="809"/>
      <c r="I39" s="810"/>
      <c r="J39" s="807"/>
      <c r="K39" s="808"/>
      <c r="L39" s="808"/>
      <c r="M39" s="810"/>
      <c r="N39" s="807"/>
      <c r="O39" s="809"/>
      <c r="P39" s="811"/>
      <c r="Q39" s="812"/>
      <c r="R39" s="806"/>
      <c r="S39" s="737"/>
      <c r="T39" s="157"/>
      <c r="U39" s="157"/>
    </row>
    <row r="40" spans="1:21" ht="18.75" customHeight="1">
      <c r="A40" s="46" t="s">
        <v>204</v>
      </c>
      <c r="B40" s="615">
        <v>2</v>
      </c>
      <c r="C40" s="1192">
        <v>280.2</v>
      </c>
      <c r="D40" s="52" t="s">
        <v>12</v>
      </c>
      <c r="E40" s="618" t="s">
        <v>12</v>
      </c>
      <c r="F40" s="615" t="s">
        <v>12</v>
      </c>
      <c r="G40" s="609" t="s">
        <v>12</v>
      </c>
      <c r="H40" s="52" t="s">
        <v>12</v>
      </c>
      <c r="I40" s="618" t="s">
        <v>12</v>
      </c>
      <c r="J40" s="615" t="s">
        <v>12</v>
      </c>
      <c r="K40" s="609" t="s">
        <v>12</v>
      </c>
      <c r="L40" s="609" t="s">
        <v>12</v>
      </c>
      <c r="M40" s="618" t="s">
        <v>12</v>
      </c>
      <c r="N40" s="615" t="s">
        <v>12</v>
      </c>
      <c r="O40" s="52" t="s">
        <v>12</v>
      </c>
      <c r="P40" s="643" t="s">
        <v>12</v>
      </c>
      <c r="Q40" s="651" t="s">
        <v>12</v>
      </c>
      <c r="R40" s="53">
        <f>SUM(B40,H40,D40,F40)</f>
        <v>2</v>
      </c>
      <c r="S40" s="1188">
        <f>SUM(C40,E40,G40,I40,K40,L40,M40,O40,P40,Q40)</f>
        <v>280.2</v>
      </c>
      <c r="T40" s="157"/>
      <c r="U40" s="157"/>
    </row>
    <row r="41" spans="1:21" ht="18.75" customHeight="1">
      <c r="A41" s="46" t="s">
        <v>496</v>
      </c>
      <c r="B41" s="615">
        <v>1</v>
      </c>
      <c r="C41" s="1192">
        <v>109.3</v>
      </c>
      <c r="D41" s="52" t="s">
        <v>12</v>
      </c>
      <c r="E41" s="618" t="s">
        <v>12</v>
      </c>
      <c r="F41" s="615" t="s">
        <v>12</v>
      </c>
      <c r="G41" s="609" t="s">
        <v>12</v>
      </c>
      <c r="H41" s="52" t="s">
        <v>12</v>
      </c>
      <c r="I41" s="618" t="s">
        <v>12</v>
      </c>
      <c r="J41" s="615" t="s">
        <v>12</v>
      </c>
      <c r="K41" s="609" t="s">
        <v>12</v>
      </c>
      <c r="L41" s="609" t="s">
        <v>12</v>
      </c>
      <c r="M41" s="618" t="s">
        <v>12</v>
      </c>
      <c r="N41" s="615" t="s">
        <v>12</v>
      </c>
      <c r="O41" s="52" t="s">
        <v>12</v>
      </c>
      <c r="P41" s="643" t="s">
        <v>12</v>
      </c>
      <c r="Q41" s="651" t="s">
        <v>12</v>
      </c>
      <c r="R41" s="53">
        <f aca="true" t="shared" si="4" ref="R41:R52">SUM(B41,H41,D41,F41)</f>
        <v>1</v>
      </c>
      <c r="S41" s="1188">
        <f aca="true" t="shared" si="5" ref="S41:S52">SUM(C41,E41,G41,I41,K41,L41,M41,O41,P41,Q41)</f>
        <v>109.3</v>
      </c>
      <c r="T41" s="157"/>
      <c r="U41" s="157"/>
    </row>
    <row r="42" spans="1:21" ht="17.25" customHeight="1">
      <c r="A42" s="46" t="s">
        <v>278</v>
      </c>
      <c r="B42" s="615">
        <v>2</v>
      </c>
      <c r="C42" s="1192">
        <v>288.6</v>
      </c>
      <c r="D42" s="52" t="s">
        <v>12</v>
      </c>
      <c r="E42" s="618" t="s">
        <v>12</v>
      </c>
      <c r="F42" s="615" t="s">
        <v>12</v>
      </c>
      <c r="G42" s="609" t="s">
        <v>12</v>
      </c>
      <c r="H42" s="52" t="s">
        <v>12</v>
      </c>
      <c r="I42" s="618" t="s">
        <v>12</v>
      </c>
      <c r="J42" s="615" t="s">
        <v>12</v>
      </c>
      <c r="K42" s="609" t="s">
        <v>12</v>
      </c>
      <c r="L42" s="609" t="s">
        <v>12</v>
      </c>
      <c r="M42" s="618" t="s">
        <v>12</v>
      </c>
      <c r="N42" s="615" t="s">
        <v>12</v>
      </c>
      <c r="O42" s="52" t="s">
        <v>12</v>
      </c>
      <c r="P42" s="643" t="s">
        <v>12</v>
      </c>
      <c r="Q42" s="651" t="s">
        <v>12</v>
      </c>
      <c r="R42" s="53">
        <f t="shared" si="4"/>
        <v>2</v>
      </c>
      <c r="S42" s="1188">
        <f t="shared" si="5"/>
        <v>288.6</v>
      </c>
      <c r="T42" s="157"/>
      <c r="U42" s="157"/>
    </row>
    <row r="43" spans="1:21" ht="17.25" customHeight="1">
      <c r="A43" s="46" t="s">
        <v>55</v>
      </c>
      <c r="B43" s="615">
        <v>2</v>
      </c>
      <c r="C43" s="1192">
        <v>308</v>
      </c>
      <c r="D43" s="52" t="s">
        <v>12</v>
      </c>
      <c r="E43" s="618" t="s">
        <v>12</v>
      </c>
      <c r="F43" s="615" t="s">
        <v>12</v>
      </c>
      <c r="G43" s="609" t="s">
        <v>12</v>
      </c>
      <c r="H43" s="52" t="s">
        <v>12</v>
      </c>
      <c r="I43" s="618" t="s">
        <v>12</v>
      </c>
      <c r="J43" s="615" t="s">
        <v>12</v>
      </c>
      <c r="K43" s="609" t="s">
        <v>12</v>
      </c>
      <c r="L43" s="609" t="s">
        <v>12</v>
      </c>
      <c r="M43" s="618" t="s">
        <v>12</v>
      </c>
      <c r="N43" s="615" t="s">
        <v>12</v>
      </c>
      <c r="O43" s="52" t="s">
        <v>12</v>
      </c>
      <c r="P43" s="643" t="s">
        <v>12</v>
      </c>
      <c r="Q43" s="651" t="s">
        <v>12</v>
      </c>
      <c r="R43" s="53">
        <f t="shared" si="4"/>
        <v>2</v>
      </c>
      <c r="S43" s="1188">
        <f t="shared" si="5"/>
        <v>308</v>
      </c>
      <c r="T43" s="157"/>
      <c r="U43" s="157"/>
    </row>
    <row r="44" spans="1:21" ht="17.25" customHeight="1">
      <c r="A44" s="46" t="s">
        <v>279</v>
      </c>
      <c r="B44" s="615">
        <v>2</v>
      </c>
      <c r="C44" s="1192">
        <v>316.2</v>
      </c>
      <c r="D44" s="52" t="s">
        <v>12</v>
      </c>
      <c r="E44" s="618" t="s">
        <v>12</v>
      </c>
      <c r="F44" s="615" t="s">
        <v>12</v>
      </c>
      <c r="G44" s="609" t="s">
        <v>12</v>
      </c>
      <c r="H44" s="52" t="s">
        <v>12</v>
      </c>
      <c r="I44" s="618" t="s">
        <v>12</v>
      </c>
      <c r="J44" s="615" t="s">
        <v>12</v>
      </c>
      <c r="K44" s="609" t="s">
        <v>12</v>
      </c>
      <c r="L44" s="609" t="s">
        <v>12</v>
      </c>
      <c r="M44" s="618" t="s">
        <v>12</v>
      </c>
      <c r="N44" s="615" t="s">
        <v>12</v>
      </c>
      <c r="O44" s="52" t="s">
        <v>12</v>
      </c>
      <c r="P44" s="643" t="s">
        <v>12</v>
      </c>
      <c r="Q44" s="651" t="s">
        <v>12</v>
      </c>
      <c r="R44" s="53">
        <f t="shared" si="4"/>
        <v>2</v>
      </c>
      <c r="S44" s="1188">
        <f t="shared" si="5"/>
        <v>316.2</v>
      </c>
      <c r="T44" s="157"/>
      <c r="U44" s="157"/>
    </row>
    <row r="45" spans="1:22" ht="17.25" customHeight="1">
      <c r="A45" s="46" t="s">
        <v>497</v>
      </c>
      <c r="B45" s="615">
        <v>1</v>
      </c>
      <c r="C45" s="1192">
        <v>109.3</v>
      </c>
      <c r="D45" s="52" t="s">
        <v>12</v>
      </c>
      <c r="E45" s="618" t="s">
        <v>12</v>
      </c>
      <c r="F45" s="615" t="s">
        <v>12</v>
      </c>
      <c r="G45" s="609" t="s">
        <v>12</v>
      </c>
      <c r="H45" s="52" t="s">
        <v>12</v>
      </c>
      <c r="I45" s="618" t="s">
        <v>12</v>
      </c>
      <c r="J45" s="615" t="s">
        <v>12</v>
      </c>
      <c r="K45" s="609" t="s">
        <v>12</v>
      </c>
      <c r="L45" s="609" t="s">
        <v>12</v>
      </c>
      <c r="M45" s="618" t="s">
        <v>12</v>
      </c>
      <c r="N45" s="615" t="s">
        <v>12</v>
      </c>
      <c r="O45" s="52" t="s">
        <v>12</v>
      </c>
      <c r="P45" s="643" t="s">
        <v>12</v>
      </c>
      <c r="Q45" s="651" t="s">
        <v>12</v>
      </c>
      <c r="R45" s="53">
        <f>SUM(B45,H45,D45,F45)</f>
        <v>1</v>
      </c>
      <c r="S45" s="1188">
        <f>SUM(C45,E45,G45,I45,K45,L45,M45,O45,P45,Q45)</f>
        <v>109.3</v>
      </c>
      <c r="T45" s="157"/>
      <c r="U45" s="157"/>
      <c r="V45" s="158"/>
    </row>
    <row r="46" spans="1:22" ht="17.25" customHeight="1">
      <c r="A46" s="46" t="s">
        <v>58</v>
      </c>
      <c r="B46" s="615">
        <v>1</v>
      </c>
      <c r="C46" s="1192">
        <v>108.9</v>
      </c>
      <c r="D46" s="52" t="s">
        <v>12</v>
      </c>
      <c r="E46" s="618" t="s">
        <v>12</v>
      </c>
      <c r="F46" s="615" t="s">
        <v>12</v>
      </c>
      <c r="G46" s="609" t="s">
        <v>12</v>
      </c>
      <c r="H46" s="52" t="s">
        <v>12</v>
      </c>
      <c r="I46" s="618" t="s">
        <v>12</v>
      </c>
      <c r="J46" s="615" t="s">
        <v>12</v>
      </c>
      <c r="K46" s="609" t="s">
        <v>12</v>
      </c>
      <c r="L46" s="609" t="s">
        <v>12</v>
      </c>
      <c r="M46" s="618" t="s">
        <v>12</v>
      </c>
      <c r="N46" s="615" t="s">
        <v>12</v>
      </c>
      <c r="O46" s="52" t="s">
        <v>12</v>
      </c>
      <c r="P46" s="643" t="s">
        <v>12</v>
      </c>
      <c r="Q46" s="651" t="s">
        <v>12</v>
      </c>
      <c r="R46" s="53">
        <f t="shared" si="4"/>
        <v>1</v>
      </c>
      <c r="S46" s="1188">
        <f t="shared" si="5"/>
        <v>108.9</v>
      </c>
      <c r="T46" s="157"/>
      <c r="U46" s="157"/>
      <c r="V46" s="158"/>
    </row>
    <row r="47" spans="1:24" s="302" customFormat="1" ht="17.25" customHeight="1">
      <c r="A47" s="300" t="s">
        <v>237</v>
      </c>
      <c r="B47" s="615">
        <v>2</v>
      </c>
      <c r="C47" s="1192">
        <v>316.2</v>
      </c>
      <c r="D47" s="52" t="s">
        <v>12</v>
      </c>
      <c r="E47" s="618" t="s">
        <v>12</v>
      </c>
      <c r="F47" s="615" t="s">
        <v>12</v>
      </c>
      <c r="G47" s="609" t="s">
        <v>12</v>
      </c>
      <c r="H47" s="52" t="s">
        <v>12</v>
      </c>
      <c r="I47" s="618" t="s">
        <v>12</v>
      </c>
      <c r="J47" s="615" t="s">
        <v>12</v>
      </c>
      <c r="K47" s="609" t="s">
        <v>12</v>
      </c>
      <c r="L47" s="609" t="s">
        <v>12</v>
      </c>
      <c r="M47" s="618" t="s">
        <v>12</v>
      </c>
      <c r="N47" s="615" t="s">
        <v>12</v>
      </c>
      <c r="O47" s="52" t="s">
        <v>12</v>
      </c>
      <c r="P47" s="643" t="s">
        <v>12</v>
      </c>
      <c r="Q47" s="651" t="s">
        <v>12</v>
      </c>
      <c r="R47" s="53">
        <f t="shared" si="4"/>
        <v>2</v>
      </c>
      <c r="S47" s="1188">
        <f t="shared" si="5"/>
        <v>316.2</v>
      </c>
      <c r="T47" s="301"/>
      <c r="U47" s="301"/>
      <c r="V47" s="253"/>
      <c r="W47" s="253"/>
      <c r="X47" s="253"/>
    </row>
    <row r="48" spans="1:24" s="302" customFormat="1" ht="17.25" customHeight="1">
      <c r="A48" s="300" t="s">
        <v>281</v>
      </c>
      <c r="B48" s="615">
        <v>2</v>
      </c>
      <c r="C48" s="1192">
        <v>291.2</v>
      </c>
      <c r="D48" s="52" t="s">
        <v>12</v>
      </c>
      <c r="E48" s="618" t="s">
        <v>12</v>
      </c>
      <c r="F48" s="615" t="s">
        <v>12</v>
      </c>
      <c r="G48" s="609" t="s">
        <v>12</v>
      </c>
      <c r="H48" s="52" t="s">
        <v>12</v>
      </c>
      <c r="I48" s="618" t="s">
        <v>12</v>
      </c>
      <c r="J48" s="615" t="s">
        <v>12</v>
      </c>
      <c r="K48" s="609" t="s">
        <v>12</v>
      </c>
      <c r="L48" s="609" t="s">
        <v>12</v>
      </c>
      <c r="M48" s="618" t="s">
        <v>12</v>
      </c>
      <c r="N48" s="615" t="s">
        <v>12</v>
      </c>
      <c r="O48" s="52" t="s">
        <v>12</v>
      </c>
      <c r="P48" s="643" t="s">
        <v>12</v>
      </c>
      <c r="Q48" s="651" t="s">
        <v>12</v>
      </c>
      <c r="R48" s="53">
        <f t="shared" si="4"/>
        <v>2</v>
      </c>
      <c r="S48" s="1188">
        <f t="shared" si="5"/>
        <v>291.2</v>
      </c>
      <c r="T48" s="301"/>
      <c r="U48" s="301"/>
      <c r="V48" s="253"/>
      <c r="W48" s="253"/>
      <c r="X48" s="253"/>
    </row>
    <row r="49" spans="1:24" s="302" customFormat="1" ht="17.25" customHeight="1">
      <c r="A49" s="300" t="s">
        <v>59</v>
      </c>
      <c r="B49" s="615">
        <v>5</v>
      </c>
      <c r="C49" s="1192">
        <v>838.5</v>
      </c>
      <c r="D49" s="52" t="s">
        <v>12</v>
      </c>
      <c r="E49" s="618" t="s">
        <v>12</v>
      </c>
      <c r="F49" s="615" t="s">
        <v>12</v>
      </c>
      <c r="G49" s="609" t="s">
        <v>12</v>
      </c>
      <c r="H49" s="52" t="s">
        <v>12</v>
      </c>
      <c r="I49" s="618" t="s">
        <v>12</v>
      </c>
      <c r="J49" s="615" t="s">
        <v>12</v>
      </c>
      <c r="K49" s="609" t="s">
        <v>12</v>
      </c>
      <c r="L49" s="609" t="s">
        <v>12</v>
      </c>
      <c r="M49" s="618" t="s">
        <v>12</v>
      </c>
      <c r="N49" s="615" t="s">
        <v>12</v>
      </c>
      <c r="O49" s="52" t="s">
        <v>12</v>
      </c>
      <c r="P49" s="643" t="s">
        <v>12</v>
      </c>
      <c r="Q49" s="651" t="s">
        <v>12</v>
      </c>
      <c r="R49" s="53">
        <f t="shared" si="4"/>
        <v>5</v>
      </c>
      <c r="S49" s="1188">
        <f t="shared" si="5"/>
        <v>838.5</v>
      </c>
      <c r="T49" s="301"/>
      <c r="U49" s="301"/>
      <c r="V49" s="253"/>
      <c r="W49" s="253"/>
      <c r="X49" s="253"/>
    </row>
    <row r="50" spans="1:21" ht="17.25" customHeight="1">
      <c r="A50" s="46" t="s">
        <v>60</v>
      </c>
      <c r="B50" s="615">
        <v>2</v>
      </c>
      <c r="C50" s="1192">
        <v>359</v>
      </c>
      <c r="D50" s="52" t="s">
        <v>12</v>
      </c>
      <c r="E50" s="618" t="s">
        <v>12</v>
      </c>
      <c r="F50" s="615" t="s">
        <v>12</v>
      </c>
      <c r="G50" s="609" t="s">
        <v>12</v>
      </c>
      <c r="H50" s="52" t="s">
        <v>12</v>
      </c>
      <c r="I50" s="618" t="s">
        <v>12</v>
      </c>
      <c r="J50" s="615" t="s">
        <v>12</v>
      </c>
      <c r="K50" s="609" t="s">
        <v>12</v>
      </c>
      <c r="L50" s="609" t="s">
        <v>12</v>
      </c>
      <c r="M50" s="618" t="s">
        <v>12</v>
      </c>
      <c r="N50" s="615" t="s">
        <v>12</v>
      </c>
      <c r="O50" s="52" t="s">
        <v>12</v>
      </c>
      <c r="P50" s="643" t="s">
        <v>12</v>
      </c>
      <c r="Q50" s="651" t="s">
        <v>12</v>
      </c>
      <c r="R50" s="53">
        <f t="shared" si="4"/>
        <v>2</v>
      </c>
      <c r="S50" s="1188">
        <f t="shared" si="5"/>
        <v>359</v>
      </c>
      <c r="T50" s="157"/>
      <c r="U50" s="157"/>
    </row>
    <row r="51" spans="1:21" ht="17.25" customHeight="1">
      <c r="A51" s="46" t="s">
        <v>170</v>
      </c>
      <c r="B51" s="615">
        <v>1</v>
      </c>
      <c r="C51" s="1192">
        <v>140.1</v>
      </c>
      <c r="D51" s="52" t="s">
        <v>12</v>
      </c>
      <c r="E51" s="618" t="s">
        <v>12</v>
      </c>
      <c r="F51" s="615" t="s">
        <v>12</v>
      </c>
      <c r="G51" s="609" t="s">
        <v>12</v>
      </c>
      <c r="H51" s="52" t="s">
        <v>12</v>
      </c>
      <c r="I51" s="618" t="s">
        <v>12</v>
      </c>
      <c r="J51" s="615" t="s">
        <v>12</v>
      </c>
      <c r="K51" s="609" t="s">
        <v>12</v>
      </c>
      <c r="L51" s="609" t="s">
        <v>12</v>
      </c>
      <c r="M51" s="618" t="s">
        <v>12</v>
      </c>
      <c r="N51" s="615" t="s">
        <v>12</v>
      </c>
      <c r="O51" s="52" t="s">
        <v>12</v>
      </c>
      <c r="P51" s="643" t="s">
        <v>12</v>
      </c>
      <c r="Q51" s="651" t="s">
        <v>12</v>
      </c>
      <c r="R51" s="53">
        <f t="shared" si="4"/>
        <v>1</v>
      </c>
      <c r="S51" s="1188">
        <f t="shared" si="5"/>
        <v>140.1</v>
      </c>
      <c r="T51" s="157"/>
      <c r="U51" s="157"/>
    </row>
    <row r="52" spans="1:24" s="326" customFormat="1" ht="17.25" customHeight="1">
      <c r="A52" s="51" t="s">
        <v>203</v>
      </c>
      <c r="B52" s="616">
        <v>2</v>
      </c>
      <c r="C52" s="1193">
        <v>362.9</v>
      </c>
      <c r="D52" s="343" t="s">
        <v>12</v>
      </c>
      <c r="E52" s="619" t="s">
        <v>12</v>
      </c>
      <c r="F52" s="616" t="s">
        <v>12</v>
      </c>
      <c r="G52" s="610" t="s">
        <v>12</v>
      </c>
      <c r="H52" s="343" t="s">
        <v>12</v>
      </c>
      <c r="I52" s="619" t="s">
        <v>12</v>
      </c>
      <c r="J52" s="616" t="s">
        <v>12</v>
      </c>
      <c r="K52" s="610" t="s">
        <v>12</v>
      </c>
      <c r="L52" s="610" t="s">
        <v>12</v>
      </c>
      <c r="M52" s="619" t="s">
        <v>12</v>
      </c>
      <c r="N52" s="616" t="s">
        <v>12</v>
      </c>
      <c r="O52" s="343" t="s">
        <v>12</v>
      </c>
      <c r="P52" s="644" t="s">
        <v>12</v>
      </c>
      <c r="Q52" s="652" t="s">
        <v>12</v>
      </c>
      <c r="R52" s="1140">
        <f t="shared" si="4"/>
        <v>2</v>
      </c>
      <c r="S52" s="1189">
        <f t="shared" si="5"/>
        <v>362.9</v>
      </c>
      <c r="T52" s="344"/>
      <c r="U52" s="344"/>
      <c r="V52" s="345"/>
      <c r="W52" s="346"/>
      <c r="X52" s="346"/>
    </row>
    <row r="53" spans="1:24" s="54" customFormat="1" ht="17.25" customHeight="1" thickBot="1">
      <c r="A53" s="794" t="s">
        <v>499</v>
      </c>
      <c r="B53" s="1153" t="s">
        <v>12</v>
      </c>
      <c r="C53" s="1154" t="s">
        <v>12</v>
      </c>
      <c r="D53" s="1154" t="s">
        <v>12</v>
      </c>
      <c r="E53" s="1155" t="s">
        <v>12</v>
      </c>
      <c r="F53" s="1135">
        <f>ApV!D87</f>
        <v>0</v>
      </c>
      <c r="G53" s="811">
        <f>ApV!E87</f>
        <v>0</v>
      </c>
      <c r="H53" s="811">
        <f>ApV!F87</f>
        <v>0</v>
      </c>
      <c r="I53" s="813">
        <f>ApV!G87</f>
        <v>0</v>
      </c>
      <c r="J53" s="1135">
        <f>ApV!H87</f>
        <v>0</v>
      </c>
      <c r="K53" s="811">
        <f>ApV!I87</f>
        <v>0</v>
      </c>
      <c r="L53" s="811">
        <f>ApV!J87</f>
        <v>0</v>
      </c>
      <c r="M53" s="813">
        <f>ApV!K87</f>
        <v>23608.100000000002</v>
      </c>
      <c r="N53" s="809"/>
      <c r="O53" s="811"/>
      <c r="P53" s="811"/>
      <c r="Q53" s="813"/>
      <c r="R53" s="806">
        <f>SUM(B53,H53,D53,F53)</f>
        <v>0</v>
      </c>
      <c r="S53" s="1190">
        <f>SUM(C53,E53,G53,I53,K53,L53,M53,O53,P53,Q53)</f>
        <v>23608.100000000002</v>
      </c>
      <c r="T53" s="157"/>
      <c r="U53" s="157"/>
      <c r="W53" s="156"/>
      <c r="X53" s="156"/>
    </row>
    <row r="54" spans="1:24" s="1149" customFormat="1" ht="17.25" customHeight="1" thickBot="1">
      <c r="A54" s="1145" t="s">
        <v>61</v>
      </c>
      <c r="B54" s="617">
        <f aca="true" t="shared" si="6" ref="B54:S54">SUM(B6:B53)</f>
        <v>616</v>
      </c>
      <c r="C54" s="1151">
        <f t="shared" si="6"/>
        <v>47631.39999999998</v>
      </c>
      <c r="D54" s="220">
        <f t="shared" si="6"/>
        <v>88</v>
      </c>
      <c r="E54" s="1152">
        <f t="shared" si="6"/>
        <v>43905.1</v>
      </c>
      <c r="F54" s="617">
        <f t="shared" si="6"/>
        <v>311</v>
      </c>
      <c r="G54" s="1151">
        <f t="shared" si="6"/>
        <v>12351.28</v>
      </c>
      <c r="H54" s="220">
        <f t="shared" si="6"/>
        <v>23</v>
      </c>
      <c r="I54" s="1146">
        <f t="shared" si="6"/>
        <v>5077.8600000000015</v>
      </c>
      <c r="J54" s="617">
        <f t="shared" si="6"/>
        <v>92</v>
      </c>
      <c r="K54" s="645">
        <f t="shared" si="6"/>
        <v>6704.05</v>
      </c>
      <c r="L54" s="611">
        <f t="shared" si="6"/>
        <v>9724.199999999999</v>
      </c>
      <c r="M54" s="1152">
        <f t="shared" si="6"/>
        <v>40852.8</v>
      </c>
      <c r="N54" s="617">
        <f t="shared" si="6"/>
        <v>14</v>
      </c>
      <c r="O54" s="645">
        <f t="shared" si="6"/>
        <v>1150.3</v>
      </c>
      <c r="P54" s="645">
        <f t="shared" si="6"/>
        <v>240.3</v>
      </c>
      <c r="Q54" s="678">
        <f t="shared" si="6"/>
        <v>0</v>
      </c>
      <c r="R54" s="665">
        <f t="shared" si="6"/>
        <v>1038</v>
      </c>
      <c r="S54" s="1191">
        <f t="shared" si="6"/>
        <v>167637.29000000007</v>
      </c>
      <c r="T54" s="1147"/>
      <c r="U54" s="1148"/>
      <c r="W54" s="1150"/>
      <c r="X54" s="1150"/>
    </row>
    <row r="55" spans="1:24" s="54" customFormat="1" ht="17.25" customHeight="1">
      <c r="A55" s="11" t="s">
        <v>157</v>
      </c>
      <c r="B55" s="50"/>
      <c r="C55" s="612"/>
      <c r="D55" s="50"/>
      <c r="E55" s="612"/>
      <c r="F55" s="612"/>
      <c r="G55" s="612"/>
      <c r="H55" s="50"/>
      <c r="I55" s="612"/>
      <c r="J55" s="50"/>
      <c r="K55" s="612"/>
      <c r="L55" s="612"/>
      <c r="M55" s="612"/>
      <c r="N55" s="50"/>
      <c r="O55" s="50"/>
      <c r="P55" s="646"/>
      <c r="Q55" s="50"/>
      <c r="R55" s="50"/>
      <c r="S55" s="612"/>
      <c r="T55" s="53"/>
      <c r="W55" s="156"/>
      <c r="X55" s="156"/>
    </row>
    <row r="56" spans="1:24" s="57" customFormat="1" ht="17.25" customHeight="1">
      <c r="A56" s="55" t="s">
        <v>205</v>
      </c>
      <c r="B56" s="58"/>
      <c r="C56" s="613"/>
      <c r="D56" s="58"/>
      <c r="E56" s="613"/>
      <c r="F56" s="613"/>
      <c r="G56" s="613"/>
      <c r="H56" s="58"/>
      <c r="I56" s="613"/>
      <c r="J56" s="58"/>
      <c r="K56" s="613"/>
      <c r="L56" s="613"/>
      <c r="M56" s="613"/>
      <c r="N56" s="58"/>
      <c r="O56" s="58"/>
      <c r="P56" s="647"/>
      <c r="Q56" s="58"/>
      <c r="R56" s="58"/>
      <c r="S56" s="613"/>
      <c r="U56" s="58"/>
      <c r="V56" s="58"/>
      <c r="W56" s="58"/>
      <c r="X56" s="58"/>
    </row>
    <row r="57" spans="1:24" s="54" customFormat="1" ht="15.75" customHeight="1">
      <c r="A57" s="55"/>
      <c r="B57" s="56"/>
      <c r="C57" s="614"/>
      <c r="D57" s="56"/>
      <c r="E57" s="614"/>
      <c r="F57" s="614"/>
      <c r="G57" s="614"/>
      <c r="H57" s="56"/>
      <c r="I57" s="614"/>
      <c r="J57" s="56"/>
      <c r="K57" s="614"/>
      <c r="L57" s="614"/>
      <c r="M57" s="614"/>
      <c r="N57" s="56"/>
      <c r="O57" s="56"/>
      <c r="P57" s="648"/>
      <c r="Q57" s="156"/>
      <c r="R57" s="59"/>
      <c r="S57" s="642"/>
      <c r="T57" s="49"/>
      <c r="U57" s="156"/>
      <c r="V57" s="156"/>
      <c r="W57" s="156"/>
      <c r="X57" s="156"/>
    </row>
    <row r="58" spans="3:19" s="156" customFormat="1" ht="15.75" customHeight="1">
      <c r="C58" s="528"/>
      <c r="E58" s="528"/>
      <c r="F58" s="528"/>
      <c r="G58" s="528"/>
      <c r="I58" s="528"/>
      <c r="K58" s="528"/>
      <c r="L58" s="528"/>
      <c r="M58" s="528"/>
      <c r="P58" s="649"/>
      <c r="R58" s="59"/>
      <c r="S58" s="642"/>
    </row>
    <row r="59" spans="3:19" s="156" customFormat="1" ht="15.75" customHeight="1">
      <c r="C59" s="528"/>
      <c r="E59" s="528"/>
      <c r="F59" s="528"/>
      <c r="G59" s="528"/>
      <c r="I59" s="528"/>
      <c r="K59" s="528"/>
      <c r="L59" s="528"/>
      <c r="M59" s="528"/>
      <c r="P59" s="649"/>
      <c r="R59" s="59"/>
      <c r="S59" s="642"/>
    </row>
    <row r="60" spans="3:19" s="156" customFormat="1" ht="18" customHeight="1">
      <c r="C60" s="528"/>
      <c r="E60" s="528"/>
      <c r="F60" s="528"/>
      <c r="G60" s="528"/>
      <c r="I60" s="528"/>
      <c r="K60" s="528"/>
      <c r="L60" s="528"/>
      <c r="M60" s="528"/>
      <c r="P60" s="649"/>
      <c r="S60" s="528"/>
    </row>
    <row r="61" spans="3:19" s="156" customFormat="1" ht="18" customHeight="1">
      <c r="C61" s="528"/>
      <c r="E61" s="528"/>
      <c r="F61" s="528"/>
      <c r="G61" s="528"/>
      <c r="I61" s="528"/>
      <c r="K61" s="528"/>
      <c r="L61" s="528"/>
      <c r="M61" s="528"/>
      <c r="P61" s="649"/>
      <c r="S61" s="528"/>
    </row>
    <row r="62" spans="3:19" s="156" customFormat="1" ht="18" customHeight="1">
      <c r="C62" s="528"/>
      <c r="E62" s="528"/>
      <c r="F62" s="528"/>
      <c r="G62" s="528"/>
      <c r="I62" s="528"/>
      <c r="K62" s="528"/>
      <c r="L62" s="528"/>
      <c r="M62" s="528"/>
      <c r="P62" s="649"/>
      <c r="S62" s="528"/>
    </row>
    <row r="63" spans="3:19" s="156" customFormat="1" ht="16.5" customHeight="1">
      <c r="C63" s="528"/>
      <c r="E63" s="528"/>
      <c r="F63" s="528"/>
      <c r="G63" s="528"/>
      <c r="I63" s="528"/>
      <c r="K63" s="528"/>
      <c r="L63" s="528"/>
      <c r="M63" s="528"/>
      <c r="P63" s="649"/>
      <c r="S63" s="528"/>
    </row>
    <row r="64" spans="3:19" s="156" customFormat="1" ht="16.5" customHeight="1">
      <c r="C64" s="528"/>
      <c r="E64" s="528"/>
      <c r="F64" s="528"/>
      <c r="G64" s="528"/>
      <c r="I64" s="528"/>
      <c r="K64" s="528"/>
      <c r="L64" s="528"/>
      <c r="M64" s="528"/>
      <c r="P64" s="649"/>
      <c r="S64" s="528"/>
    </row>
    <row r="65" spans="3:19" s="156" customFormat="1" ht="16.5" customHeight="1">
      <c r="C65" s="528"/>
      <c r="E65" s="528"/>
      <c r="F65" s="528"/>
      <c r="G65" s="528"/>
      <c r="I65" s="528"/>
      <c r="K65" s="528"/>
      <c r="L65" s="528"/>
      <c r="M65" s="528"/>
      <c r="P65" s="649"/>
      <c r="S65" s="528"/>
    </row>
    <row r="66" spans="3:19" s="156" customFormat="1" ht="16.5" customHeight="1">
      <c r="C66" s="528"/>
      <c r="E66" s="528"/>
      <c r="F66" s="528"/>
      <c r="G66" s="528"/>
      <c r="I66" s="528"/>
      <c r="K66" s="528"/>
      <c r="L66" s="528"/>
      <c r="M66" s="528"/>
      <c r="P66" s="649"/>
      <c r="S66" s="528"/>
    </row>
    <row r="67" spans="3:19" s="156" customFormat="1" ht="16.5" customHeight="1">
      <c r="C67" s="528"/>
      <c r="E67" s="528"/>
      <c r="F67" s="528"/>
      <c r="G67" s="528"/>
      <c r="I67" s="528"/>
      <c r="K67" s="528"/>
      <c r="L67" s="528"/>
      <c r="M67" s="528"/>
      <c r="P67" s="649"/>
      <c r="S67" s="528"/>
    </row>
    <row r="68" spans="3:19" s="156" customFormat="1" ht="16.5" customHeight="1">
      <c r="C68" s="528"/>
      <c r="E68" s="528"/>
      <c r="F68" s="528"/>
      <c r="G68" s="528"/>
      <c r="I68" s="528"/>
      <c r="K68" s="528"/>
      <c r="L68" s="528"/>
      <c r="M68" s="528"/>
      <c r="P68" s="649"/>
      <c r="S68" s="528"/>
    </row>
    <row r="69" spans="3:19" s="156" customFormat="1" ht="16.5" customHeight="1">
      <c r="C69" s="528"/>
      <c r="E69" s="528"/>
      <c r="F69" s="528"/>
      <c r="G69" s="528"/>
      <c r="I69" s="528"/>
      <c r="K69" s="528"/>
      <c r="L69" s="528"/>
      <c r="M69" s="528"/>
      <c r="P69" s="649"/>
      <c r="S69" s="528"/>
    </row>
    <row r="70" spans="3:19" s="156" customFormat="1" ht="16.5" customHeight="1">
      <c r="C70" s="528"/>
      <c r="E70" s="528"/>
      <c r="F70" s="528"/>
      <c r="G70" s="528"/>
      <c r="I70" s="528"/>
      <c r="K70" s="528"/>
      <c r="L70" s="528"/>
      <c r="M70" s="528"/>
      <c r="P70" s="649"/>
      <c r="S70" s="528"/>
    </row>
    <row r="71" spans="3:19" s="156" customFormat="1" ht="17.25" customHeight="1">
      <c r="C71" s="528"/>
      <c r="E71" s="528"/>
      <c r="F71" s="528"/>
      <c r="G71" s="528"/>
      <c r="I71" s="528"/>
      <c r="K71" s="528"/>
      <c r="L71" s="528"/>
      <c r="M71" s="528"/>
      <c r="P71" s="649"/>
      <c r="S71" s="528"/>
    </row>
    <row r="72" spans="3:19" s="156" customFormat="1" ht="17.25" customHeight="1">
      <c r="C72" s="528"/>
      <c r="E72" s="528"/>
      <c r="F72" s="528"/>
      <c r="G72" s="528"/>
      <c r="I72" s="528"/>
      <c r="K72" s="528"/>
      <c r="L72" s="528"/>
      <c r="M72" s="528"/>
      <c r="P72" s="649"/>
      <c r="S72" s="528"/>
    </row>
    <row r="73" spans="3:19" s="156" customFormat="1" ht="17.25" customHeight="1">
      <c r="C73" s="528"/>
      <c r="E73" s="528"/>
      <c r="F73" s="528"/>
      <c r="G73" s="528"/>
      <c r="I73" s="528"/>
      <c r="K73" s="528"/>
      <c r="L73" s="528"/>
      <c r="M73" s="528"/>
      <c r="P73" s="649"/>
      <c r="S73" s="528"/>
    </row>
    <row r="74" spans="3:19" s="156" customFormat="1" ht="17.25" customHeight="1">
      <c r="C74" s="528"/>
      <c r="E74" s="528"/>
      <c r="F74" s="528"/>
      <c r="G74" s="528"/>
      <c r="I74" s="528"/>
      <c r="K74" s="528"/>
      <c r="L74" s="528"/>
      <c r="M74" s="528"/>
      <c r="P74" s="649"/>
      <c r="S74" s="528"/>
    </row>
    <row r="75" spans="3:19" s="156" customFormat="1" ht="16.5" customHeight="1">
      <c r="C75" s="528"/>
      <c r="E75" s="528"/>
      <c r="F75" s="528"/>
      <c r="G75" s="528"/>
      <c r="I75" s="528"/>
      <c r="K75" s="528"/>
      <c r="L75" s="528"/>
      <c r="M75" s="528"/>
      <c r="P75" s="649"/>
      <c r="S75" s="528"/>
    </row>
    <row r="76" spans="3:19" s="156" customFormat="1" ht="16.5" customHeight="1">
      <c r="C76" s="528"/>
      <c r="E76" s="528"/>
      <c r="F76" s="528"/>
      <c r="G76" s="528"/>
      <c r="I76" s="528"/>
      <c r="K76" s="528"/>
      <c r="L76" s="528"/>
      <c r="M76" s="528"/>
      <c r="P76" s="649"/>
      <c r="S76" s="528"/>
    </row>
    <row r="77" spans="3:19" s="156" customFormat="1" ht="16.5" customHeight="1">
      <c r="C77" s="528"/>
      <c r="E77" s="528"/>
      <c r="F77" s="528"/>
      <c r="G77" s="528"/>
      <c r="I77" s="528"/>
      <c r="K77" s="528"/>
      <c r="L77" s="528"/>
      <c r="M77" s="528"/>
      <c r="P77" s="649"/>
      <c r="S77" s="528"/>
    </row>
    <row r="78" spans="3:19" s="156" customFormat="1" ht="16.5" customHeight="1">
      <c r="C78" s="528"/>
      <c r="E78" s="528"/>
      <c r="F78" s="528"/>
      <c r="G78" s="528"/>
      <c r="I78" s="528"/>
      <c r="K78" s="528"/>
      <c r="L78" s="528"/>
      <c r="M78" s="528"/>
      <c r="P78" s="649"/>
      <c r="S78" s="528"/>
    </row>
    <row r="79" spans="3:19" s="156" customFormat="1" ht="16.5" customHeight="1">
      <c r="C79" s="528"/>
      <c r="E79" s="528"/>
      <c r="F79" s="528"/>
      <c r="G79" s="528"/>
      <c r="I79" s="528"/>
      <c r="K79" s="528"/>
      <c r="L79" s="528"/>
      <c r="M79" s="528"/>
      <c r="P79" s="649"/>
      <c r="S79" s="528"/>
    </row>
    <row r="80" spans="3:19" s="156" customFormat="1" ht="16.5" customHeight="1">
      <c r="C80" s="528"/>
      <c r="E80" s="528"/>
      <c r="F80" s="528"/>
      <c r="G80" s="528"/>
      <c r="I80" s="528"/>
      <c r="K80" s="528"/>
      <c r="L80" s="528"/>
      <c r="M80" s="528"/>
      <c r="P80" s="649"/>
      <c r="S80" s="528"/>
    </row>
    <row r="81" spans="3:19" s="156" customFormat="1" ht="18" customHeight="1">
      <c r="C81" s="528"/>
      <c r="E81" s="528"/>
      <c r="F81" s="528"/>
      <c r="G81" s="528"/>
      <c r="I81" s="528"/>
      <c r="K81" s="528"/>
      <c r="L81" s="528"/>
      <c r="M81" s="528"/>
      <c r="P81" s="649"/>
      <c r="S81" s="528"/>
    </row>
    <row r="82" spans="3:19" s="156" customFormat="1" ht="18" customHeight="1">
      <c r="C82" s="528"/>
      <c r="E82" s="528"/>
      <c r="F82" s="528"/>
      <c r="G82" s="528"/>
      <c r="I82" s="528"/>
      <c r="K82" s="528"/>
      <c r="L82" s="528"/>
      <c r="M82" s="528"/>
      <c r="P82" s="649"/>
      <c r="S82" s="528"/>
    </row>
    <row r="83" spans="3:19" s="156" customFormat="1" ht="18" customHeight="1">
      <c r="C83" s="528"/>
      <c r="E83" s="528"/>
      <c r="F83" s="528"/>
      <c r="G83" s="528"/>
      <c r="I83" s="528"/>
      <c r="K83" s="528"/>
      <c r="L83" s="528"/>
      <c r="M83" s="528"/>
      <c r="P83" s="649"/>
      <c r="S83" s="528"/>
    </row>
    <row r="84" spans="3:19" s="156" customFormat="1" ht="18" customHeight="1">
      <c r="C84" s="528"/>
      <c r="E84" s="528"/>
      <c r="F84" s="528"/>
      <c r="G84" s="528"/>
      <c r="I84" s="528"/>
      <c r="K84" s="528"/>
      <c r="L84" s="528"/>
      <c r="M84" s="528"/>
      <c r="P84" s="649"/>
      <c r="S84" s="528"/>
    </row>
    <row r="85" spans="3:19" s="156" customFormat="1" ht="18" customHeight="1">
      <c r="C85" s="528"/>
      <c r="E85" s="528"/>
      <c r="F85" s="528"/>
      <c r="G85" s="528"/>
      <c r="I85" s="528"/>
      <c r="K85" s="528"/>
      <c r="L85" s="528"/>
      <c r="M85" s="528"/>
      <c r="P85" s="649"/>
      <c r="S85" s="528"/>
    </row>
    <row r="86" spans="3:19" s="156" customFormat="1" ht="18" customHeight="1">
      <c r="C86" s="528"/>
      <c r="E86" s="528"/>
      <c r="F86" s="528"/>
      <c r="G86" s="528"/>
      <c r="I86" s="528"/>
      <c r="K86" s="528"/>
      <c r="L86" s="528"/>
      <c r="M86" s="528"/>
      <c r="P86" s="649"/>
      <c r="S86" s="528"/>
    </row>
    <row r="87" spans="3:19" s="156" customFormat="1" ht="18.75" customHeight="1">
      <c r="C87" s="528"/>
      <c r="E87" s="528"/>
      <c r="F87" s="528"/>
      <c r="G87" s="528"/>
      <c r="I87" s="528"/>
      <c r="K87" s="528"/>
      <c r="L87" s="528"/>
      <c r="M87" s="528"/>
      <c r="P87" s="649"/>
      <c r="S87" s="528"/>
    </row>
    <row r="88" spans="3:19" s="156" customFormat="1" ht="12.75">
      <c r="C88" s="528"/>
      <c r="E88" s="528"/>
      <c r="F88" s="528"/>
      <c r="G88" s="528"/>
      <c r="I88" s="528"/>
      <c r="K88" s="528"/>
      <c r="L88" s="528"/>
      <c r="M88" s="528"/>
      <c r="P88" s="649"/>
      <c r="S88" s="528"/>
    </row>
    <row r="89" spans="3:19" s="156" customFormat="1" ht="12.75">
      <c r="C89" s="528"/>
      <c r="E89" s="528"/>
      <c r="F89" s="528"/>
      <c r="G89" s="528"/>
      <c r="I89" s="528"/>
      <c r="K89" s="528"/>
      <c r="L89" s="528"/>
      <c r="M89" s="528"/>
      <c r="P89" s="649"/>
      <c r="S89" s="528"/>
    </row>
    <row r="90" spans="3:19" s="156" customFormat="1" ht="12.75">
      <c r="C90" s="528"/>
      <c r="E90" s="528"/>
      <c r="F90" s="528"/>
      <c r="G90" s="528"/>
      <c r="I90" s="528"/>
      <c r="K90" s="528"/>
      <c r="L90" s="528"/>
      <c r="M90" s="528"/>
      <c r="P90" s="649"/>
      <c r="S90" s="528"/>
    </row>
  </sheetData>
  <sheetProtection/>
  <mergeCells count="12">
    <mergeCell ref="R2:S3"/>
    <mergeCell ref="D3:E3"/>
    <mergeCell ref="N2:O3"/>
    <mergeCell ref="F3:G3"/>
    <mergeCell ref="F2:M2"/>
    <mergeCell ref="J3:K3"/>
    <mergeCell ref="A2:A4"/>
    <mergeCell ref="B3:C3"/>
    <mergeCell ref="B2:E2"/>
    <mergeCell ref="H3:I3"/>
    <mergeCell ref="P2:P3"/>
    <mergeCell ref="Q2:Q3"/>
  </mergeCells>
  <printOptions horizontalCentered="1"/>
  <pageMargins left="0.15748031496063" right="0.21" top="0.29" bottom="0.051574803" header="0.35" footer="0.2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3"/>
  </sheetPr>
  <dimension ref="A1:AT111"/>
  <sheetViews>
    <sheetView zoomScalePageLayoutView="0" workbookViewId="0" topLeftCell="A1">
      <pane xSplit="1" ySplit="3" topLeftCell="L4" activePane="bottomRight" state="frozen"/>
      <selection pane="topLeft" activeCell="A1" sqref="A1"/>
      <selection pane="topRight" activeCell="B1" sqref="B1"/>
      <selection pane="bottomLeft" activeCell="A4" sqref="A4"/>
      <selection pane="bottomRight" activeCell="A1" sqref="A1:IV16384"/>
    </sheetView>
  </sheetViews>
  <sheetFormatPr defaultColWidth="9.140625" defaultRowHeight="12.75"/>
  <cols>
    <col min="1" max="1" width="37.7109375" style="130" customWidth="1"/>
    <col min="2" max="2" width="4.00390625" style="160" customWidth="1"/>
    <col min="3" max="3" width="8.421875" style="514" customWidth="1"/>
    <col min="4" max="4" width="3.140625" style="161" customWidth="1"/>
    <col min="5" max="5" width="8.140625" style="514" customWidth="1"/>
    <col min="6" max="6" width="3.8515625" style="160" customWidth="1"/>
    <col min="7" max="7" width="8.00390625" style="514" customWidth="1"/>
    <col min="8" max="8" width="3.8515625" style="161" customWidth="1"/>
    <col min="9" max="9" width="8.00390625" style="514" customWidth="1"/>
    <col min="10" max="10" width="3.7109375" style="162" hidden="1" customWidth="1"/>
    <col min="11" max="11" width="6.140625" style="130" hidden="1" customWidth="1"/>
    <col min="12" max="12" width="4.140625" style="130" customWidth="1"/>
    <col min="13" max="13" width="8.00390625" style="510" customWidth="1"/>
    <col min="14" max="14" width="3.8515625" style="130" customWidth="1"/>
    <col min="15" max="15" width="8.00390625" style="510" customWidth="1"/>
    <col min="16" max="16" width="4.140625" style="130" customWidth="1"/>
    <col min="17" max="17" width="8.00390625" style="510" customWidth="1"/>
    <col min="18" max="18" width="3.00390625" style="161" customWidth="1"/>
    <col min="19" max="19" width="8.140625" style="510" customWidth="1"/>
    <col min="20" max="20" width="3.421875" style="130" customWidth="1"/>
    <col min="21" max="21" width="8.140625" style="510" customWidth="1"/>
    <col min="22" max="22" width="3.8515625" style="130" customWidth="1"/>
    <col min="23" max="23" width="6.57421875" style="510" customWidth="1"/>
    <col min="24" max="24" width="4.140625" style="162" customWidth="1"/>
    <col min="25" max="25" width="8.57421875" style="510" customWidth="1"/>
    <col min="26" max="26" width="4.140625" style="130" customWidth="1"/>
    <col min="27" max="27" width="9.00390625" style="510" customWidth="1"/>
    <col min="28" max="28" width="4.28125" style="162" customWidth="1"/>
    <col min="29" max="29" width="8.140625" style="514" customWidth="1"/>
    <col min="30" max="30" width="3.8515625" style="161" customWidth="1"/>
    <col min="31" max="31" width="8.00390625" style="514" customWidth="1"/>
    <col min="32" max="32" width="4.00390625" style="162" customWidth="1"/>
    <col min="33" max="33" width="9.57421875" style="510" customWidth="1"/>
    <col min="34" max="34" width="4.00390625" style="130" customWidth="1"/>
    <col min="35" max="35" width="8.140625" style="510" customWidth="1"/>
    <col min="36" max="36" width="4.00390625" style="162" customWidth="1"/>
    <col min="37" max="37" width="8.28125" style="510" customWidth="1"/>
    <col min="38" max="38" width="4.00390625" style="162" customWidth="1"/>
    <col min="39" max="39" width="8.421875" style="510" customWidth="1"/>
    <col min="40" max="40" width="5.00390625" style="162" customWidth="1"/>
    <col min="41" max="41" width="9.00390625" style="510" customWidth="1"/>
    <col min="42" max="42" width="5.28125" style="130" customWidth="1"/>
    <col min="43" max="43" width="9.7109375" style="95" customWidth="1"/>
    <col min="44" max="44" width="11.00390625" style="156" customWidth="1"/>
    <col min="45" max="45" width="10.8515625" style="162" customWidth="1"/>
    <col min="46" max="46" width="10.28125" style="130" customWidth="1"/>
    <col min="47" max="16384" width="9.140625" style="130" customWidth="1"/>
  </cols>
  <sheetData>
    <row r="1" spans="2:46" s="61" customFormat="1" ht="18.75" customHeight="1" thickBot="1">
      <c r="B1" s="160"/>
      <c r="C1" s="620"/>
      <c r="D1" s="161"/>
      <c r="E1" s="514"/>
      <c r="F1" s="160"/>
      <c r="G1" s="514"/>
      <c r="H1" s="161"/>
      <c r="I1" s="514"/>
      <c r="J1" s="162"/>
      <c r="K1" s="161"/>
      <c r="L1" s="161"/>
      <c r="M1" s="514"/>
      <c r="N1" s="161"/>
      <c r="O1" s="514"/>
      <c r="P1" s="161"/>
      <c r="Q1" s="514"/>
      <c r="R1" s="161"/>
      <c r="S1" s="514"/>
      <c r="T1" s="161"/>
      <c r="U1" s="514"/>
      <c r="V1" s="161"/>
      <c r="W1" s="514"/>
      <c r="X1" s="162"/>
      <c r="Y1" s="514"/>
      <c r="Z1" s="161"/>
      <c r="AA1" s="514"/>
      <c r="AC1" s="509"/>
      <c r="AE1" s="509"/>
      <c r="AF1" s="162"/>
      <c r="AG1" s="509"/>
      <c r="AH1" s="76"/>
      <c r="AI1" s="624"/>
      <c r="AJ1" s="76"/>
      <c r="AK1" s="624"/>
      <c r="AL1" s="76"/>
      <c r="AM1" s="624"/>
      <c r="AN1" s="76"/>
      <c r="AO1" s="503" t="s">
        <v>0</v>
      </c>
      <c r="AP1" s="130"/>
      <c r="AQ1" s="74"/>
      <c r="AS1" s="162"/>
      <c r="AT1" s="130"/>
    </row>
    <row r="2" spans="1:46" s="61" customFormat="1" ht="73.5" customHeight="1" thickBot="1">
      <c r="A2" s="1248" t="s">
        <v>1</v>
      </c>
      <c r="B2" s="1247" t="s">
        <v>71</v>
      </c>
      <c r="C2" s="1247"/>
      <c r="D2" s="1247" t="s">
        <v>72</v>
      </c>
      <c r="E2" s="1247"/>
      <c r="F2" s="1251" t="s">
        <v>84</v>
      </c>
      <c r="G2" s="1251"/>
      <c r="H2" s="1250" t="s">
        <v>73</v>
      </c>
      <c r="I2" s="1250"/>
      <c r="J2" s="1250" t="s">
        <v>73</v>
      </c>
      <c r="K2" s="1250"/>
      <c r="L2" s="1250" t="s">
        <v>85</v>
      </c>
      <c r="M2" s="1250"/>
      <c r="N2" s="1246" t="s">
        <v>163</v>
      </c>
      <c r="O2" s="1246"/>
      <c r="P2" s="1246" t="s">
        <v>74</v>
      </c>
      <c r="Q2" s="1246"/>
      <c r="R2" s="1246" t="s">
        <v>75</v>
      </c>
      <c r="S2" s="1246"/>
      <c r="T2" s="1246" t="s">
        <v>169</v>
      </c>
      <c r="U2" s="1246"/>
      <c r="V2" s="1246" t="s">
        <v>76</v>
      </c>
      <c r="W2" s="1246"/>
      <c r="X2" s="1247" t="s">
        <v>77</v>
      </c>
      <c r="Y2" s="1247"/>
      <c r="Z2" s="1246" t="s">
        <v>78</v>
      </c>
      <c r="AA2" s="1246"/>
      <c r="AB2" s="1246" t="s">
        <v>79</v>
      </c>
      <c r="AC2" s="1246"/>
      <c r="AD2" s="1246" t="s">
        <v>80</v>
      </c>
      <c r="AE2" s="1246"/>
      <c r="AF2" s="1246" t="s">
        <v>81</v>
      </c>
      <c r="AG2" s="1246"/>
      <c r="AH2" s="1246" t="s">
        <v>82</v>
      </c>
      <c r="AI2" s="1246"/>
      <c r="AJ2" s="1246" t="s">
        <v>93</v>
      </c>
      <c r="AK2" s="1246"/>
      <c r="AL2" s="1246" t="s">
        <v>83</v>
      </c>
      <c r="AM2" s="1246"/>
      <c r="AN2" s="1252" t="s">
        <v>66</v>
      </c>
      <c r="AO2" s="1252"/>
      <c r="AQ2" s="74"/>
      <c r="AR2" s="156"/>
      <c r="AS2" s="156"/>
      <c r="AT2" s="156"/>
    </row>
    <row r="3" spans="1:46" s="61" customFormat="1" ht="21.75" customHeight="1" thickBot="1">
      <c r="A3" s="1249"/>
      <c r="B3" s="193" t="s">
        <v>10</v>
      </c>
      <c r="C3" s="504" t="s">
        <v>9</v>
      </c>
      <c r="D3" s="193" t="s">
        <v>10</v>
      </c>
      <c r="E3" s="504" t="s">
        <v>9</v>
      </c>
      <c r="F3" s="193" t="s">
        <v>10</v>
      </c>
      <c r="G3" s="504" t="s">
        <v>9</v>
      </c>
      <c r="H3" s="102" t="s">
        <v>10</v>
      </c>
      <c r="I3" s="504" t="s">
        <v>9</v>
      </c>
      <c r="J3" s="102" t="s">
        <v>10</v>
      </c>
      <c r="K3" s="188" t="s">
        <v>9</v>
      </c>
      <c r="L3" s="102" t="s">
        <v>10</v>
      </c>
      <c r="M3" s="504" t="s">
        <v>9</v>
      </c>
      <c r="N3" s="102" t="s">
        <v>10</v>
      </c>
      <c r="O3" s="504" t="s">
        <v>9</v>
      </c>
      <c r="P3" s="102" t="s">
        <v>10</v>
      </c>
      <c r="Q3" s="504" t="s">
        <v>9</v>
      </c>
      <c r="R3" s="102" t="s">
        <v>10</v>
      </c>
      <c r="S3" s="504" t="s">
        <v>9</v>
      </c>
      <c r="T3" s="102" t="s">
        <v>10</v>
      </c>
      <c r="U3" s="504" t="s">
        <v>9</v>
      </c>
      <c r="V3" s="102" t="s">
        <v>10</v>
      </c>
      <c r="W3" s="504" t="s">
        <v>9</v>
      </c>
      <c r="X3" s="102" t="s">
        <v>10</v>
      </c>
      <c r="Y3" s="504" t="s">
        <v>9</v>
      </c>
      <c r="Z3" s="102" t="s">
        <v>10</v>
      </c>
      <c r="AA3" s="504" t="s">
        <v>9</v>
      </c>
      <c r="AB3" s="102" t="s">
        <v>10</v>
      </c>
      <c r="AC3" s="504" t="s">
        <v>9</v>
      </c>
      <c r="AD3" s="102" t="s">
        <v>10</v>
      </c>
      <c r="AE3" s="504" t="s">
        <v>9</v>
      </c>
      <c r="AF3" s="102" t="s">
        <v>10</v>
      </c>
      <c r="AG3" s="504" t="s">
        <v>9</v>
      </c>
      <c r="AH3" s="102" t="s">
        <v>10</v>
      </c>
      <c r="AI3" s="504" t="s">
        <v>9</v>
      </c>
      <c r="AJ3" s="188" t="s">
        <v>10</v>
      </c>
      <c r="AK3" s="504" t="s">
        <v>9</v>
      </c>
      <c r="AL3" s="188" t="s">
        <v>10</v>
      </c>
      <c r="AM3" s="504" t="s">
        <v>9</v>
      </c>
      <c r="AN3" s="188" t="s">
        <v>10</v>
      </c>
      <c r="AO3" s="504" t="s">
        <v>9</v>
      </c>
      <c r="AP3" s="72"/>
      <c r="AQ3" s="74"/>
      <c r="AR3" s="74"/>
      <c r="AS3" s="156"/>
      <c r="AT3" s="156"/>
    </row>
    <row r="4" spans="1:46" s="61" customFormat="1" ht="26.25" customHeight="1">
      <c r="A4" s="77" t="s">
        <v>86</v>
      </c>
      <c r="B4" s="63"/>
      <c r="C4" s="505"/>
      <c r="D4" s="64"/>
      <c r="E4" s="505"/>
      <c r="F4" s="63"/>
      <c r="G4" s="505"/>
      <c r="H4" s="64"/>
      <c r="I4" s="505"/>
      <c r="J4" s="65"/>
      <c r="K4" s="64"/>
      <c r="L4" s="64"/>
      <c r="M4" s="505"/>
      <c r="N4" s="64"/>
      <c r="O4" s="505"/>
      <c r="P4" s="64"/>
      <c r="Q4" s="505"/>
      <c r="R4" s="64"/>
      <c r="S4" s="505"/>
      <c r="T4" s="64"/>
      <c r="U4" s="505"/>
      <c r="V4" s="64"/>
      <c r="W4" s="505"/>
      <c r="X4" s="65"/>
      <c r="Y4" s="505"/>
      <c r="Z4" s="64"/>
      <c r="AA4" s="505"/>
      <c r="AB4" s="65"/>
      <c r="AC4" s="505"/>
      <c r="AD4" s="64"/>
      <c r="AE4" s="505"/>
      <c r="AF4" s="65"/>
      <c r="AG4" s="505"/>
      <c r="AH4" s="64"/>
      <c r="AI4" s="505"/>
      <c r="AJ4" s="65"/>
      <c r="AK4" s="505"/>
      <c r="AL4" s="65"/>
      <c r="AM4" s="505"/>
      <c r="AN4" s="65"/>
      <c r="AO4" s="505"/>
      <c r="AP4" s="130"/>
      <c r="AQ4" s="74"/>
      <c r="AR4" s="74"/>
      <c r="AS4" s="65"/>
      <c r="AT4" s="64"/>
    </row>
    <row r="5" spans="1:46" s="82" customFormat="1" ht="23.25" customHeight="1">
      <c r="A5" s="78" t="s">
        <v>87</v>
      </c>
      <c r="B5" s="183"/>
      <c r="C5" s="533"/>
      <c r="D5" s="13"/>
      <c r="E5" s="533"/>
      <c r="F5" s="13"/>
      <c r="G5" s="533">
        <v>267.5</v>
      </c>
      <c r="H5" s="13"/>
      <c r="I5" s="533">
        <v>194.6</v>
      </c>
      <c r="J5" s="13"/>
      <c r="K5" s="13"/>
      <c r="L5" s="13"/>
      <c r="M5" s="533"/>
      <c r="N5" s="13"/>
      <c r="O5" s="533"/>
      <c r="P5" s="13"/>
      <c r="Q5" s="533"/>
      <c r="R5" s="13"/>
      <c r="S5" s="533">
        <v>128.7</v>
      </c>
      <c r="T5" s="13"/>
      <c r="U5" s="533"/>
      <c r="V5" s="13"/>
      <c r="W5" s="533"/>
      <c r="X5" s="13"/>
      <c r="Y5" s="533"/>
      <c r="Z5" s="13"/>
      <c r="AA5" s="533"/>
      <c r="AB5" s="13"/>
      <c r="AC5" s="533">
        <v>551.2</v>
      </c>
      <c r="AD5" s="13"/>
      <c r="AE5" s="533"/>
      <c r="AF5" s="13"/>
      <c r="AG5" s="533"/>
      <c r="AH5" s="13"/>
      <c r="AI5" s="533"/>
      <c r="AJ5" s="13"/>
      <c r="AK5" s="533">
        <v>101.8</v>
      </c>
      <c r="AL5" s="13"/>
      <c r="AM5" s="533"/>
      <c r="AN5" s="100">
        <f aca="true" t="shared" si="0" ref="AN5:AO8">SUM(B5,D5,F5,H5,J5,L5,N5,P5,R5,T5,V5,X5,Z5,AB5,AD5,AF5,AH5,AJ5,AL5)</f>
        <v>0</v>
      </c>
      <c r="AO5" s="507">
        <f t="shared" si="0"/>
        <v>1243.8</v>
      </c>
      <c r="AP5"/>
      <c r="AQ5"/>
      <c r="AS5" s="81"/>
      <c r="AT5" s="79"/>
    </row>
    <row r="6" spans="1:46" s="82" customFormat="1" ht="23.25" customHeight="1">
      <c r="A6" s="78" t="s">
        <v>88</v>
      </c>
      <c r="B6" s="183">
        <v>3</v>
      </c>
      <c r="C6" s="533">
        <v>2500.4</v>
      </c>
      <c r="D6" s="13"/>
      <c r="E6" s="533">
        <v>273.6</v>
      </c>
      <c r="F6" s="13">
        <v>13</v>
      </c>
      <c r="G6" s="533">
        <v>4559.7</v>
      </c>
      <c r="H6" s="13">
        <v>22</v>
      </c>
      <c r="I6" s="533">
        <v>3893</v>
      </c>
      <c r="J6" s="13"/>
      <c r="K6" s="13"/>
      <c r="L6" s="13">
        <v>21</v>
      </c>
      <c r="M6" s="533">
        <v>3274.2</v>
      </c>
      <c r="N6" s="13">
        <v>6</v>
      </c>
      <c r="O6" s="533">
        <v>1267.7</v>
      </c>
      <c r="P6" s="13">
        <v>23</v>
      </c>
      <c r="Q6" s="533">
        <v>3155.4</v>
      </c>
      <c r="R6" s="13">
        <v>3</v>
      </c>
      <c r="S6" s="533">
        <v>617.1</v>
      </c>
      <c r="T6" s="13">
        <v>3</v>
      </c>
      <c r="U6" s="533">
        <v>3413.3</v>
      </c>
      <c r="V6" s="13">
        <v>10</v>
      </c>
      <c r="W6" s="533">
        <v>565.9</v>
      </c>
      <c r="X6" s="13">
        <v>10</v>
      </c>
      <c r="Y6" s="533">
        <v>3118.5</v>
      </c>
      <c r="Z6" s="13">
        <v>47</v>
      </c>
      <c r="AA6" s="533">
        <v>5292.1</v>
      </c>
      <c r="AB6" s="13">
        <v>1</v>
      </c>
      <c r="AC6" s="533">
        <v>6564.7</v>
      </c>
      <c r="AD6" s="13">
        <v>12</v>
      </c>
      <c r="AE6" s="533">
        <v>2831.8</v>
      </c>
      <c r="AF6" s="13">
        <v>20</v>
      </c>
      <c r="AG6" s="533">
        <v>4387.5</v>
      </c>
      <c r="AH6" s="13">
        <v>1</v>
      </c>
      <c r="AI6" s="533">
        <v>417.1</v>
      </c>
      <c r="AJ6" s="13">
        <v>33</v>
      </c>
      <c r="AK6" s="533">
        <v>3402</v>
      </c>
      <c r="AL6" s="13">
        <v>12</v>
      </c>
      <c r="AM6" s="533">
        <v>1076.6</v>
      </c>
      <c r="AN6" s="100">
        <f t="shared" si="0"/>
        <v>240</v>
      </c>
      <c r="AO6" s="507">
        <f t="shared" si="0"/>
        <v>50610.6</v>
      </c>
      <c r="AP6"/>
      <c r="AQ6"/>
      <c r="AS6" s="80"/>
      <c r="AT6" s="79"/>
    </row>
    <row r="7" spans="1:46" s="82" customFormat="1" ht="23.25" customHeight="1">
      <c r="A7" s="78" t="s">
        <v>89</v>
      </c>
      <c r="B7" s="183">
        <v>88</v>
      </c>
      <c r="C7" s="533">
        <v>6116.5</v>
      </c>
      <c r="D7" s="13">
        <v>5</v>
      </c>
      <c r="E7" s="533">
        <v>376.5</v>
      </c>
      <c r="F7" s="82">
        <v>20</v>
      </c>
      <c r="G7" s="533">
        <v>1119.2</v>
      </c>
      <c r="H7" s="13"/>
      <c r="I7" s="533">
        <v>388.8</v>
      </c>
      <c r="J7" s="13"/>
      <c r="K7" s="13"/>
      <c r="L7" s="13">
        <v>19</v>
      </c>
      <c r="M7" s="533">
        <v>1203.2</v>
      </c>
      <c r="N7" s="13">
        <v>14</v>
      </c>
      <c r="O7" s="533">
        <v>960.6</v>
      </c>
      <c r="P7" s="13">
        <v>18</v>
      </c>
      <c r="Q7" s="533">
        <v>2196.4</v>
      </c>
      <c r="R7" s="13"/>
      <c r="S7" s="533">
        <v>917.5</v>
      </c>
      <c r="T7" s="13"/>
      <c r="U7" s="533"/>
      <c r="V7" s="13"/>
      <c r="W7" s="533"/>
      <c r="X7" s="13">
        <v>10</v>
      </c>
      <c r="Y7" s="533">
        <v>1103.2</v>
      </c>
      <c r="Z7" s="13">
        <v>17</v>
      </c>
      <c r="AA7" s="533">
        <v>2559.8</v>
      </c>
      <c r="AB7" s="13"/>
      <c r="AC7" s="533">
        <v>166.6</v>
      </c>
      <c r="AD7" s="13"/>
      <c r="AE7" s="533">
        <v>189.1</v>
      </c>
      <c r="AF7" s="13">
        <v>32</v>
      </c>
      <c r="AG7" s="533">
        <v>2262.7</v>
      </c>
      <c r="AH7" s="13"/>
      <c r="AI7" s="533"/>
      <c r="AJ7" s="13">
        <v>2</v>
      </c>
      <c r="AK7" s="533">
        <v>266.8</v>
      </c>
      <c r="AL7" s="13">
        <v>12</v>
      </c>
      <c r="AM7" s="533">
        <v>478</v>
      </c>
      <c r="AN7" s="100">
        <f t="shared" si="0"/>
        <v>237</v>
      </c>
      <c r="AO7" s="507">
        <f t="shared" si="0"/>
        <v>20304.899999999998</v>
      </c>
      <c r="AP7"/>
      <c r="AQ7"/>
      <c r="AS7" s="80"/>
      <c r="AT7" s="79"/>
    </row>
    <row r="8" spans="1:46" s="628" customFormat="1" ht="22.5" customHeight="1">
      <c r="A8" s="294" t="s">
        <v>90</v>
      </c>
      <c r="B8" s="295"/>
      <c r="C8" s="603"/>
      <c r="D8" s="19"/>
      <c r="E8" s="603"/>
      <c r="F8" s="19"/>
      <c r="G8" s="603"/>
      <c r="H8" s="19">
        <v>37</v>
      </c>
      <c r="I8" s="603">
        <v>3819.5</v>
      </c>
      <c r="J8" s="19"/>
      <c r="K8" s="19"/>
      <c r="L8" s="19"/>
      <c r="M8" s="603"/>
      <c r="N8" s="19"/>
      <c r="O8" s="603"/>
      <c r="P8" s="19"/>
      <c r="Q8" s="603"/>
      <c r="R8" s="19"/>
      <c r="S8" s="603"/>
      <c r="T8" s="19"/>
      <c r="U8" s="603"/>
      <c r="V8" s="19"/>
      <c r="W8" s="603"/>
      <c r="X8" s="19"/>
      <c r="Y8" s="603"/>
      <c r="Z8" s="19"/>
      <c r="AA8" s="603"/>
      <c r="AB8" s="19">
        <v>48</v>
      </c>
      <c r="AC8" s="603">
        <v>1242.1</v>
      </c>
      <c r="AD8" s="19"/>
      <c r="AE8" s="603"/>
      <c r="AF8" s="19"/>
      <c r="AG8" s="603"/>
      <c r="AH8" s="19"/>
      <c r="AI8" s="603"/>
      <c r="AJ8" s="19"/>
      <c r="AK8" s="603"/>
      <c r="AL8" s="19"/>
      <c r="AM8" s="603"/>
      <c r="AN8" s="192">
        <f t="shared" si="0"/>
        <v>85</v>
      </c>
      <c r="AO8" s="559">
        <f t="shared" si="0"/>
        <v>5061.6</v>
      </c>
      <c r="AP8" s="312"/>
      <c r="AQ8" s="312"/>
      <c r="AS8" s="629"/>
      <c r="AT8" s="83"/>
    </row>
    <row r="9" spans="1:46" s="81" customFormat="1" ht="22.5" customHeight="1">
      <c r="A9" s="125" t="s">
        <v>404</v>
      </c>
      <c r="B9" s="183"/>
      <c r="C9" s="533"/>
      <c r="D9" s="13"/>
      <c r="E9" s="533"/>
      <c r="F9" s="13"/>
      <c r="G9" s="533"/>
      <c r="H9" s="13"/>
      <c r="I9" s="533"/>
      <c r="J9" s="13"/>
      <c r="K9" s="13"/>
      <c r="L9" s="13"/>
      <c r="M9" s="533"/>
      <c r="N9" s="13"/>
      <c r="O9" s="533"/>
      <c r="P9" s="13"/>
      <c r="Q9" s="533"/>
      <c r="R9" s="13"/>
      <c r="S9" s="533"/>
      <c r="T9" s="13"/>
      <c r="U9" s="533"/>
      <c r="V9" s="13"/>
      <c r="W9" s="533"/>
      <c r="X9" s="13"/>
      <c r="Y9" s="533"/>
      <c r="Z9" s="13"/>
      <c r="AA9" s="533"/>
      <c r="AB9" s="13"/>
      <c r="AC9" s="533"/>
      <c r="AD9" s="13"/>
      <c r="AE9" s="533"/>
      <c r="AF9" s="13"/>
      <c r="AG9" s="533"/>
      <c r="AH9" s="13"/>
      <c r="AI9" s="533"/>
      <c r="AJ9" s="13"/>
      <c r="AK9" s="533"/>
      <c r="AL9" s="13"/>
      <c r="AM9" s="533"/>
      <c r="AN9" s="100"/>
      <c r="AO9" s="507"/>
      <c r="AP9" s="218"/>
      <c r="AQ9" s="218"/>
      <c r="AS9" s="80"/>
      <c r="AT9" s="1092"/>
    </row>
    <row r="10" spans="1:46" s="628" customFormat="1" ht="22.5" customHeight="1">
      <c r="A10" s="1093" t="s">
        <v>92</v>
      </c>
      <c r="B10" s="295"/>
      <c r="C10" s="603"/>
      <c r="D10" s="19"/>
      <c r="E10" s="603"/>
      <c r="F10" s="19"/>
      <c r="G10" s="603"/>
      <c r="H10" s="19"/>
      <c r="I10" s="603"/>
      <c r="J10" s="19"/>
      <c r="K10" s="19"/>
      <c r="L10" s="19"/>
      <c r="M10" s="603"/>
      <c r="N10" s="19"/>
      <c r="O10" s="603"/>
      <c r="P10" s="19"/>
      <c r="Q10" s="603"/>
      <c r="R10" s="19"/>
      <c r="S10" s="603"/>
      <c r="T10" s="19"/>
      <c r="U10" s="603"/>
      <c r="V10" s="19"/>
      <c r="W10" s="603"/>
      <c r="X10" s="19"/>
      <c r="Y10" s="603"/>
      <c r="Z10" s="19"/>
      <c r="AA10" s="603"/>
      <c r="AB10" s="19">
        <v>20</v>
      </c>
      <c r="AC10" s="603">
        <v>95.7</v>
      </c>
      <c r="AD10" s="19"/>
      <c r="AE10" s="603"/>
      <c r="AF10" s="19"/>
      <c r="AG10" s="603"/>
      <c r="AH10" s="19"/>
      <c r="AI10" s="603"/>
      <c r="AJ10" s="19"/>
      <c r="AK10" s="603"/>
      <c r="AL10" s="19"/>
      <c r="AM10" s="603"/>
      <c r="AN10" s="192">
        <f>SUM(B10,D10,F10,H10,J10,L10,N10,P10,R10,T10,V10,X10,Z10,AB10,AD10,AF10,AH10,AJ10,AL10)</f>
        <v>20</v>
      </c>
      <c r="AO10" s="559">
        <f>SUM(C10,E10,G10,I10,K10,M10,O10,Q10,S10,U10,W10,Y10,AA10,AC10,AE10,AG10,AI10,AK10,AM10)</f>
        <v>95.7</v>
      </c>
      <c r="AP10" s="312"/>
      <c r="AQ10" s="312"/>
      <c r="AS10" s="629"/>
      <c r="AT10" s="83"/>
    </row>
    <row r="11" spans="1:46" s="61" customFormat="1" ht="24.75" customHeight="1">
      <c r="A11" s="125" t="s">
        <v>175</v>
      </c>
      <c r="B11" s="183"/>
      <c r="C11" s="604"/>
      <c r="D11" s="14"/>
      <c r="E11" s="604"/>
      <c r="F11" s="183"/>
      <c r="G11" s="604"/>
      <c r="H11" s="17"/>
      <c r="I11" s="623"/>
      <c r="J11" s="17"/>
      <c r="K11" s="14"/>
      <c r="L11" s="14"/>
      <c r="M11" s="604"/>
      <c r="N11" s="14"/>
      <c r="O11" s="604"/>
      <c r="P11" s="14"/>
      <c r="Q11" s="604"/>
      <c r="R11" s="14"/>
      <c r="S11" s="604"/>
      <c r="T11" s="14"/>
      <c r="U11" s="604"/>
      <c r="V11" s="14"/>
      <c r="W11" s="604"/>
      <c r="X11" s="13"/>
      <c r="Y11" s="533"/>
      <c r="Z11" s="13"/>
      <c r="AA11" s="533"/>
      <c r="AB11" s="13"/>
      <c r="AC11" s="533"/>
      <c r="AD11" s="13"/>
      <c r="AE11" s="533"/>
      <c r="AF11" s="13"/>
      <c r="AG11" s="533"/>
      <c r="AH11" s="13"/>
      <c r="AI11" s="533"/>
      <c r="AJ11" s="13"/>
      <c r="AK11" s="533"/>
      <c r="AL11" s="13"/>
      <c r="AM11" s="533"/>
      <c r="AN11" s="100"/>
      <c r="AO11" s="507"/>
      <c r="AP11"/>
      <c r="AQ11"/>
      <c r="AR11" s="8"/>
      <c r="AS11" s="87"/>
      <c r="AT11" s="156"/>
    </row>
    <row r="12" spans="1:46" s="61" customFormat="1" ht="24.75" customHeight="1">
      <c r="A12" s="1089" t="s">
        <v>99</v>
      </c>
      <c r="B12" s="183"/>
      <c r="C12" s="604"/>
      <c r="D12" s="14"/>
      <c r="E12" s="604"/>
      <c r="F12" s="183"/>
      <c r="G12" s="604"/>
      <c r="H12" s="17"/>
      <c r="I12" s="623"/>
      <c r="J12" s="17"/>
      <c r="K12" s="14"/>
      <c r="L12" s="14"/>
      <c r="M12" s="604"/>
      <c r="N12" s="14"/>
      <c r="O12" s="604"/>
      <c r="P12" s="14"/>
      <c r="Q12" s="604"/>
      <c r="R12" s="14"/>
      <c r="S12" s="604"/>
      <c r="T12" s="14"/>
      <c r="U12" s="604"/>
      <c r="V12" s="14"/>
      <c r="W12" s="604"/>
      <c r="X12" s="13"/>
      <c r="Y12" s="533"/>
      <c r="Z12" s="13">
        <v>2</v>
      </c>
      <c r="AA12" s="533">
        <v>240.6</v>
      </c>
      <c r="AB12" s="13"/>
      <c r="AC12" s="533"/>
      <c r="AD12" s="13"/>
      <c r="AE12" s="533"/>
      <c r="AF12" s="13"/>
      <c r="AG12" s="533"/>
      <c r="AH12" s="13"/>
      <c r="AI12" s="533"/>
      <c r="AJ12" s="13"/>
      <c r="AK12" s="533"/>
      <c r="AL12" s="13"/>
      <c r="AM12" s="533"/>
      <c r="AN12" s="100">
        <f>SUM(B12,D12,F12,H12,J12,L12,N12,P12,R12,T12,V12,X12,Z12,AB12,AD12,AF12,AH12,AJ12,AL12)</f>
        <v>2</v>
      </c>
      <c r="AO12" s="507">
        <f>SUM(C12,E12,G12,I12,K12,M12,O12,Q12,S12,U12,W12,Y12,AA12,AC12,AE12,AG12,AI12,AK12,AM12)</f>
        <v>240.6</v>
      </c>
      <c r="AP12"/>
      <c r="AQ12"/>
      <c r="AR12" s="8"/>
      <c r="AS12" s="87"/>
      <c r="AT12" s="156"/>
    </row>
    <row r="13" spans="1:46" s="61" customFormat="1" ht="24.75" customHeight="1">
      <c r="A13" s="1089" t="s">
        <v>94</v>
      </c>
      <c r="B13" s="183"/>
      <c r="C13" s="604"/>
      <c r="D13" s="14"/>
      <c r="E13" s="604"/>
      <c r="F13" s="183">
        <v>2</v>
      </c>
      <c r="G13" s="604">
        <v>153.6</v>
      </c>
      <c r="H13" s="17">
        <v>7</v>
      </c>
      <c r="I13" s="623">
        <v>802.4</v>
      </c>
      <c r="J13" s="17"/>
      <c r="K13" s="14"/>
      <c r="L13" s="14"/>
      <c r="M13" s="604"/>
      <c r="N13" s="14"/>
      <c r="O13" s="604"/>
      <c r="P13" s="14">
        <v>3</v>
      </c>
      <c r="Q13" s="604">
        <v>220</v>
      </c>
      <c r="R13" s="14"/>
      <c r="S13" s="604"/>
      <c r="T13" s="14"/>
      <c r="U13" s="604"/>
      <c r="V13" s="14">
        <v>2</v>
      </c>
      <c r="W13" s="604">
        <v>352.6</v>
      </c>
      <c r="X13" s="13"/>
      <c r="Y13" s="533"/>
      <c r="Z13" s="13">
        <v>8</v>
      </c>
      <c r="AA13" s="533">
        <v>585.3</v>
      </c>
      <c r="AB13" s="13">
        <v>3</v>
      </c>
      <c r="AC13" s="533">
        <v>151.1</v>
      </c>
      <c r="AD13" s="13">
        <v>3</v>
      </c>
      <c r="AE13" s="533">
        <v>195.4</v>
      </c>
      <c r="AF13" s="13"/>
      <c r="AG13" s="533"/>
      <c r="AH13" s="13"/>
      <c r="AI13" s="533"/>
      <c r="AJ13" s="13">
        <v>7</v>
      </c>
      <c r="AK13" s="533">
        <v>377.7</v>
      </c>
      <c r="AL13" s="13"/>
      <c r="AM13" s="533"/>
      <c r="AN13" s="100">
        <f aca="true" t="shared" si="1" ref="AN13:AN18">SUM(B13,D13,F13,H13,J13,L13,N13,P13,R13,T13,V13,X13,Z13,AB13,AD13,AF13,AH13,AJ13,AL13)</f>
        <v>35</v>
      </c>
      <c r="AO13" s="507">
        <f aca="true" t="shared" si="2" ref="AO13:AO18">SUM(C13,E13,G13,I13,K13,M13,O13,Q13,S13,U13,W13,Y13,AA13,AC13,AE13,AG13,AI13,AK13,AM13)</f>
        <v>2838.0999999999995</v>
      </c>
      <c r="AP13"/>
      <c r="AQ13"/>
      <c r="AR13" s="8"/>
      <c r="AS13" s="87"/>
      <c r="AT13" s="156"/>
    </row>
    <row r="14" spans="1:46" s="104" customFormat="1" ht="24.75" customHeight="1">
      <c r="A14" s="356" t="s">
        <v>234</v>
      </c>
      <c r="B14" s="183"/>
      <c r="C14" s="533">
        <v>9.2</v>
      </c>
      <c r="D14" s="13">
        <v>1</v>
      </c>
      <c r="E14" s="533">
        <v>21.7</v>
      </c>
      <c r="F14" s="13"/>
      <c r="G14" s="533"/>
      <c r="H14" s="13"/>
      <c r="I14" s="533"/>
      <c r="J14" s="13"/>
      <c r="K14" s="13"/>
      <c r="L14" s="13"/>
      <c r="M14" s="533"/>
      <c r="N14" s="13"/>
      <c r="O14" s="533">
        <v>437.1</v>
      </c>
      <c r="P14" s="13"/>
      <c r="Q14" s="533"/>
      <c r="R14" s="13"/>
      <c r="S14" s="533"/>
      <c r="T14" s="13"/>
      <c r="U14" s="533"/>
      <c r="V14" s="13"/>
      <c r="W14" s="533"/>
      <c r="X14" s="13"/>
      <c r="Y14" s="533"/>
      <c r="Z14" s="13"/>
      <c r="AA14" s="533"/>
      <c r="AB14" s="13"/>
      <c r="AC14" s="533"/>
      <c r="AD14" s="13"/>
      <c r="AE14" s="533">
        <v>221</v>
      </c>
      <c r="AF14" s="13"/>
      <c r="AG14" s="533"/>
      <c r="AH14" s="13"/>
      <c r="AI14" s="533"/>
      <c r="AJ14" s="13"/>
      <c r="AK14" s="533">
        <v>363.4</v>
      </c>
      <c r="AL14" s="13"/>
      <c r="AM14" s="533"/>
      <c r="AN14" s="100">
        <f t="shared" si="1"/>
        <v>1</v>
      </c>
      <c r="AO14" s="507">
        <f t="shared" si="2"/>
        <v>1052.4</v>
      </c>
      <c r="AP14" s="218"/>
      <c r="AQ14" s="218"/>
      <c r="AR14" s="625"/>
      <c r="AS14" s="626"/>
      <c r="AT14" s="627"/>
    </row>
    <row r="15" spans="1:46" s="104" customFormat="1" ht="24.75" customHeight="1">
      <c r="A15" s="356" t="s">
        <v>387</v>
      </c>
      <c r="B15" s="183"/>
      <c r="C15" s="533"/>
      <c r="D15" s="13"/>
      <c r="E15" s="533"/>
      <c r="F15" s="13"/>
      <c r="G15" s="533"/>
      <c r="H15" s="13"/>
      <c r="I15" s="533"/>
      <c r="J15" s="13"/>
      <c r="K15" s="13"/>
      <c r="L15" s="13"/>
      <c r="M15" s="533"/>
      <c r="N15" s="13"/>
      <c r="O15" s="533"/>
      <c r="P15" s="13"/>
      <c r="Q15" s="533"/>
      <c r="R15" s="13"/>
      <c r="S15" s="533"/>
      <c r="T15" s="13"/>
      <c r="U15" s="533"/>
      <c r="V15" s="13"/>
      <c r="W15" s="533"/>
      <c r="X15" s="13"/>
      <c r="Y15" s="533"/>
      <c r="Z15" s="13">
        <v>1</v>
      </c>
      <c r="AA15" s="533">
        <v>132.1</v>
      </c>
      <c r="AB15" s="13"/>
      <c r="AC15" s="533"/>
      <c r="AD15" s="13"/>
      <c r="AE15" s="533"/>
      <c r="AF15" s="13"/>
      <c r="AG15" s="533"/>
      <c r="AH15" s="13"/>
      <c r="AI15" s="533"/>
      <c r="AJ15" s="13"/>
      <c r="AK15" s="533"/>
      <c r="AL15" s="13"/>
      <c r="AM15" s="533"/>
      <c r="AN15" s="100">
        <f t="shared" si="1"/>
        <v>1</v>
      </c>
      <c r="AO15" s="507">
        <f t="shared" si="2"/>
        <v>132.1</v>
      </c>
      <c r="AP15" s="218"/>
      <c r="AQ15" s="218"/>
      <c r="AR15" s="625"/>
      <c r="AS15" s="626"/>
      <c r="AT15" s="627"/>
    </row>
    <row r="16" spans="1:46" s="104" customFormat="1" ht="24.75" customHeight="1">
      <c r="A16" s="356" t="s">
        <v>391</v>
      </c>
      <c r="B16" s="183"/>
      <c r="C16" s="533"/>
      <c r="D16" s="13"/>
      <c r="E16" s="533"/>
      <c r="F16" s="13"/>
      <c r="G16" s="533"/>
      <c r="H16" s="13"/>
      <c r="I16" s="533"/>
      <c r="J16" s="13"/>
      <c r="K16" s="13"/>
      <c r="L16" s="13"/>
      <c r="M16" s="533"/>
      <c r="N16" s="13"/>
      <c r="O16" s="533"/>
      <c r="P16" s="13"/>
      <c r="Q16" s="533"/>
      <c r="R16" s="13"/>
      <c r="S16" s="533"/>
      <c r="T16" s="13"/>
      <c r="U16" s="533"/>
      <c r="V16" s="13"/>
      <c r="W16" s="533"/>
      <c r="X16" s="13"/>
      <c r="Y16" s="533"/>
      <c r="Z16" s="13">
        <v>3</v>
      </c>
      <c r="AA16" s="533">
        <v>455.7</v>
      </c>
      <c r="AB16" s="13"/>
      <c r="AC16" s="533"/>
      <c r="AD16" s="13"/>
      <c r="AE16" s="533"/>
      <c r="AF16" s="13"/>
      <c r="AG16" s="533"/>
      <c r="AH16" s="13"/>
      <c r="AI16" s="533"/>
      <c r="AJ16" s="13"/>
      <c r="AK16" s="533"/>
      <c r="AL16" s="13"/>
      <c r="AM16" s="533"/>
      <c r="AN16" s="100">
        <f t="shared" si="1"/>
        <v>3</v>
      </c>
      <c r="AO16" s="507">
        <f t="shared" si="2"/>
        <v>455.7</v>
      </c>
      <c r="AP16" s="218"/>
      <c r="AQ16" s="218"/>
      <c r="AR16" s="625"/>
      <c r="AS16" s="626"/>
      <c r="AT16" s="627"/>
    </row>
    <row r="17" spans="1:46" s="104" customFormat="1" ht="24.75" customHeight="1">
      <c r="A17" s="356" t="s">
        <v>394</v>
      </c>
      <c r="B17" s="183"/>
      <c r="C17" s="533"/>
      <c r="D17" s="13"/>
      <c r="E17" s="533"/>
      <c r="F17" s="13"/>
      <c r="G17" s="533"/>
      <c r="H17" s="13"/>
      <c r="I17" s="533"/>
      <c r="J17" s="13"/>
      <c r="K17" s="13"/>
      <c r="L17" s="13"/>
      <c r="M17" s="533"/>
      <c r="N17" s="13"/>
      <c r="O17" s="533"/>
      <c r="P17" s="13"/>
      <c r="Q17" s="533"/>
      <c r="R17" s="13"/>
      <c r="S17" s="533"/>
      <c r="T17" s="13"/>
      <c r="U17" s="533"/>
      <c r="V17" s="13"/>
      <c r="W17" s="533"/>
      <c r="X17" s="13"/>
      <c r="Y17" s="533"/>
      <c r="Z17" s="13">
        <v>2</v>
      </c>
      <c r="AA17" s="533">
        <v>211.2</v>
      </c>
      <c r="AB17" s="13"/>
      <c r="AC17" s="533">
        <v>431.2</v>
      </c>
      <c r="AD17" s="13"/>
      <c r="AE17" s="533"/>
      <c r="AF17" s="13"/>
      <c r="AG17" s="533"/>
      <c r="AH17" s="13">
        <v>0</v>
      </c>
      <c r="AI17" s="533"/>
      <c r="AJ17" s="13"/>
      <c r="AK17" s="533"/>
      <c r="AL17" s="13"/>
      <c r="AM17" s="533"/>
      <c r="AN17" s="100">
        <f t="shared" si="1"/>
        <v>2</v>
      </c>
      <c r="AO17" s="507">
        <f t="shared" si="2"/>
        <v>642.4</v>
      </c>
      <c r="AP17" s="218"/>
      <c r="AQ17" s="218"/>
      <c r="AR17" s="625"/>
      <c r="AS17" s="626"/>
      <c r="AT17" s="627"/>
    </row>
    <row r="18" spans="1:46" s="333" customFormat="1" ht="24.75" customHeight="1">
      <c r="A18" s="340" t="s">
        <v>399</v>
      </c>
      <c r="B18" s="295"/>
      <c r="C18" s="603"/>
      <c r="D18" s="19"/>
      <c r="E18" s="603"/>
      <c r="F18" s="19"/>
      <c r="G18" s="603"/>
      <c r="H18" s="19"/>
      <c r="I18" s="603"/>
      <c r="J18" s="19"/>
      <c r="K18" s="19"/>
      <c r="L18" s="19"/>
      <c r="M18" s="603"/>
      <c r="N18" s="19"/>
      <c r="O18" s="603"/>
      <c r="P18" s="19"/>
      <c r="Q18" s="603"/>
      <c r="R18" s="19"/>
      <c r="S18" s="603"/>
      <c r="T18" s="19"/>
      <c r="U18" s="603"/>
      <c r="V18" s="19"/>
      <c r="W18" s="603"/>
      <c r="X18" s="19"/>
      <c r="Y18" s="603"/>
      <c r="Z18" s="19">
        <v>2</v>
      </c>
      <c r="AA18" s="603">
        <v>251</v>
      </c>
      <c r="AB18" s="19"/>
      <c r="AC18" s="603"/>
      <c r="AD18" s="19"/>
      <c r="AE18" s="603"/>
      <c r="AF18" s="19"/>
      <c r="AG18" s="603"/>
      <c r="AH18" s="19"/>
      <c r="AI18" s="603"/>
      <c r="AJ18" s="19"/>
      <c r="AK18" s="603"/>
      <c r="AL18" s="19"/>
      <c r="AM18" s="603"/>
      <c r="AN18" s="100">
        <f t="shared" si="1"/>
        <v>2</v>
      </c>
      <c r="AO18" s="507">
        <f t="shared" si="2"/>
        <v>251</v>
      </c>
      <c r="AP18" s="312"/>
      <c r="AQ18" s="312"/>
      <c r="AR18" s="355"/>
      <c r="AS18" s="352"/>
      <c r="AT18" s="346"/>
    </row>
    <row r="19" spans="1:46" s="512" customFormat="1" ht="23.25" customHeight="1">
      <c r="A19" s="125" t="s">
        <v>408</v>
      </c>
      <c r="B19" s="293"/>
      <c r="C19" s="621"/>
      <c r="D19" s="203"/>
      <c r="E19" s="621"/>
      <c r="F19" s="203"/>
      <c r="G19" s="621"/>
      <c r="H19" s="203"/>
      <c r="I19" s="621"/>
      <c r="J19" s="203"/>
      <c r="K19" s="203"/>
      <c r="L19" s="203"/>
      <c r="M19" s="621"/>
      <c r="N19" s="203"/>
      <c r="O19" s="621"/>
      <c r="P19" s="203"/>
      <c r="Q19" s="621"/>
      <c r="R19" s="203"/>
      <c r="S19" s="621"/>
      <c r="T19" s="203"/>
      <c r="U19" s="621"/>
      <c r="V19" s="203"/>
      <c r="W19" s="621"/>
      <c r="X19" s="203"/>
      <c r="Y19" s="621"/>
      <c r="Z19" s="203"/>
      <c r="AA19" s="621"/>
      <c r="AB19" s="203"/>
      <c r="AC19" s="621"/>
      <c r="AD19" s="203"/>
      <c r="AE19" s="621"/>
      <c r="AF19" s="203"/>
      <c r="AG19" s="621"/>
      <c r="AH19" s="203"/>
      <c r="AI19" s="621"/>
      <c r="AJ19" s="203"/>
      <c r="AK19" s="621"/>
      <c r="AL19" s="203"/>
      <c r="AM19" s="621"/>
      <c r="AN19" s="98"/>
      <c r="AO19" s="506"/>
      <c r="AP19" s="218"/>
      <c r="AQ19" s="218"/>
      <c r="AR19" s="1090"/>
      <c r="AS19" s="626"/>
      <c r="AT19" s="1094"/>
    </row>
    <row r="20" spans="1:46" s="104" customFormat="1" ht="24.75" customHeight="1">
      <c r="A20" s="356" t="s">
        <v>381</v>
      </c>
      <c r="B20" s="183"/>
      <c r="C20" s="533"/>
      <c r="D20" s="13"/>
      <c r="E20" s="533"/>
      <c r="F20" s="13"/>
      <c r="G20" s="533"/>
      <c r="H20" s="13"/>
      <c r="I20" s="533"/>
      <c r="J20" s="13"/>
      <c r="K20" s="13"/>
      <c r="L20" s="13"/>
      <c r="M20" s="533"/>
      <c r="N20" s="13"/>
      <c r="O20" s="533"/>
      <c r="P20" s="13"/>
      <c r="Q20" s="533"/>
      <c r="R20" s="13"/>
      <c r="S20" s="533"/>
      <c r="T20" s="13"/>
      <c r="U20" s="533"/>
      <c r="V20" s="13"/>
      <c r="W20" s="533"/>
      <c r="X20" s="13"/>
      <c r="Y20" s="533"/>
      <c r="Z20" s="13">
        <v>2</v>
      </c>
      <c r="AA20" s="533">
        <v>344.6</v>
      </c>
      <c r="AB20" s="13"/>
      <c r="AC20" s="533"/>
      <c r="AD20" s="13"/>
      <c r="AE20" s="533"/>
      <c r="AF20" s="13"/>
      <c r="AG20" s="533"/>
      <c r="AH20" s="13"/>
      <c r="AI20" s="533"/>
      <c r="AJ20" s="13"/>
      <c r="AK20" s="533"/>
      <c r="AL20" s="13"/>
      <c r="AM20" s="533"/>
      <c r="AN20" s="100">
        <f>SUM(B20,D20,F20,H20,J20,L20,N20,P20,R20,T20,V20,X20,Z20,AB20,AD20,AF20,AH20,AJ20,AL20)</f>
        <v>2</v>
      </c>
      <c r="AO20" s="507">
        <f>SUM(C20,E20,G20,I20,K20,M20,O20,Q20,S20,U20,W20,Y20,AA20,AC20,AE20,AG20,AI20,AK20,AM20)</f>
        <v>344.6</v>
      </c>
      <c r="AP20" s="218"/>
      <c r="AQ20" s="218"/>
      <c r="AR20" s="625"/>
      <c r="AS20" s="626"/>
      <c r="AT20" s="627"/>
    </row>
    <row r="21" spans="1:46" s="104" customFormat="1" ht="24.75" customHeight="1">
      <c r="A21" s="356" t="s">
        <v>384</v>
      </c>
      <c r="B21" s="183"/>
      <c r="C21" s="533"/>
      <c r="D21" s="13"/>
      <c r="E21" s="533"/>
      <c r="F21" s="13"/>
      <c r="G21" s="533"/>
      <c r="H21" s="13"/>
      <c r="I21" s="533"/>
      <c r="J21" s="13"/>
      <c r="K21" s="13"/>
      <c r="L21" s="13"/>
      <c r="M21" s="533"/>
      <c r="N21" s="13"/>
      <c r="O21" s="533"/>
      <c r="P21" s="13"/>
      <c r="Q21" s="533"/>
      <c r="R21" s="13"/>
      <c r="S21" s="533"/>
      <c r="T21" s="13"/>
      <c r="U21" s="533"/>
      <c r="V21" s="13"/>
      <c r="W21" s="533"/>
      <c r="X21" s="13"/>
      <c r="Y21" s="533"/>
      <c r="Z21" s="13">
        <v>2</v>
      </c>
      <c r="AA21" s="533">
        <v>347.6</v>
      </c>
      <c r="AB21" s="13"/>
      <c r="AC21" s="533"/>
      <c r="AD21" s="13"/>
      <c r="AE21" s="533"/>
      <c r="AF21" s="13"/>
      <c r="AG21" s="533"/>
      <c r="AH21" s="13"/>
      <c r="AI21" s="533"/>
      <c r="AJ21" s="13"/>
      <c r="AK21" s="533"/>
      <c r="AL21" s="13"/>
      <c r="AM21" s="533"/>
      <c r="AN21" s="100">
        <f aca="true" t="shared" si="3" ref="AN21:AN27">SUM(B21,D21,F21,H21,J21,L21,N21,P21,R21,T21,V21,X21,Z21,AB21,AD21,AF21,AH21,AJ21,AL21)</f>
        <v>2</v>
      </c>
      <c r="AO21" s="507">
        <f aca="true" t="shared" si="4" ref="AO21:AO27">SUM(C21,E21,G21,I21,K21,M21,O21,Q21,S21,U21,W21,Y21,AA21,AC21,AE21,AG21,AI21,AK21,AM21)</f>
        <v>347.6</v>
      </c>
      <c r="AP21" s="218"/>
      <c r="AQ21" s="218"/>
      <c r="AR21" s="625"/>
      <c r="AS21" s="626"/>
      <c r="AT21" s="627"/>
    </row>
    <row r="22" spans="1:46" s="104" customFormat="1" ht="24.75" customHeight="1">
      <c r="A22" s="356" t="s">
        <v>385</v>
      </c>
      <c r="B22" s="183"/>
      <c r="C22" s="533"/>
      <c r="D22" s="13"/>
      <c r="E22" s="533"/>
      <c r="F22" s="13"/>
      <c r="G22" s="533"/>
      <c r="H22" s="13"/>
      <c r="I22" s="533"/>
      <c r="J22" s="13"/>
      <c r="K22" s="13"/>
      <c r="L22" s="13"/>
      <c r="M22" s="533"/>
      <c r="N22" s="13"/>
      <c r="O22" s="533"/>
      <c r="P22" s="13"/>
      <c r="Q22" s="533"/>
      <c r="R22" s="13"/>
      <c r="S22" s="533"/>
      <c r="T22" s="13"/>
      <c r="U22" s="533"/>
      <c r="V22" s="13"/>
      <c r="W22" s="533"/>
      <c r="X22" s="13"/>
      <c r="Y22" s="533"/>
      <c r="Z22" s="13">
        <v>2</v>
      </c>
      <c r="AA22" s="533">
        <v>297.4</v>
      </c>
      <c r="AB22" s="13"/>
      <c r="AC22" s="533"/>
      <c r="AD22" s="13"/>
      <c r="AE22" s="533"/>
      <c r="AF22" s="13"/>
      <c r="AG22" s="533"/>
      <c r="AH22" s="13"/>
      <c r="AI22" s="533"/>
      <c r="AJ22" s="13"/>
      <c r="AK22" s="533"/>
      <c r="AL22" s="13"/>
      <c r="AM22" s="533"/>
      <c r="AN22" s="100">
        <f t="shared" si="3"/>
        <v>2</v>
      </c>
      <c r="AO22" s="507">
        <f t="shared" si="4"/>
        <v>297.4</v>
      </c>
      <c r="AP22" s="218"/>
      <c r="AQ22" s="218"/>
      <c r="AR22" s="625"/>
      <c r="AS22" s="626"/>
      <c r="AT22" s="627"/>
    </row>
    <row r="23" spans="1:46" s="104" customFormat="1" ht="24.75" customHeight="1">
      <c r="A23" s="356" t="s">
        <v>388</v>
      </c>
      <c r="B23" s="183"/>
      <c r="C23" s="533"/>
      <c r="D23" s="13"/>
      <c r="E23" s="533"/>
      <c r="F23" s="13"/>
      <c r="G23" s="533"/>
      <c r="H23" s="13"/>
      <c r="I23" s="533"/>
      <c r="J23" s="13"/>
      <c r="K23" s="13"/>
      <c r="L23" s="13"/>
      <c r="M23" s="533"/>
      <c r="N23" s="13"/>
      <c r="O23" s="533"/>
      <c r="P23" s="13"/>
      <c r="Q23" s="533"/>
      <c r="R23" s="13"/>
      <c r="S23" s="533"/>
      <c r="T23" s="13"/>
      <c r="U23" s="533"/>
      <c r="V23" s="13"/>
      <c r="W23" s="533"/>
      <c r="X23" s="13"/>
      <c r="Y23" s="533"/>
      <c r="Z23" s="13">
        <v>2</v>
      </c>
      <c r="AA23" s="533">
        <v>324.4</v>
      </c>
      <c r="AB23" s="13"/>
      <c r="AC23" s="533"/>
      <c r="AD23" s="13"/>
      <c r="AE23" s="533"/>
      <c r="AF23" s="13"/>
      <c r="AG23" s="533"/>
      <c r="AH23" s="13"/>
      <c r="AI23" s="533"/>
      <c r="AJ23" s="13"/>
      <c r="AK23" s="533"/>
      <c r="AL23" s="13"/>
      <c r="AM23" s="533"/>
      <c r="AN23" s="100">
        <f t="shared" si="3"/>
        <v>2</v>
      </c>
      <c r="AO23" s="507">
        <f t="shared" si="4"/>
        <v>324.4</v>
      </c>
      <c r="AP23" s="218"/>
      <c r="AQ23" s="218"/>
      <c r="AR23" s="625"/>
      <c r="AS23" s="626"/>
      <c r="AT23" s="627"/>
    </row>
    <row r="24" spans="1:46" s="104" customFormat="1" ht="24.75" customHeight="1">
      <c r="A24" s="356" t="s">
        <v>389</v>
      </c>
      <c r="B24" s="183"/>
      <c r="C24" s="533"/>
      <c r="D24" s="13"/>
      <c r="E24" s="533"/>
      <c r="F24" s="13"/>
      <c r="G24" s="533"/>
      <c r="H24" s="13"/>
      <c r="I24" s="533"/>
      <c r="J24" s="13"/>
      <c r="K24" s="13"/>
      <c r="L24" s="13"/>
      <c r="M24" s="533"/>
      <c r="N24" s="13"/>
      <c r="O24" s="533"/>
      <c r="P24" s="13"/>
      <c r="Q24" s="533"/>
      <c r="R24" s="13"/>
      <c r="S24" s="533"/>
      <c r="T24" s="13"/>
      <c r="U24" s="533"/>
      <c r="V24" s="13"/>
      <c r="W24" s="533"/>
      <c r="X24" s="13"/>
      <c r="Y24" s="533"/>
      <c r="Z24" s="13">
        <v>3</v>
      </c>
      <c r="AA24" s="533">
        <v>618.7</v>
      </c>
      <c r="AB24" s="13"/>
      <c r="AC24" s="533"/>
      <c r="AD24" s="13"/>
      <c r="AE24" s="533"/>
      <c r="AF24" s="13"/>
      <c r="AG24" s="533"/>
      <c r="AH24" s="13"/>
      <c r="AI24" s="533"/>
      <c r="AJ24" s="13"/>
      <c r="AK24" s="533"/>
      <c r="AL24" s="13"/>
      <c r="AM24" s="533"/>
      <c r="AN24" s="100">
        <f t="shared" si="3"/>
        <v>3</v>
      </c>
      <c r="AO24" s="507">
        <f t="shared" si="4"/>
        <v>618.7</v>
      </c>
      <c r="AP24" s="218"/>
      <c r="AQ24" s="218"/>
      <c r="AR24" s="625"/>
      <c r="AS24" s="626"/>
      <c r="AT24" s="627"/>
    </row>
    <row r="25" spans="1:46" s="104" customFormat="1" ht="24.75" customHeight="1">
      <c r="A25" s="356" t="s">
        <v>390</v>
      </c>
      <c r="D25" s="183">
        <v>3</v>
      </c>
      <c r="E25" s="533">
        <v>463.2</v>
      </c>
      <c r="F25" s="13"/>
      <c r="G25" s="533"/>
      <c r="H25" s="13"/>
      <c r="I25" s="533"/>
      <c r="J25" s="13"/>
      <c r="K25" s="13"/>
      <c r="L25" s="13"/>
      <c r="M25" s="533"/>
      <c r="N25" s="13"/>
      <c r="O25" s="533"/>
      <c r="P25" s="13"/>
      <c r="Q25" s="533"/>
      <c r="R25" s="13"/>
      <c r="S25" s="533"/>
      <c r="T25" s="13"/>
      <c r="U25" s="533"/>
      <c r="V25" s="13"/>
      <c r="W25" s="533"/>
      <c r="X25" s="13"/>
      <c r="Y25" s="533"/>
      <c r="Z25" s="13"/>
      <c r="AA25" s="533"/>
      <c r="AB25" s="13"/>
      <c r="AC25" s="533"/>
      <c r="AD25" s="13"/>
      <c r="AE25" s="533"/>
      <c r="AF25" s="13">
        <v>5</v>
      </c>
      <c r="AG25" s="533">
        <v>188.9</v>
      </c>
      <c r="AH25" s="13"/>
      <c r="AI25" s="533"/>
      <c r="AJ25" s="13"/>
      <c r="AK25" s="533"/>
      <c r="AL25" s="13"/>
      <c r="AM25" s="533"/>
      <c r="AN25" s="100">
        <f>SUM(B25,D25,F25,H25,J25,L25,N25,P25,R25,T25,V25,X25,Z25,AB25,AD25,AF25,AH25,AJ25,AL25)</f>
        <v>8</v>
      </c>
      <c r="AO25" s="507">
        <f>SUM(C25,E25,G25,I25,K25,M25,O25,Q25,S25,U25,W25,Y25,AA25,AC25,AE25,AG25,AI25,AK25,AM25)</f>
        <v>652.1</v>
      </c>
      <c r="AP25" s="218"/>
      <c r="AQ25" s="218"/>
      <c r="AR25" s="625"/>
      <c r="AS25" s="626"/>
      <c r="AT25" s="627"/>
    </row>
    <row r="26" spans="1:46" s="104" customFormat="1" ht="24.75" customHeight="1">
      <c r="A26" s="356" t="s">
        <v>393</v>
      </c>
      <c r="B26" s="183"/>
      <c r="C26" s="533"/>
      <c r="D26" s="13"/>
      <c r="E26" s="533"/>
      <c r="F26" s="13"/>
      <c r="G26" s="533"/>
      <c r="H26" s="13"/>
      <c r="I26" s="533"/>
      <c r="J26" s="13"/>
      <c r="K26" s="13"/>
      <c r="L26" s="13"/>
      <c r="M26" s="533"/>
      <c r="N26" s="13"/>
      <c r="O26" s="533"/>
      <c r="P26" s="13"/>
      <c r="Q26" s="533"/>
      <c r="R26" s="13"/>
      <c r="S26" s="533"/>
      <c r="T26" s="13"/>
      <c r="U26" s="533"/>
      <c r="V26" s="13"/>
      <c r="W26" s="533"/>
      <c r="X26" s="13"/>
      <c r="Y26" s="533"/>
      <c r="Z26" s="13">
        <v>1</v>
      </c>
      <c r="AA26" s="533">
        <v>214.3</v>
      </c>
      <c r="AB26" s="13"/>
      <c r="AC26" s="533"/>
      <c r="AD26" s="13"/>
      <c r="AE26" s="533"/>
      <c r="AF26" s="13"/>
      <c r="AG26" s="533"/>
      <c r="AH26" s="13"/>
      <c r="AI26" s="533"/>
      <c r="AJ26" s="13"/>
      <c r="AK26" s="533"/>
      <c r="AL26" s="13"/>
      <c r="AM26" s="533"/>
      <c r="AN26" s="100">
        <f t="shared" si="3"/>
        <v>1</v>
      </c>
      <c r="AO26" s="507">
        <f t="shared" si="4"/>
        <v>214.3</v>
      </c>
      <c r="AP26" s="218"/>
      <c r="AQ26" s="218"/>
      <c r="AR26" s="625"/>
      <c r="AS26" s="626"/>
      <c r="AT26" s="627"/>
    </row>
    <row r="27" spans="1:46" s="104" customFormat="1" ht="24.75" customHeight="1">
      <c r="A27" s="356" t="s">
        <v>283</v>
      </c>
      <c r="B27" s="183"/>
      <c r="C27" s="533"/>
      <c r="D27" s="13"/>
      <c r="E27" s="533"/>
      <c r="F27" s="13"/>
      <c r="G27" s="533"/>
      <c r="H27" s="13"/>
      <c r="I27" s="533"/>
      <c r="J27" s="13"/>
      <c r="K27" s="13"/>
      <c r="L27" s="13"/>
      <c r="M27" s="533"/>
      <c r="N27" s="13"/>
      <c r="O27" s="533">
        <v>12.9</v>
      </c>
      <c r="P27" s="13"/>
      <c r="Q27" s="533"/>
      <c r="R27" s="13"/>
      <c r="S27" s="533"/>
      <c r="T27" s="13"/>
      <c r="U27" s="533"/>
      <c r="V27" s="13"/>
      <c r="W27" s="533"/>
      <c r="X27" s="13"/>
      <c r="Y27" s="533"/>
      <c r="Z27" s="13">
        <v>1</v>
      </c>
      <c r="AA27" s="533">
        <v>171.8</v>
      </c>
      <c r="AB27" s="13"/>
      <c r="AC27" s="533"/>
      <c r="AD27" s="13"/>
      <c r="AE27" s="533"/>
      <c r="AF27" s="13"/>
      <c r="AG27" s="533"/>
      <c r="AH27" s="13">
        <v>0</v>
      </c>
      <c r="AI27" s="533">
        <v>176.2</v>
      </c>
      <c r="AJ27" s="13"/>
      <c r="AK27" s="533"/>
      <c r="AL27" s="13"/>
      <c r="AM27" s="533"/>
      <c r="AN27" s="100">
        <f t="shared" si="3"/>
        <v>1</v>
      </c>
      <c r="AO27" s="507">
        <f t="shared" si="4"/>
        <v>360.9</v>
      </c>
      <c r="AP27" s="218"/>
      <c r="AQ27" s="218"/>
      <c r="AR27" s="625"/>
      <c r="AS27" s="626"/>
      <c r="AT27" s="627"/>
    </row>
    <row r="28" spans="1:46" s="104" customFormat="1" ht="24.75" customHeight="1">
      <c r="A28" s="356" t="s">
        <v>398</v>
      </c>
      <c r="B28" s="183"/>
      <c r="C28" s="533"/>
      <c r="D28" s="13"/>
      <c r="E28" s="533"/>
      <c r="F28" s="13"/>
      <c r="G28" s="533"/>
      <c r="H28" s="13"/>
      <c r="I28" s="533"/>
      <c r="J28" s="13"/>
      <c r="K28" s="13"/>
      <c r="L28" s="13"/>
      <c r="M28" s="533"/>
      <c r="N28" s="13"/>
      <c r="O28" s="533"/>
      <c r="P28" s="13"/>
      <c r="Q28" s="533"/>
      <c r="R28" s="13"/>
      <c r="S28" s="533"/>
      <c r="T28" s="13"/>
      <c r="U28" s="533"/>
      <c r="V28" s="13"/>
      <c r="W28" s="533"/>
      <c r="X28" s="13"/>
      <c r="Y28" s="533"/>
      <c r="Z28" s="13">
        <v>1</v>
      </c>
      <c r="AA28" s="533">
        <v>157.3</v>
      </c>
      <c r="AB28" s="13"/>
      <c r="AC28" s="533"/>
      <c r="AD28" s="13"/>
      <c r="AE28" s="533"/>
      <c r="AF28" s="13"/>
      <c r="AG28" s="533"/>
      <c r="AH28" s="13"/>
      <c r="AI28" s="533"/>
      <c r="AJ28" s="13"/>
      <c r="AK28" s="533"/>
      <c r="AL28" s="13"/>
      <c r="AM28" s="533"/>
      <c r="AN28" s="100">
        <f aca="true" t="shared" si="5" ref="AN28:AO31">SUM(B28,D28,F28,H28,J28,L28,N28,P28,R28,T28,V28,X28,Z28,AB28,AD28,AF28,AH28,AJ28,AL28)</f>
        <v>1</v>
      </c>
      <c r="AO28" s="507">
        <f t="shared" si="5"/>
        <v>157.3</v>
      </c>
      <c r="AP28" s="218"/>
      <c r="AQ28" s="218"/>
      <c r="AR28" s="625"/>
      <c r="AS28" s="626"/>
      <c r="AT28" s="627"/>
    </row>
    <row r="29" spans="1:46" s="104" customFormat="1" ht="24.75" customHeight="1">
      <c r="A29" s="356" t="s">
        <v>400</v>
      </c>
      <c r="B29" s="183"/>
      <c r="C29" s="533"/>
      <c r="D29" s="13"/>
      <c r="E29" s="533"/>
      <c r="F29" s="13"/>
      <c r="G29" s="533"/>
      <c r="H29" s="13"/>
      <c r="I29" s="533"/>
      <c r="J29" s="13"/>
      <c r="K29" s="13"/>
      <c r="L29" s="13"/>
      <c r="M29" s="533"/>
      <c r="N29" s="13"/>
      <c r="O29" s="533"/>
      <c r="P29" s="13"/>
      <c r="Q29" s="533"/>
      <c r="R29" s="13"/>
      <c r="S29" s="533"/>
      <c r="T29" s="13"/>
      <c r="U29" s="533"/>
      <c r="V29" s="13"/>
      <c r="W29" s="533"/>
      <c r="X29" s="13"/>
      <c r="Y29" s="533"/>
      <c r="Z29" s="13"/>
      <c r="AA29" s="533"/>
      <c r="AB29" s="13"/>
      <c r="AC29" s="533"/>
      <c r="AD29" s="13"/>
      <c r="AE29" s="533"/>
      <c r="AF29" s="13"/>
      <c r="AG29" s="533"/>
      <c r="AH29" s="13"/>
      <c r="AI29" s="533"/>
      <c r="AJ29" s="13">
        <v>6</v>
      </c>
      <c r="AK29" s="533">
        <v>42.2</v>
      </c>
      <c r="AL29" s="13"/>
      <c r="AM29" s="533"/>
      <c r="AN29" s="100">
        <f t="shared" si="5"/>
        <v>6</v>
      </c>
      <c r="AO29" s="507">
        <f t="shared" si="5"/>
        <v>42.2</v>
      </c>
      <c r="AP29" s="218"/>
      <c r="AQ29" s="218"/>
      <c r="AR29" s="625"/>
      <c r="AS29" s="626"/>
      <c r="AT29" s="627"/>
    </row>
    <row r="30" spans="1:46" s="104" customFormat="1" ht="24.75" customHeight="1">
      <c r="A30" s="356" t="s">
        <v>401</v>
      </c>
      <c r="B30" s="183"/>
      <c r="C30" s="533"/>
      <c r="D30" s="13"/>
      <c r="E30" s="533"/>
      <c r="F30" s="13"/>
      <c r="G30" s="533"/>
      <c r="H30" s="13"/>
      <c r="I30" s="533"/>
      <c r="J30" s="13"/>
      <c r="K30" s="13"/>
      <c r="L30" s="13"/>
      <c r="M30" s="533"/>
      <c r="N30" s="13"/>
      <c r="O30" s="533"/>
      <c r="P30" s="13"/>
      <c r="Q30" s="533"/>
      <c r="R30" s="13"/>
      <c r="S30" s="533"/>
      <c r="T30" s="13"/>
      <c r="U30" s="533"/>
      <c r="V30" s="13"/>
      <c r="W30" s="533"/>
      <c r="X30" s="13">
        <v>6</v>
      </c>
      <c r="Y30" s="533">
        <v>372.6</v>
      </c>
      <c r="Z30" s="13">
        <v>1</v>
      </c>
      <c r="AA30" s="533">
        <v>210.9</v>
      </c>
      <c r="AB30" s="13"/>
      <c r="AC30" s="533"/>
      <c r="AD30" s="13"/>
      <c r="AE30" s="533"/>
      <c r="AF30" s="13"/>
      <c r="AG30" s="533"/>
      <c r="AH30" s="13"/>
      <c r="AI30" s="533"/>
      <c r="AJ30" s="13"/>
      <c r="AK30" s="533"/>
      <c r="AL30" s="13"/>
      <c r="AM30" s="533"/>
      <c r="AN30" s="100">
        <f t="shared" si="5"/>
        <v>7</v>
      </c>
      <c r="AO30" s="507">
        <f t="shared" si="5"/>
        <v>583.5</v>
      </c>
      <c r="AP30" s="218"/>
      <c r="AQ30" s="218"/>
      <c r="AR30" s="625"/>
      <c r="AS30" s="626"/>
      <c r="AT30" s="627"/>
    </row>
    <row r="31" spans="1:46" s="333" customFormat="1" ht="24.75" customHeight="1">
      <c r="A31" s="340" t="s">
        <v>403</v>
      </c>
      <c r="B31" s="183"/>
      <c r="C31" s="533"/>
      <c r="D31" s="13"/>
      <c r="E31" s="533"/>
      <c r="F31" s="13"/>
      <c r="G31" s="533"/>
      <c r="H31" s="13"/>
      <c r="I31" s="533"/>
      <c r="J31" s="13"/>
      <c r="K31" s="13"/>
      <c r="L31" s="13"/>
      <c r="M31" s="533"/>
      <c r="N31" s="13"/>
      <c r="O31" s="533"/>
      <c r="P31" s="13"/>
      <c r="Q31" s="533"/>
      <c r="R31" s="13"/>
      <c r="S31" s="533"/>
      <c r="T31" s="13"/>
      <c r="U31" s="533"/>
      <c r="V31" s="13"/>
      <c r="W31" s="533"/>
      <c r="X31" s="13"/>
      <c r="Y31" s="533"/>
      <c r="Z31" s="13">
        <v>1</v>
      </c>
      <c r="AA31" s="533">
        <v>156.5</v>
      </c>
      <c r="AB31" s="13"/>
      <c r="AC31" s="533"/>
      <c r="AD31" s="13"/>
      <c r="AE31" s="533"/>
      <c r="AF31" s="13"/>
      <c r="AG31" s="533"/>
      <c r="AH31" s="13"/>
      <c r="AI31" s="533"/>
      <c r="AJ31" s="13"/>
      <c r="AK31" s="533"/>
      <c r="AL31" s="13"/>
      <c r="AM31" s="533"/>
      <c r="AN31" s="100">
        <f t="shared" si="5"/>
        <v>1</v>
      </c>
      <c r="AO31" s="507">
        <f t="shared" si="5"/>
        <v>156.5</v>
      </c>
      <c r="AP31" s="312"/>
      <c r="AQ31" s="312"/>
      <c r="AR31" s="355"/>
      <c r="AS31" s="352"/>
      <c r="AT31" s="346"/>
    </row>
    <row r="32" spans="1:46" s="326" customFormat="1" ht="23.25" customHeight="1">
      <c r="A32" s="125" t="s">
        <v>409</v>
      </c>
      <c r="B32" s="293"/>
      <c r="C32" s="621"/>
      <c r="D32" s="203"/>
      <c r="E32" s="621"/>
      <c r="F32" s="203"/>
      <c r="G32" s="621"/>
      <c r="H32" s="203"/>
      <c r="I32" s="621"/>
      <c r="J32" s="203"/>
      <c r="K32" s="203"/>
      <c r="L32" s="203"/>
      <c r="M32" s="621"/>
      <c r="N32" s="203"/>
      <c r="O32" s="621"/>
      <c r="P32" s="203"/>
      <c r="Q32" s="621"/>
      <c r="R32" s="203"/>
      <c r="S32" s="621"/>
      <c r="T32" s="203"/>
      <c r="U32" s="621"/>
      <c r="V32" s="203"/>
      <c r="W32" s="621"/>
      <c r="X32" s="203"/>
      <c r="Y32" s="621"/>
      <c r="Z32" s="203"/>
      <c r="AA32" s="621"/>
      <c r="AB32" s="203"/>
      <c r="AC32" s="621"/>
      <c r="AD32" s="203"/>
      <c r="AE32" s="621"/>
      <c r="AF32" s="203"/>
      <c r="AG32" s="621"/>
      <c r="AH32" s="203"/>
      <c r="AI32" s="621"/>
      <c r="AJ32" s="203"/>
      <c r="AK32" s="621"/>
      <c r="AL32" s="203"/>
      <c r="AM32" s="621"/>
      <c r="AN32" s="98"/>
      <c r="AO32" s="506"/>
      <c r="AP32" s="312"/>
      <c r="AQ32" s="312"/>
      <c r="AR32" s="351"/>
      <c r="AS32" s="352"/>
      <c r="AT32" s="353"/>
    </row>
    <row r="33" spans="1:46" s="333" customFormat="1" ht="24.75" customHeight="1">
      <c r="A33" s="340" t="s">
        <v>402</v>
      </c>
      <c r="B33" s="183"/>
      <c r="C33" s="533"/>
      <c r="D33" s="13"/>
      <c r="E33" s="533"/>
      <c r="F33" s="13"/>
      <c r="G33" s="533"/>
      <c r="H33" s="13"/>
      <c r="I33" s="533"/>
      <c r="J33" s="13"/>
      <c r="K33" s="13"/>
      <c r="L33" s="13"/>
      <c r="M33" s="533"/>
      <c r="N33" s="13"/>
      <c r="O33" s="533"/>
      <c r="P33" s="13"/>
      <c r="Q33" s="533"/>
      <c r="R33" s="13"/>
      <c r="S33" s="533"/>
      <c r="T33" s="13"/>
      <c r="U33" s="533"/>
      <c r="V33" s="13"/>
      <c r="W33" s="533"/>
      <c r="X33" s="13"/>
      <c r="Y33" s="533"/>
      <c r="Z33" s="13"/>
      <c r="AA33" s="533"/>
      <c r="AB33" s="13"/>
      <c r="AC33" s="533"/>
      <c r="AD33" s="13"/>
      <c r="AE33" s="533"/>
      <c r="AF33" s="13"/>
      <c r="AG33" s="533"/>
      <c r="AH33" s="13">
        <v>15</v>
      </c>
      <c r="AI33" s="533">
        <v>679.7</v>
      </c>
      <c r="AJ33" s="13"/>
      <c r="AK33" s="533"/>
      <c r="AL33" s="13"/>
      <c r="AM33" s="533"/>
      <c r="AN33" s="100">
        <f>SUM(B33,D33,F33,H33,J33,L33,N33,P33,R33,T33,V33,X33,Z33,AB33,AD33,AF33,AH33,AJ33,AL33)</f>
        <v>15</v>
      </c>
      <c r="AO33" s="507">
        <f>SUM(C33,E33,G33,I33,K33,M33,O33,Q33,S33,U33,W33,Y33,AA33,AC33,AE33,AG33,AI33,AK33,AM33)</f>
        <v>679.7</v>
      </c>
      <c r="AP33" s="312"/>
      <c r="AQ33" s="312"/>
      <c r="AR33" s="355"/>
      <c r="AS33" s="352"/>
      <c r="AT33" s="346"/>
    </row>
    <row r="34" spans="1:46" s="512" customFormat="1" ht="23.25" customHeight="1">
      <c r="A34" s="125" t="s">
        <v>410</v>
      </c>
      <c r="B34" s="293"/>
      <c r="C34" s="621"/>
      <c r="D34" s="203"/>
      <c r="E34" s="621"/>
      <c r="F34" s="203"/>
      <c r="G34" s="621"/>
      <c r="H34" s="203"/>
      <c r="I34" s="621"/>
      <c r="J34" s="203"/>
      <c r="K34" s="203"/>
      <c r="L34" s="203"/>
      <c r="M34" s="621"/>
      <c r="N34" s="203"/>
      <c r="O34" s="621"/>
      <c r="P34" s="203"/>
      <c r="Q34" s="621"/>
      <c r="R34" s="203"/>
      <c r="S34" s="621"/>
      <c r="T34" s="203"/>
      <c r="U34" s="621"/>
      <c r="V34" s="203"/>
      <c r="W34" s="621"/>
      <c r="X34" s="203"/>
      <c r="Y34" s="621"/>
      <c r="Z34" s="203"/>
      <c r="AA34" s="621"/>
      <c r="AB34" s="203"/>
      <c r="AC34" s="621"/>
      <c r="AD34" s="203"/>
      <c r="AE34" s="621"/>
      <c r="AF34" s="203"/>
      <c r="AG34" s="621"/>
      <c r="AH34" s="203"/>
      <c r="AI34" s="621"/>
      <c r="AJ34" s="203"/>
      <c r="AK34" s="621"/>
      <c r="AL34" s="203"/>
      <c r="AM34" s="621"/>
      <c r="AN34" s="98"/>
      <c r="AO34" s="506"/>
      <c r="AP34" s="218"/>
      <c r="AQ34" s="218"/>
      <c r="AR34" s="1090"/>
      <c r="AS34" s="626"/>
      <c r="AT34" s="1094"/>
    </row>
    <row r="35" spans="1:45" s="512" customFormat="1" ht="23.25" customHeight="1">
      <c r="A35" s="356" t="s">
        <v>378</v>
      </c>
      <c r="B35" s="183"/>
      <c r="C35" s="533"/>
      <c r="D35" s="13"/>
      <c r="E35" s="533"/>
      <c r="F35" s="13"/>
      <c r="G35" s="533"/>
      <c r="H35" s="13"/>
      <c r="I35" s="533"/>
      <c r="J35" s="13"/>
      <c r="K35" s="13"/>
      <c r="L35" s="13"/>
      <c r="M35" s="533"/>
      <c r="N35" s="13"/>
      <c r="O35" s="533"/>
      <c r="P35" s="13"/>
      <c r="Q35" s="533"/>
      <c r="R35" s="13"/>
      <c r="S35" s="533"/>
      <c r="T35" s="13"/>
      <c r="U35" s="533"/>
      <c r="V35" s="13"/>
      <c r="W35" s="533"/>
      <c r="X35" s="13"/>
      <c r="Y35" s="533"/>
      <c r="Z35" s="13"/>
      <c r="AA35" s="533"/>
      <c r="AB35" s="13"/>
      <c r="AC35" s="533"/>
      <c r="AD35" s="13"/>
      <c r="AE35" s="533"/>
      <c r="AF35" s="13">
        <v>2</v>
      </c>
      <c r="AG35" s="533">
        <v>280.2</v>
      </c>
      <c r="AH35" s="13"/>
      <c r="AI35" s="533"/>
      <c r="AJ35" s="13"/>
      <c r="AK35" s="533"/>
      <c r="AL35" s="13"/>
      <c r="AM35" s="533"/>
      <c r="AN35" s="100">
        <f>SUM(B35,D35,F35,H35,J35,L35,N35,P35,R35,T35,V35,X35,Z35,AB35,AD35,AF35,AH35,AJ35,AL35)</f>
        <v>2</v>
      </c>
      <c r="AO35" s="507">
        <f>SUM(C35,E35,G35,I35,K35,M35,O35,Q35,S35,U35,W35,Y35,AA35,AC35,AE35,AG35,AI35,AK35,AM35)</f>
        <v>280.2</v>
      </c>
      <c r="AP35" s="218"/>
      <c r="AQ35" s="218"/>
      <c r="AR35" s="1090"/>
      <c r="AS35" s="1091"/>
    </row>
    <row r="36" spans="1:45" s="512" customFormat="1" ht="23.25" customHeight="1">
      <c r="A36" s="356" t="s">
        <v>379</v>
      </c>
      <c r="B36" s="183"/>
      <c r="C36" s="533"/>
      <c r="D36" s="13"/>
      <c r="E36" s="533"/>
      <c r="F36" s="13"/>
      <c r="G36" s="533"/>
      <c r="H36" s="13"/>
      <c r="I36" s="533"/>
      <c r="J36" s="13"/>
      <c r="K36" s="13"/>
      <c r="L36" s="13"/>
      <c r="M36" s="533"/>
      <c r="N36" s="13"/>
      <c r="O36" s="533"/>
      <c r="P36" s="13"/>
      <c r="Q36" s="533"/>
      <c r="R36" s="13"/>
      <c r="S36" s="533"/>
      <c r="T36" s="13"/>
      <c r="U36" s="533"/>
      <c r="V36" s="13"/>
      <c r="W36" s="533"/>
      <c r="X36" s="13"/>
      <c r="Y36" s="533"/>
      <c r="Z36" s="13"/>
      <c r="AA36" s="533"/>
      <c r="AB36" s="13"/>
      <c r="AC36" s="533"/>
      <c r="AD36" s="13"/>
      <c r="AE36" s="533"/>
      <c r="AF36" s="13">
        <v>1</v>
      </c>
      <c r="AG36" s="533">
        <v>109.3</v>
      </c>
      <c r="AH36" s="13"/>
      <c r="AI36" s="533"/>
      <c r="AJ36" s="13"/>
      <c r="AK36" s="533"/>
      <c r="AL36" s="13"/>
      <c r="AM36" s="533"/>
      <c r="AN36" s="100">
        <f aca="true" t="shared" si="6" ref="AN36:AN47">SUM(B36,D36,F36,H36,J36,L36,N36,P36,R36,T36,V36,X36,Z36,AB36,AD36,AF36,AH36,AJ36,AL36)</f>
        <v>1</v>
      </c>
      <c r="AO36" s="507">
        <f aca="true" t="shared" si="7" ref="AO36:AO47">SUM(C36,E36,G36,I36,K36,M36,O36,Q36,S36,U36,W36,Y36,AA36,AC36,AE36,AG36,AI36,AK36,AM36)</f>
        <v>109.3</v>
      </c>
      <c r="AP36" s="218"/>
      <c r="AQ36" s="218"/>
      <c r="AR36" s="1090"/>
      <c r="AS36" s="1091"/>
    </row>
    <row r="37" spans="1:45" s="512" customFormat="1" ht="23.25" customHeight="1">
      <c r="A37" s="356" t="s">
        <v>380</v>
      </c>
      <c r="B37" s="183"/>
      <c r="C37" s="533"/>
      <c r="D37" s="13"/>
      <c r="E37" s="533"/>
      <c r="F37" s="13"/>
      <c r="G37" s="533"/>
      <c r="H37" s="13"/>
      <c r="I37" s="533"/>
      <c r="J37" s="13"/>
      <c r="K37" s="13"/>
      <c r="L37" s="13"/>
      <c r="M37" s="533"/>
      <c r="N37" s="13"/>
      <c r="O37" s="533"/>
      <c r="P37" s="13"/>
      <c r="Q37" s="533"/>
      <c r="R37" s="13"/>
      <c r="S37" s="533"/>
      <c r="T37" s="13"/>
      <c r="U37" s="533"/>
      <c r="V37" s="13"/>
      <c r="W37" s="533"/>
      <c r="X37" s="13"/>
      <c r="Y37" s="533"/>
      <c r="Z37" s="13"/>
      <c r="AA37" s="533"/>
      <c r="AB37" s="13"/>
      <c r="AC37" s="533"/>
      <c r="AD37" s="13"/>
      <c r="AE37" s="533"/>
      <c r="AF37" s="13">
        <v>2</v>
      </c>
      <c r="AG37" s="533">
        <v>288.6</v>
      </c>
      <c r="AH37" s="13"/>
      <c r="AI37" s="533"/>
      <c r="AJ37" s="13"/>
      <c r="AK37" s="533"/>
      <c r="AL37" s="13"/>
      <c r="AM37" s="533"/>
      <c r="AN37" s="100">
        <f t="shared" si="6"/>
        <v>2</v>
      </c>
      <c r="AO37" s="507">
        <f t="shared" si="7"/>
        <v>288.6</v>
      </c>
      <c r="AP37" s="218"/>
      <c r="AQ37" s="218"/>
      <c r="AR37" s="1090"/>
      <c r="AS37" s="1091"/>
    </row>
    <row r="38" spans="1:45" s="512" customFormat="1" ht="23.25" customHeight="1">
      <c r="A38" s="356" t="s">
        <v>382</v>
      </c>
      <c r="B38" s="183"/>
      <c r="C38" s="533"/>
      <c r="D38" s="13"/>
      <c r="E38" s="533"/>
      <c r="F38" s="13"/>
      <c r="G38" s="533"/>
      <c r="H38" s="13"/>
      <c r="I38" s="533"/>
      <c r="J38" s="13"/>
      <c r="K38" s="13"/>
      <c r="L38" s="13"/>
      <c r="M38" s="533"/>
      <c r="N38" s="13"/>
      <c r="O38" s="533"/>
      <c r="P38" s="13"/>
      <c r="Q38" s="533"/>
      <c r="R38" s="13"/>
      <c r="S38" s="533"/>
      <c r="T38" s="13"/>
      <c r="U38" s="533"/>
      <c r="V38" s="13"/>
      <c r="W38" s="533"/>
      <c r="X38" s="13"/>
      <c r="Y38" s="533"/>
      <c r="Z38" s="13"/>
      <c r="AA38" s="533"/>
      <c r="AB38" s="13"/>
      <c r="AC38" s="533"/>
      <c r="AD38" s="13"/>
      <c r="AE38" s="533"/>
      <c r="AF38" s="13">
        <v>2</v>
      </c>
      <c r="AG38" s="533">
        <v>308</v>
      </c>
      <c r="AH38" s="13"/>
      <c r="AI38" s="533"/>
      <c r="AJ38" s="13"/>
      <c r="AK38" s="533"/>
      <c r="AL38" s="13"/>
      <c r="AM38" s="533"/>
      <c r="AN38" s="100">
        <f t="shared" si="6"/>
        <v>2</v>
      </c>
      <c r="AO38" s="507">
        <f t="shared" si="7"/>
        <v>308</v>
      </c>
      <c r="AP38" s="218"/>
      <c r="AQ38" s="218"/>
      <c r="AR38" s="1090"/>
      <c r="AS38" s="1091"/>
    </row>
    <row r="39" spans="1:45" s="512" customFormat="1" ht="23.25" customHeight="1">
      <c r="A39" s="356" t="s">
        <v>383</v>
      </c>
      <c r="B39" s="183"/>
      <c r="C39" s="533"/>
      <c r="D39" s="13"/>
      <c r="E39" s="533"/>
      <c r="F39" s="13"/>
      <c r="G39" s="533"/>
      <c r="H39" s="13"/>
      <c r="I39" s="533"/>
      <c r="J39" s="13"/>
      <c r="K39" s="13"/>
      <c r="L39" s="13"/>
      <c r="M39" s="533"/>
      <c r="N39" s="13"/>
      <c r="O39" s="533"/>
      <c r="P39" s="13"/>
      <c r="Q39" s="533"/>
      <c r="R39" s="13"/>
      <c r="S39" s="533"/>
      <c r="T39" s="13"/>
      <c r="U39" s="533"/>
      <c r="V39" s="13"/>
      <c r="W39" s="533"/>
      <c r="X39" s="13"/>
      <c r="Y39" s="533"/>
      <c r="Z39" s="13"/>
      <c r="AA39" s="533"/>
      <c r="AB39" s="13"/>
      <c r="AC39" s="533"/>
      <c r="AD39" s="13"/>
      <c r="AE39" s="533"/>
      <c r="AF39" s="13">
        <v>2</v>
      </c>
      <c r="AG39" s="533">
        <v>316.2</v>
      </c>
      <c r="AH39" s="13"/>
      <c r="AI39" s="533"/>
      <c r="AJ39" s="13"/>
      <c r="AK39" s="533"/>
      <c r="AL39" s="13"/>
      <c r="AM39" s="533"/>
      <c r="AN39" s="100">
        <f t="shared" si="6"/>
        <v>2</v>
      </c>
      <c r="AO39" s="507">
        <f t="shared" si="7"/>
        <v>316.2</v>
      </c>
      <c r="AP39" s="218"/>
      <c r="AQ39" s="218"/>
      <c r="AR39" s="1090"/>
      <c r="AS39" s="1091"/>
    </row>
    <row r="40" spans="1:45" s="512" customFormat="1" ht="23.25" customHeight="1">
      <c r="A40" s="356" t="s">
        <v>386</v>
      </c>
      <c r="B40" s="183"/>
      <c r="C40" s="533"/>
      <c r="D40" s="13"/>
      <c r="E40" s="533"/>
      <c r="F40" s="13"/>
      <c r="G40" s="533"/>
      <c r="H40" s="13"/>
      <c r="I40" s="533"/>
      <c r="J40" s="13"/>
      <c r="K40" s="13"/>
      <c r="L40" s="13"/>
      <c r="M40" s="533"/>
      <c r="N40" s="13"/>
      <c r="O40" s="533"/>
      <c r="P40" s="13"/>
      <c r="Q40" s="533"/>
      <c r="R40" s="13"/>
      <c r="S40" s="533"/>
      <c r="T40" s="13"/>
      <c r="U40" s="533"/>
      <c r="V40" s="13"/>
      <c r="W40" s="533"/>
      <c r="X40" s="13"/>
      <c r="Y40" s="533"/>
      <c r="Z40" s="13"/>
      <c r="AA40" s="533"/>
      <c r="AB40" s="13"/>
      <c r="AC40" s="533"/>
      <c r="AD40" s="13"/>
      <c r="AE40" s="533"/>
      <c r="AF40" s="13">
        <v>1</v>
      </c>
      <c r="AG40" s="533">
        <v>109.3</v>
      </c>
      <c r="AH40" s="13"/>
      <c r="AI40" s="533"/>
      <c r="AJ40" s="13"/>
      <c r="AK40" s="533"/>
      <c r="AL40" s="13"/>
      <c r="AM40" s="533"/>
      <c r="AN40" s="100">
        <f t="shared" si="6"/>
        <v>1</v>
      </c>
      <c r="AO40" s="507">
        <f t="shared" si="7"/>
        <v>109.3</v>
      </c>
      <c r="AP40" s="218"/>
      <c r="AQ40" s="218"/>
      <c r="AR40" s="1090"/>
      <c r="AS40" s="1091"/>
    </row>
    <row r="41" spans="1:45" s="512" customFormat="1" ht="23.25" customHeight="1">
      <c r="A41" s="356" t="s">
        <v>392</v>
      </c>
      <c r="B41" s="183"/>
      <c r="C41" s="533"/>
      <c r="D41" s="13"/>
      <c r="E41" s="533"/>
      <c r="F41" s="13"/>
      <c r="G41" s="533"/>
      <c r="H41" s="13"/>
      <c r="I41" s="533"/>
      <c r="J41" s="13"/>
      <c r="K41" s="13"/>
      <c r="L41" s="13"/>
      <c r="M41" s="533"/>
      <c r="N41" s="13"/>
      <c r="O41" s="533"/>
      <c r="P41" s="13"/>
      <c r="Q41" s="533"/>
      <c r="R41" s="13"/>
      <c r="S41" s="533"/>
      <c r="T41" s="13"/>
      <c r="U41" s="533"/>
      <c r="V41" s="13"/>
      <c r="W41" s="533"/>
      <c r="X41" s="13"/>
      <c r="Y41" s="533"/>
      <c r="Z41" s="13"/>
      <c r="AA41" s="533"/>
      <c r="AB41" s="13"/>
      <c r="AC41" s="533"/>
      <c r="AD41" s="13"/>
      <c r="AE41" s="533"/>
      <c r="AF41" s="13">
        <v>1</v>
      </c>
      <c r="AG41" s="533">
        <v>108.9</v>
      </c>
      <c r="AH41" s="13"/>
      <c r="AI41" s="533"/>
      <c r="AJ41" s="13"/>
      <c r="AK41" s="533"/>
      <c r="AL41" s="13"/>
      <c r="AM41" s="533"/>
      <c r="AN41" s="100">
        <f t="shared" si="6"/>
        <v>1</v>
      </c>
      <c r="AO41" s="507">
        <f t="shared" si="7"/>
        <v>108.9</v>
      </c>
      <c r="AP41" s="218"/>
      <c r="AQ41" s="218"/>
      <c r="AR41" s="1090"/>
      <c r="AS41" s="1091"/>
    </row>
    <row r="42" spans="1:45" s="1099" customFormat="1" ht="21.75">
      <c r="A42" s="356" t="s">
        <v>395</v>
      </c>
      <c r="B42" s="1095"/>
      <c r="C42" s="1096"/>
      <c r="D42" s="1097"/>
      <c r="E42" s="1096"/>
      <c r="F42" s="1095"/>
      <c r="G42" s="1096"/>
      <c r="H42" s="1097"/>
      <c r="I42" s="1096"/>
      <c r="J42" s="1098"/>
      <c r="M42" s="1100"/>
      <c r="O42" s="1100"/>
      <c r="Q42" s="1100"/>
      <c r="R42" s="1097"/>
      <c r="S42" s="1100"/>
      <c r="U42" s="1100"/>
      <c r="W42" s="1100"/>
      <c r="X42" s="1098"/>
      <c r="Y42" s="1100"/>
      <c r="AA42" s="1100"/>
      <c r="AB42" s="1098"/>
      <c r="AC42" s="1096"/>
      <c r="AD42" s="1097"/>
      <c r="AE42" s="1096"/>
      <c r="AF42" s="1098">
        <v>2</v>
      </c>
      <c r="AG42" s="1100">
        <v>316.2</v>
      </c>
      <c r="AI42" s="1100"/>
      <c r="AJ42" s="1098"/>
      <c r="AK42" s="1100"/>
      <c r="AL42" s="1098"/>
      <c r="AM42" s="1100"/>
      <c r="AN42" s="100">
        <f aca="true" t="shared" si="8" ref="AN42:AO46">SUM(B42,D42,F42,H42,J42,L42,N42,P42,R42,T42,V42,X42,Z42,AB42,AD42,AF42,AH42,AJ42,AL42)</f>
        <v>2</v>
      </c>
      <c r="AO42" s="507">
        <f t="shared" si="8"/>
        <v>316.2</v>
      </c>
      <c r="AQ42" s="237"/>
      <c r="AR42" s="627"/>
      <c r="AS42" s="1098"/>
    </row>
    <row r="43" spans="1:45" s="1099" customFormat="1" ht="21.75">
      <c r="A43" s="356" t="s">
        <v>396</v>
      </c>
      <c r="B43" s="1095"/>
      <c r="C43" s="1096"/>
      <c r="D43" s="1097"/>
      <c r="E43" s="1096"/>
      <c r="F43" s="1095"/>
      <c r="G43" s="1096"/>
      <c r="H43" s="1097"/>
      <c r="I43" s="1096"/>
      <c r="J43" s="1098"/>
      <c r="M43" s="1100"/>
      <c r="O43" s="1100"/>
      <c r="Q43" s="1100"/>
      <c r="R43" s="1097"/>
      <c r="S43" s="1100"/>
      <c r="U43" s="1100"/>
      <c r="W43" s="1100"/>
      <c r="X43" s="1098"/>
      <c r="Y43" s="1100"/>
      <c r="AA43" s="1100"/>
      <c r="AB43" s="1098"/>
      <c r="AC43" s="1096"/>
      <c r="AD43" s="1097"/>
      <c r="AE43" s="1096"/>
      <c r="AF43" s="1098">
        <v>2</v>
      </c>
      <c r="AG43" s="1100">
        <v>291.2</v>
      </c>
      <c r="AI43" s="1100"/>
      <c r="AJ43" s="1098"/>
      <c r="AK43" s="1100"/>
      <c r="AL43" s="1098"/>
      <c r="AM43" s="1100"/>
      <c r="AN43" s="100">
        <f t="shared" si="8"/>
        <v>2</v>
      </c>
      <c r="AO43" s="507">
        <f t="shared" si="8"/>
        <v>291.2</v>
      </c>
      <c r="AQ43" s="237"/>
      <c r="AR43" s="627"/>
      <c r="AS43" s="1098"/>
    </row>
    <row r="44" spans="1:45" s="1099" customFormat="1" ht="21.75">
      <c r="A44" s="356" t="s">
        <v>397</v>
      </c>
      <c r="B44" s="1095"/>
      <c r="C44" s="1096"/>
      <c r="D44" s="1097"/>
      <c r="E44" s="1096"/>
      <c r="F44" s="1095"/>
      <c r="G44" s="1096"/>
      <c r="H44" s="1097"/>
      <c r="I44" s="1096"/>
      <c r="J44" s="1098"/>
      <c r="M44" s="1100"/>
      <c r="N44" s="1099">
        <v>3</v>
      </c>
      <c r="O44" s="1100">
        <v>478.4</v>
      </c>
      <c r="Q44" s="1100"/>
      <c r="R44" s="1097"/>
      <c r="S44" s="1100"/>
      <c r="U44" s="1100"/>
      <c r="W44" s="1100"/>
      <c r="X44" s="1098"/>
      <c r="Y44" s="1100"/>
      <c r="AA44" s="1100"/>
      <c r="AB44" s="1098"/>
      <c r="AC44" s="1096"/>
      <c r="AD44" s="1097"/>
      <c r="AE44" s="1096"/>
      <c r="AF44" s="1098">
        <v>2</v>
      </c>
      <c r="AG44" s="1100">
        <v>360.1</v>
      </c>
      <c r="AI44" s="1100"/>
      <c r="AJ44" s="1098"/>
      <c r="AK44" s="1100"/>
      <c r="AL44" s="1098"/>
      <c r="AM44" s="1100"/>
      <c r="AN44" s="100">
        <f t="shared" si="8"/>
        <v>5</v>
      </c>
      <c r="AO44" s="507">
        <f t="shared" si="8"/>
        <v>838.5</v>
      </c>
      <c r="AQ44" s="237"/>
      <c r="AR44" s="627"/>
      <c r="AS44" s="1098"/>
    </row>
    <row r="45" spans="1:45" s="1099" customFormat="1" ht="21.75">
      <c r="A45" s="356" t="s">
        <v>405</v>
      </c>
      <c r="B45" s="1095"/>
      <c r="C45" s="1096"/>
      <c r="D45" s="1097"/>
      <c r="E45" s="1096"/>
      <c r="F45" s="1095"/>
      <c r="G45" s="1096"/>
      <c r="H45" s="1097"/>
      <c r="I45" s="1096"/>
      <c r="J45" s="1098"/>
      <c r="M45" s="1100"/>
      <c r="O45" s="1100"/>
      <c r="Q45" s="1100"/>
      <c r="R45" s="1097"/>
      <c r="S45" s="1100"/>
      <c r="U45" s="1100"/>
      <c r="W45" s="1100"/>
      <c r="X45" s="1098"/>
      <c r="Y45" s="1100"/>
      <c r="AA45" s="1100"/>
      <c r="AB45" s="1098"/>
      <c r="AC45" s="1096"/>
      <c r="AD45" s="1097"/>
      <c r="AE45" s="1096"/>
      <c r="AF45" s="1098">
        <v>2</v>
      </c>
      <c r="AG45" s="1100">
        <v>359</v>
      </c>
      <c r="AI45" s="1100"/>
      <c r="AJ45" s="1098"/>
      <c r="AK45" s="1100"/>
      <c r="AL45" s="1098"/>
      <c r="AM45" s="1100"/>
      <c r="AN45" s="100">
        <f t="shared" si="8"/>
        <v>2</v>
      </c>
      <c r="AO45" s="507">
        <f t="shared" si="8"/>
        <v>359</v>
      </c>
      <c r="AQ45" s="237"/>
      <c r="AR45" s="627"/>
      <c r="AS45" s="1098"/>
    </row>
    <row r="46" spans="1:45" s="1099" customFormat="1" ht="21.75">
      <c r="A46" s="356" t="s">
        <v>406</v>
      </c>
      <c r="B46" s="1095"/>
      <c r="C46" s="1096"/>
      <c r="D46" s="1097"/>
      <c r="E46" s="1096"/>
      <c r="F46" s="1095"/>
      <c r="G46" s="1096"/>
      <c r="H46" s="1097"/>
      <c r="I46" s="1096"/>
      <c r="J46" s="1098"/>
      <c r="M46" s="1100"/>
      <c r="O46" s="1100"/>
      <c r="Q46" s="1100"/>
      <c r="R46" s="1097"/>
      <c r="S46" s="1100"/>
      <c r="U46" s="1100"/>
      <c r="W46" s="1100"/>
      <c r="X46" s="1098"/>
      <c r="Y46" s="1100"/>
      <c r="AA46" s="1100"/>
      <c r="AB46" s="1098"/>
      <c r="AC46" s="1096"/>
      <c r="AD46" s="1097"/>
      <c r="AE46" s="1096"/>
      <c r="AF46" s="1098">
        <v>1</v>
      </c>
      <c r="AG46" s="1100">
        <v>140.1</v>
      </c>
      <c r="AI46" s="1100"/>
      <c r="AJ46" s="1098"/>
      <c r="AK46" s="1100"/>
      <c r="AL46" s="1098"/>
      <c r="AM46" s="1100"/>
      <c r="AN46" s="100">
        <f t="shared" si="8"/>
        <v>1</v>
      </c>
      <c r="AO46" s="507">
        <f t="shared" si="8"/>
        <v>140.1</v>
      </c>
      <c r="AQ46" s="237"/>
      <c r="AR46" s="627"/>
      <c r="AS46" s="1098"/>
    </row>
    <row r="47" spans="1:45" s="1099" customFormat="1" ht="22.5" thickBot="1">
      <c r="A47" s="356" t="s">
        <v>407</v>
      </c>
      <c r="B47" s="1095"/>
      <c r="C47" s="1096"/>
      <c r="D47" s="1097"/>
      <c r="E47" s="1096"/>
      <c r="F47" s="1095"/>
      <c r="G47" s="1096"/>
      <c r="H47" s="1097"/>
      <c r="I47" s="1096"/>
      <c r="J47" s="1098"/>
      <c r="M47" s="1100"/>
      <c r="O47" s="1100"/>
      <c r="Q47" s="1100"/>
      <c r="R47" s="1097"/>
      <c r="S47" s="1100"/>
      <c r="U47" s="1100"/>
      <c r="W47" s="1100"/>
      <c r="X47" s="1098"/>
      <c r="Y47" s="1100"/>
      <c r="AA47" s="1100"/>
      <c r="AB47" s="1098"/>
      <c r="AC47" s="1096"/>
      <c r="AD47" s="1097"/>
      <c r="AE47" s="1096"/>
      <c r="AF47" s="1098">
        <v>2</v>
      </c>
      <c r="AG47" s="1100">
        <v>362.9</v>
      </c>
      <c r="AI47" s="1100"/>
      <c r="AJ47" s="1098"/>
      <c r="AK47" s="1100"/>
      <c r="AL47" s="1098"/>
      <c r="AM47" s="1100"/>
      <c r="AN47" s="100">
        <f t="shared" si="6"/>
        <v>2</v>
      </c>
      <c r="AO47" s="507">
        <f t="shared" si="7"/>
        <v>362.9</v>
      </c>
      <c r="AQ47" s="237"/>
      <c r="AR47" s="627"/>
      <c r="AS47" s="1098"/>
    </row>
    <row r="48" spans="1:45" s="1105" customFormat="1" ht="24.75" customHeight="1" thickBot="1">
      <c r="A48" s="1102" t="s">
        <v>61</v>
      </c>
      <c r="B48" s="1103">
        <f aca="true" t="shared" si="9" ref="B48:I48">SUM(B5:B47)</f>
        <v>91</v>
      </c>
      <c r="C48" s="1101">
        <f t="shared" si="9"/>
        <v>8626.1</v>
      </c>
      <c r="D48" s="1103">
        <f t="shared" si="9"/>
        <v>9</v>
      </c>
      <c r="E48" s="1101">
        <f t="shared" si="9"/>
        <v>1135</v>
      </c>
      <c r="F48" s="1103">
        <f t="shared" si="9"/>
        <v>35</v>
      </c>
      <c r="G48" s="1101">
        <f t="shared" si="9"/>
        <v>6100</v>
      </c>
      <c r="H48" s="1103">
        <f t="shared" si="9"/>
        <v>66</v>
      </c>
      <c r="I48" s="1101">
        <f t="shared" si="9"/>
        <v>9098.3</v>
      </c>
      <c r="J48" s="1103">
        <f>SUM(J5:J37)</f>
        <v>0</v>
      </c>
      <c r="K48" s="1103">
        <f>SUM(K5:K37)</f>
        <v>0</v>
      </c>
      <c r="L48" s="1103">
        <f aca="true" t="shared" si="10" ref="L48:AM48">SUM(L5:L47)</f>
        <v>40</v>
      </c>
      <c r="M48" s="1101">
        <f t="shared" si="10"/>
        <v>4477.4</v>
      </c>
      <c r="N48" s="1103">
        <f t="shared" si="10"/>
        <v>23</v>
      </c>
      <c r="O48" s="1101">
        <f t="shared" si="10"/>
        <v>3156.7000000000003</v>
      </c>
      <c r="P48" s="1103">
        <f t="shared" si="10"/>
        <v>44</v>
      </c>
      <c r="Q48" s="1101">
        <f t="shared" si="10"/>
        <v>5571.8</v>
      </c>
      <c r="R48" s="1103">
        <f t="shared" si="10"/>
        <v>3</v>
      </c>
      <c r="S48" s="1101">
        <f t="shared" si="10"/>
        <v>1663.3</v>
      </c>
      <c r="T48" s="1103">
        <f t="shared" si="10"/>
        <v>3</v>
      </c>
      <c r="U48" s="1101">
        <f t="shared" si="10"/>
        <v>3413.3</v>
      </c>
      <c r="V48" s="1103">
        <f t="shared" si="10"/>
        <v>12</v>
      </c>
      <c r="W48" s="1101">
        <f t="shared" si="10"/>
        <v>918.5</v>
      </c>
      <c r="X48" s="1103">
        <f t="shared" si="10"/>
        <v>26</v>
      </c>
      <c r="Y48" s="1101">
        <f t="shared" si="10"/>
        <v>4594.3</v>
      </c>
      <c r="Z48" s="1103">
        <f t="shared" si="10"/>
        <v>98</v>
      </c>
      <c r="AA48" s="1101">
        <f t="shared" si="10"/>
        <v>12571.300000000001</v>
      </c>
      <c r="AB48" s="1103">
        <f t="shared" si="10"/>
        <v>72</v>
      </c>
      <c r="AC48" s="1101">
        <f t="shared" si="10"/>
        <v>9202.600000000002</v>
      </c>
      <c r="AD48" s="1103">
        <f t="shared" si="10"/>
        <v>15</v>
      </c>
      <c r="AE48" s="1101">
        <f t="shared" si="10"/>
        <v>3437.3</v>
      </c>
      <c r="AF48" s="1103">
        <f t="shared" si="10"/>
        <v>79</v>
      </c>
      <c r="AG48" s="1101">
        <f t="shared" si="10"/>
        <v>10189.1</v>
      </c>
      <c r="AH48" s="1103">
        <f t="shared" si="10"/>
        <v>16</v>
      </c>
      <c r="AI48" s="1101">
        <f t="shared" si="10"/>
        <v>1273</v>
      </c>
      <c r="AJ48" s="1103">
        <f t="shared" si="10"/>
        <v>48</v>
      </c>
      <c r="AK48" s="1101">
        <f t="shared" si="10"/>
        <v>4553.9</v>
      </c>
      <c r="AL48" s="1103">
        <f t="shared" si="10"/>
        <v>24</v>
      </c>
      <c r="AM48" s="1101">
        <f t="shared" si="10"/>
        <v>1554.6</v>
      </c>
      <c r="AN48" s="1103">
        <f>SUM(B48,D48,F48,H48,J48,L48,N48,P48,R48,T48,V48,X48,Z48,AB48,AD48,AF48,AH48,AJ48,AL48)</f>
        <v>704</v>
      </c>
      <c r="AO48" s="1101">
        <f>SUM(C48,E48,G48,I48,K48,M48,O48,Q48,S48,U48,W48,Y48,AA48,AC48,AE48,AG48,AI48,AK48,AM48)</f>
        <v>91536.50000000003</v>
      </c>
      <c r="AP48" s="1103"/>
      <c r="AQ48" s="1104"/>
      <c r="AS48" s="1106"/>
    </row>
    <row r="49" spans="2:45" s="61" customFormat="1" ht="24.75" customHeight="1">
      <c r="B49" s="72"/>
      <c r="C49" s="519"/>
      <c r="D49" s="26"/>
      <c r="E49" s="519"/>
      <c r="F49" s="72"/>
      <c r="G49" s="519"/>
      <c r="H49" s="26"/>
      <c r="I49" s="517"/>
      <c r="J49" s="33"/>
      <c r="M49" s="509"/>
      <c r="O49" s="509"/>
      <c r="Q49" s="509"/>
      <c r="R49" s="26"/>
      <c r="S49" s="509"/>
      <c r="U49" s="509"/>
      <c r="W49" s="509"/>
      <c r="X49" s="33"/>
      <c r="Y49" s="509"/>
      <c r="AA49" s="509"/>
      <c r="AB49" s="33"/>
      <c r="AC49" s="519"/>
      <c r="AD49" s="26"/>
      <c r="AE49" s="519"/>
      <c r="AF49" s="33"/>
      <c r="AG49" s="509"/>
      <c r="AI49" s="509"/>
      <c r="AJ49" s="33"/>
      <c r="AK49" s="509"/>
      <c r="AL49" s="33"/>
      <c r="AM49" s="509"/>
      <c r="AN49" s="33"/>
      <c r="AO49" s="509"/>
      <c r="AQ49" s="90"/>
      <c r="AR49" s="8"/>
      <c r="AS49" s="89"/>
    </row>
    <row r="50" spans="3:41" ht="24.75" customHeight="1">
      <c r="C50" s="476"/>
      <c r="E50" s="476"/>
      <c r="G50" s="476"/>
      <c r="I50" s="476"/>
      <c r="M50" s="476"/>
      <c r="O50" s="476"/>
      <c r="Q50" s="476"/>
      <c r="S50" s="476"/>
      <c r="U50" s="476"/>
      <c r="W50" s="476"/>
      <c r="Y50" s="476"/>
      <c r="AA50" s="476"/>
      <c r="AC50" s="476"/>
      <c r="AE50" s="476"/>
      <c r="AG50" s="476"/>
      <c r="AI50" s="476"/>
      <c r="AK50" s="476"/>
      <c r="AM50" s="476"/>
      <c r="AO50" s="476"/>
    </row>
    <row r="51" spans="3:41" ht="24" customHeight="1">
      <c r="C51" s="476"/>
      <c r="E51" s="476"/>
      <c r="G51" s="476"/>
      <c r="I51" s="476"/>
      <c r="M51" s="476"/>
      <c r="O51" s="476"/>
      <c r="Q51" s="476"/>
      <c r="S51" s="476"/>
      <c r="U51" s="476"/>
      <c r="W51" s="476"/>
      <c r="Y51" s="476"/>
      <c r="AA51" s="476"/>
      <c r="AC51" s="476"/>
      <c r="AE51" s="476"/>
      <c r="AG51" s="476"/>
      <c r="AI51" s="476"/>
      <c r="AK51" s="476"/>
      <c r="AM51" s="476"/>
      <c r="AO51" s="476"/>
    </row>
    <row r="52" spans="3:41" ht="23.25" customHeight="1">
      <c r="C52" s="622"/>
      <c r="E52" s="476"/>
      <c r="G52" s="476"/>
      <c r="I52" s="604"/>
      <c r="M52" s="476"/>
      <c r="O52" s="476"/>
      <c r="Q52" s="476"/>
      <c r="S52" s="476"/>
      <c r="U52" s="476"/>
      <c r="W52" s="476"/>
      <c r="Y52" s="476"/>
      <c r="AA52" s="476"/>
      <c r="AC52" s="476"/>
      <c r="AE52" s="476"/>
      <c r="AG52" s="476"/>
      <c r="AI52" s="476"/>
      <c r="AK52" s="476"/>
      <c r="AM52" s="476"/>
      <c r="AO52" s="476"/>
    </row>
    <row r="53" spans="1:41" ht="21.75" customHeight="1">
      <c r="A53" t="s">
        <v>118</v>
      </c>
      <c r="C53" s="476"/>
      <c r="E53" s="476"/>
      <c r="G53" s="476"/>
      <c r="I53" s="476"/>
      <c r="M53" s="476"/>
      <c r="O53" s="476"/>
      <c r="Q53" s="476"/>
      <c r="S53" s="476"/>
      <c r="U53" s="476"/>
      <c r="W53" s="476"/>
      <c r="Y53" s="476"/>
      <c r="AA53" s="476"/>
      <c r="AC53" s="476"/>
      <c r="AE53" s="476"/>
      <c r="AG53" s="476"/>
      <c r="AI53" s="476"/>
      <c r="AK53" s="476"/>
      <c r="AM53" s="476"/>
      <c r="AO53" s="476"/>
    </row>
    <row r="54" spans="3:41" ht="21.75" customHeight="1">
      <c r="C54" s="476"/>
      <c r="E54" s="476"/>
      <c r="G54" s="476"/>
      <c r="I54" s="476"/>
      <c r="M54" s="476"/>
      <c r="O54" s="476"/>
      <c r="Q54" s="476"/>
      <c r="S54" s="476"/>
      <c r="U54" s="476"/>
      <c r="W54" s="476"/>
      <c r="Y54" s="476"/>
      <c r="AA54" s="476"/>
      <c r="AC54" s="476"/>
      <c r="AE54" s="476"/>
      <c r="AG54" s="476"/>
      <c r="AI54" s="476"/>
      <c r="AK54" s="476"/>
      <c r="AM54" s="476"/>
      <c r="AO54" s="476"/>
    </row>
    <row r="55" spans="3:41" ht="26.25" customHeight="1">
      <c r="C55" s="476"/>
      <c r="E55" s="476"/>
      <c r="G55" s="476"/>
      <c r="I55" s="476"/>
      <c r="M55" s="476"/>
      <c r="O55" s="476"/>
      <c r="Q55" s="476"/>
      <c r="S55" s="476"/>
      <c r="U55" s="476"/>
      <c r="W55" s="476"/>
      <c r="Y55" s="476"/>
      <c r="AA55" s="476"/>
      <c r="AC55" s="476"/>
      <c r="AE55" s="476"/>
      <c r="AG55" s="476"/>
      <c r="AI55" s="476"/>
      <c r="AK55" s="476"/>
      <c r="AM55" s="476"/>
      <c r="AO55" s="476"/>
    </row>
    <row r="56" spans="3:41" ht="23.25" customHeight="1">
      <c r="C56" s="476"/>
      <c r="E56" s="476"/>
      <c r="G56" s="476"/>
      <c r="I56" s="476"/>
      <c r="M56" s="476"/>
      <c r="O56" s="476"/>
      <c r="Q56" s="476"/>
      <c r="S56" s="476"/>
      <c r="U56" s="476"/>
      <c r="W56" s="476"/>
      <c r="Y56" s="476"/>
      <c r="AA56" s="476"/>
      <c r="AC56" s="476"/>
      <c r="AE56" s="476"/>
      <c r="AG56" s="476"/>
      <c r="AI56" s="476"/>
      <c r="AK56" s="476"/>
      <c r="AM56" s="476"/>
      <c r="AO56" s="476"/>
    </row>
    <row r="57" spans="3:41" ht="23.25" customHeight="1">
      <c r="C57" s="476"/>
      <c r="E57" s="476"/>
      <c r="G57" s="476"/>
      <c r="I57" s="476"/>
      <c r="M57" s="476"/>
      <c r="O57" s="476"/>
      <c r="Q57" s="476"/>
      <c r="S57" s="476"/>
      <c r="U57" s="476"/>
      <c r="W57" s="476"/>
      <c r="Y57" s="476"/>
      <c r="AA57" s="476"/>
      <c r="AC57" s="476"/>
      <c r="AE57" s="476"/>
      <c r="AG57" s="476"/>
      <c r="AI57" s="476"/>
      <c r="AK57" s="476"/>
      <c r="AM57" s="476"/>
      <c r="AO57" s="476"/>
    </row>
    <row r="58" spans="3:41" ht="23.25" customHeight="1">
      <c r="C58" s="476"/>
      <c r="E58" s="476"/>
      <c r="G58" s="476"/>
      <c r="I58" s="476"/>
      <c r="M58" s="476"/>
      <c r="O58" s="476"/>
      <c r="Q58" s="476"/>
      <c r="S58" s="476"/>
      <c r="U58" s="476"/>
      <c r="W58" s="476"/>
      <c r="Y58" s="476"/>
      <c r="AA58" s="476"/>
      <c r="AC58" s="476"/>
      <c r="AE58" s="476"/>
      <c r="AG58" s="476"/>
      <c r="AI58" s="476"/>
      <c r="AK58" s="476"/>
      <c r="AM58" s="476"/>
      <c r="AO58" s="476"/>
    </row>
    <row r="59" spans="3:41" ht="22.5" customHeight="1">
      <c r="C59" s="476"/>
      <c r="E59" s="476"/>
      <c r="G59" s="476"/>
      <c r="I59" s="476"/>
      <c r="M59" s="476"/>
      <c r="O59" s="476"/>
      <c r="Q59" s="476"/>
      <c r="S59" s="476"/>
      <c r="U59" s="476"/>
      <c r="W59" s="476"/>
      <c r="Y59" s="476"/>
      <c r="AA59" s="476"/>
      <c r="AC59" s="476"/>
      <c r="AE59" s="476"/>
      <c r="AG59" s="476"/>
      <c r="AI59" s="476"/>
      <c r="AK59" s="476"/>
      <c r="AM59" s="476"/>
      <c r="AO59" s="476"/>
    </row>
    <row r="60" spans="3:41" ht="24.75" customHeight="1">
      <c r="C60" s="476"/>
      <c r="E60" s="476"/>
      <c r="G60" s="476"/>
      <c r="I60" s="476"/>
      <c r="M60" s="476"/>
      <c r="O60" s="476"/>
      <c r="Q60" s="476"/>
      <c r="S60" s="476"/>
      <c r="U60" s="476"/>
      <c r="W60" s="476"/>
      <c r="Y60" s="476"/>
      <c r="AA60" s="476"/>
      <c r="AC60" s="476"/>
      <c r="AE60" s="476"/>
      <c r="AG60" s="476"/>
      <c r="AI60" s="476"/>
      <c r="AK60" s="476"/>
      <c r="AM60" s="476"/>
      <c r="AO60" s="476"/>
    </row>
    <row r="61" spans="3:41" ht="23.25" customHeight="1">
      <c r="C61" s="476"/>
      <c r="E61" s="476"/>
      <c r="G61" s="476"/>
      <c r="I61" s="476"/>
      <c r="M61" s="476"/>
      <c r="O61" s="476"/>
      <c r="Q61" s="476"/>
      <c r="S61" s="476"/>
      <c r="U61" s="476"/>
      <c r="W61" s="476"/>
      <c r="Y61" s="476"/>
      <c r="AA61" s="476"/>
      <c r="AC61" s="476"/>
      <c r="AE61" s="476"/>
      <c r="AG61" s="476"/>
      <c r="AI61" s="476"/>
      <c r="AK61" s="476"/>
      <c r="AM61" s="476"/>
      <c r="AO61" s="476"/>
    </row>
    <row r="62" spans="3:41" ht="23.25" customHeight="1">
      <c r="C62" s="476"/>
      <c r="E62" s="476"/>
      <c r="G62" s="476"/>
      <c r="I62" s="476"/>
      <c r="M62" s="476"/>
      <c r="O62" s="476"/>
      <c r="Q62" s="476"/>
      <c r="S62" s="476"/>
      <c r="U62" s="476"/>
      <c r="W62" s="476"/>
      <c r="Y62" s="476"/>
      <c r="AA62" s="476"/>
      <c r="AC62" s="476"/>
      <c r="AE62" s="476"/>
      <c r="AG62" s="476"/>
      <c r="AI62" s="476"/>
      <c r="AK62" s="476"/>
      <c r="AM62" s="476"/>
      <c r="AO62" s="476"/>
    </row>
    <row r="63" spans="3:41" ht="23.25" customHeight="1">
      <c r="C63" s="476"/>
      <c r="E63" s="476"/>
      <c r="G63" s="476"/>
      <c r="I63" s="476"/>
      <c r="M63" s="476"/>
      <c r="O63" s="476"/>
      <c r="Q63" s="476"/>
      <c r="S63" s="476"/>
      <c r="U63" s="476"/>
      <c r="W63" s="476"/>
      <c r="Y63" s="476"/>
      <c r="AA63" s="476"/>
      <c r="AC63" s="476"/>
      <c r="AE63" s="476"/>
      <c r="AG63" s="476"/>
      <c r="AI63" s="476"/>
      <c r="AK63" s="476"/>
      <c r="AM63" s="476"/>
      <c r="AO63" s="476"/>
    </row>
    <row r="64" spans="3:41" ht="23.25" customHeight="1">
      <c r="C64" s="476"/>
      <c r="E64" s="476"/>
      <c r="G64" s="476"/>
      <c r="I64" s="476"/>
      <c r="M64" s="476"/>
      <c r="O64" s="476"/>
      <c r="Q64" s="476"/>
      <c r="S64" s="476"/>
      <c r="U64" s="476"/>
      <c r="W64" s="476"/>
      <c r="Y64" s="476"/>
      <c r="AA64" s="476"/>
      <c r="AC64" s="476"/>
      <c r="AE64" s="476"/>
      <c r="AG64" s="476"/>
      <c r="AI64" s="476"/>
      <c r="AK64" s="476"/>
      <c r="AM64" s="476"/>
      <c r="AO64" s="476"/>
    </row>
    <row r="65" spans="3:41" ht="24.75" customHeight="1">
      <c r="C65" s="476"/>
      <c r="E65" s="476"/>
      <c r="G65" s="476"/>
      <c r="I65" s="476"/>
      <c r="M65" s="476"/>
      <c r="O65" s="476"/>
      <c r="Q65" s="476"/>
      <c r="S65" s="476"/>
      <c r="U65" s="476"/>
      <c r="W65" s="476"/>
      <c r="Y65" s="476"/>
      <c r="AA65" s="476"/>
      <c r="AC65" s="476"/>
      <c r="AE65" s="476"/>
      <c r="AG65" s="476"/>
      <c r="AI65" s="476"/>
      <c r="AK65" s="476"/>
      <c r="AM65" s="476"/>
      <c r="AO65" s="476"/>
    </row>
    <row r="66" spans="3:41" ht="24.75" customHeight="1">
      <c r="C66" s="476"/>
      <c r="E66" s="476"/>
      <c r="G66" s="476"/>
      <c r="I66" s="476"/>
      <c r="M66" s="476"/>
      <c r="O66" s="476"/>
      <c r="Q66" s="476"/>
      <c r="S66" s="476"/>
      <c r="U66" s="476"/>
      <c r="W66" s="476"/>
      <c r="Y66" s="476"/>
      <c r="AA66" s="476"/>
      <c r="AC66" s="476"/>
      <c r="AE66" s="476"/>
      <c r="AG66" s="476"/>
      <c r="AI66" s="476"/>
      <c r="AK66" s="476"/>
      <c r="AM66" s="476"/>
      <c r="AO66" s="476"/>
    </row>
    <row r="67" spans="3:41" ht="23.25" customHeight="1">
      <c r="C67" s="476"/>
      <c r="E67" s="476"/>
      <c r="G67" s="476"/>
      <c r="I67" s="476"/>
      <c r="M67" s="476"/>
      <c r="O67" s="476"/>
      <c r="Q67" s="476"/>
      <c r="S67" s="476"/>
      <c r="U67" s="476"/>
      <c r="W67" s="476"/>
      <c r="Y67" s="476"/>
      <c r="AA67" s="476"/>
      <c r="AC67" s="476"/>
      <c r="AE67" s="476"/>
      <c r="AG67" s="476"/>
      <c r="AI67" s="476"/>
      <c r="AK67" s="476"/>
      <c r="AM67" s="476"/>
      <c r="AO67" s="476"/>
    </row>
    <row r="68" spans="3:41" ht="23.25" customHeight="1">
      <c r="C68" s="476"/>
      <c r="E68" s="476"/>
      <c r="G68" s="476"/>
      <c r="I68" s="476"/>
      <c r="M68" s="476"/>
      <c r="O68" s="476"/>
      <c r="Q68" s="476"/>
      <c r="S68" s="476"/>
      <c r="U68" s="476"/>
      <c r="W68" s="476"/>
      <c r="Y68" s="476"/>
      <c r="AA68" s="476"/>
      <c r="AC68" s="476"/>
      <c r="AE68" s="476"/>
      <c r="AG68" s="476"/>
      <c r="AI68" s="476"/>
      <c r="AK68" s="476"/>
      <c r="AM68" s="476"/>
      <c r="AO68" s="476"/>
    </row>
    <row r="69" spans="3:41" ht="26.25" customHeight="1">
      <c r="C69" s="476"/>
      <c r="E69" s="476"/>
      <c r="G69" s="476"/>
      <c r="I69" s="476"/>
      <c r="M69" s="476"/>
      <c r="O69" s="476"/>
      <c r="Q69" s="476"/>
      <c r="S69" s="476"/>
      <c r="U69" s="476"/>
      <c r="W69" s="476"/>
      <c r="Y69" s="476"/>
      <c r="AA69" s="476"/>
      <c r="AC69" s="476"/>
      <c r="AE69" s="476"/>
      <c r="AG69" s="476"/>
      <c r="AI69" s="476"/>
      <c r="AK69" s="476"/>
      <c r="AM69" s="476"/>
      <c r="AO69" s="476"/>
    </row>
    <row r="70" spans="3:41" ht="23.25" customHeight="1">
      <c r="C70" s="476"/>
      <c r="E70" s="476"/>
      <c r="G70" s="476"/>
      <c r="I70" s="476"/>
      <c r="M70" s="476"/>
      <c r="O70" s="476"/>
      <c r="Q70" s="476"/>
      <c r="S70" s="476"/>
      <c r="U70" s="476"/>
      <c r="W70" s="476"/>
      <c r="Y70" s="476"/>
      <c r="AA70" s="476"/>
      <c r="AC70" s="476"/>
      <c r="AE70" s="476"/>
      <c r="AG70" s="476"/>
      <c r="AI70" s="476"/>
      <c r="AK70" s="476"/>
      <c r="AM70" s="476"/>
      <c r="AO70" s="476"/>
    </row>
    <row r="71" spans="3:41" ht="12.75">
      <c r="C71" s="476"/>
      <c r="E71" s="476"/>
      <c r="G71" s="476"/>
      <c r="I71" s="476"/>
      <c r="M71" s="476"/>
      <c r="O71" s="476"/>
      <c r="Q71" s="476"/>
      <c r="S71" s="476"/>
      <c r="U71" s="476"/>
      <c r="W71" s="476"/>
      <c r="Y71" s="476"/>
      <c r="AA71" s="476"/>
      <c r="AC71" s="476"/>
      <c r="AE71" s="476"/>
      <c r="AG71" s="476"/>
      <c r="AI71" s="476"/>
      <c r="AK71" s="476"/>
      <c r="AM71" s="476"/>
      <c r="AO71" s="476"/>
    </row>
    <row r="72" spans="3:41" ht="12.75">
      <c r="C72" s="476"/>
      <c r="E72" s="476"/>
      <c r="G72" s="476"/>
      <c r="I72" s="476"/>
      <c r="M72" s="476"/>
      <c r="O72" s="476"/>
      <c r="Q72" s="476"/>
      <c r="S72" s="476"/>
      <c r="U72" s="476"/>
      <c r="W72" s="476"/>
      <c r="Y72" s="476"/>
      <c r="AA72" s="476"/>
      <c r="AC72" s="476"/>
      <c r="AE72" s="476"/>
      <c r="AG72" s="476"/>
      <c r="AI72" s="476"/>
      <c r="AK72" s="476"/>
      <c r="AM72" s="476"/>
      <c r="AO72" s="476"/>
    </row>
    <row r="73" spans="3:41" ht="69" customHeight="1">
      <c r="C73" s="476"/>
      <c r="E73" s="476"/>
      <c r="G73" s="476"/>
      <c r="I73" s="476"/>
      <c r="M73" s="476"/>
      <c r="O73" s="476"/>
      <c r="Q73" s="476"/>
      <c r="S73" s="476"/>
      <c r="U73" s="476"/>
      <c r="W73" s="476"/>
      <c r="Y73" s="476"/>
      <c r="AA73" s="476"/>
      <c r="AC73" s="476"/>
      <c r="AE73" s="476"/>
      <c r="AG73" s="476"/>
      <c r="AI73" s="476"/>
      <c r="AK73" s="476"/>
      <c r="AM73" s="476"/>
      <c r="AO73" s="476"/>
    </row>
    <row r="74" spans="3:41" ht="21.75" customHeight="1">
      <c r="C74" s="476"/>
      <c r="E74" s="476"/>
      <c r="G74" s="476"/>
      <c r="I74" s="476"/>
      <c r="M74" s="476"/>
      <c r="O74" s="476"/>
      <c r="Q74" s="476"/>
      <c r="S74" s="476"/>
      <c r="U74" s="476"/>
      <c r="W74" s="476"/>
      <c r="Y74" s="476"/>
      <c r="AA74" s="476"/>
      <c r="AC74" s="476"/>
      <c r="AE74" s="476"/>
      <c r="AG74" s="476"/>
      <c r="AI74" s="476"/>
      <c r="AK74" s="476"/>
      <c r="AM74" s="476"/>
      <c r="AO74" s="476"/>
    </row>
    <row r="75" spans="3:41" ht="26.25" customHeight="1">
      <c r="C75" s="476"/>
      <c r="E75" s="476"/>
      <c r="G75" s="476"/>
      <c r="I75" s="476"/>
      <c r="M75" s="476"/>
      <c r="O75" s="476"/>
      <c r="Q75" s="476"/>
      <c r="S75" s="476"/>
      <c r="U75" s="476"/>
      <c r="W75" s="476"/>
      <c r="Y75" s="476"/>
      <c r="AA75" s="476"/>
      <c r="AC75" s="476"/>
      <c r="AE75" s="476"/>
      <c r="AG75" s="476"/>
      <c r="AI75" s="476"/>
      <c r="AK75" s="476"/>
      <c r="AM75" s="476"/>
      <c r="AO75" s="476"/>
    </row>
    <row r="76" spans="3:41" ht="20.25" customHeight="1">
      <c r="C76" s="476"/>
      <c r="E76" s="476"/>
      <c r="G76" s="476"/>
      <c r="I76" s="476"/>
      <c r="M76" s="476"/>
      <c r="O76" s="476"/>
      <c r="Q76" s="476"/>
      <c r="S76" s="476"/>
      <c r="U76" s="476"/>
      <c r="W76" s="476"/>
      <c r="Y76" s="476"/>
      <c r="AA76" s="476"/>
      <c r="AC76" s="476"/>
      <c r="AE76" s="476"/>
      <c r="AG76" s="476"/>
      <c r="AI76" s="476"/>
      <c r="AK76" s="476"/>
      <c r="AM76" s="476"/>
      <c r="AO76" s="476"/>
    </row>
    <row r="77" spans="3:41" ht="20.25" customHeight="1">
      <c r="C77" s="476"/>
      <c r="E77" s="476"/>
      <c r="G77" s="476"/>
      <c r="I77" s="476"/>
      <c r="M77" s="476"/>
      <c r="O77" s="476"/>
      <c r="Q77" s="476"/>
      <c r="S77" s="476"/>
      <c r="U77" s="476"/>
      <c r="W77" s="476"/>
      <c r="Y77" s="476"/>
      <c r="AA77" s="476"/>
      <c r="AC77" s="476"/>
      <c r="AE77" s="476"/>
      <c r="AG77" s="476"/>
      <c r="AI77" s="476"/>
      <c r="AK77" s="476"/>
      <c r="AM77" s="476"/>
      <c r="AO77" s="476"/>
    </row>
    <row r="78" spans="3:41" ht="20.25" customHeight="1">
      <c r="C78" s="476"/>
      <c r="E78" s="476"/>
      <c r="G78" s="476"/>
      <c r="I78" s="476"/>
      <c r="M78" s="476"/>
      <c r="O78" s="476"/>
      <c r="Q78" s="476"/>
      <c r="S78" s="476"/>
      <c r="U78" s="476"/>
      <c r="W78" s="476"/>
      <c r="Y78" s="476"/>
      <c r="AA78" s="476"/>
      <c r="AC78" s="476"/>
      <c r="AE78" s="476"/>
      <c r="AG78" s="476"/>
      <c r="AI78" s="476"/>
      <c r="AK78" s="476"/>
      <c r="AM78" s="476"/>
      <c r="AO78" s="476"/>
    </row>
    <row r="79" spans="3:41" ht="20.25" customHeight="1">
      <c r="C79" s="476"/>
      <c r="E79" s="476"/>
      <c r="G79" s="476"/>
      <c r="I79" s="476"/>
      <c r="M79" s="476"/>
      <c r="O79" s="476"/>
      <c r="Q79" s="476"/>
      <c r="S79" s="476"/>
      <c r="U79" s="476"/>
      <c r="W79" s="476"/>
      <c r="Y79" s="476"/>
      <c r="AA79" s="476"/>
      <c r="AC79" s="476"/>
      <c r="AE79" s="476"/>
      <c r="AG79" s="476"/>
      <c r="AI79" s="476"/>
      <c r="AK79" s="476"/>
      <c r="AM79" s="476"/>
      <c r="AO79" s="476"/>
    </row>
    <row r="80" spans="3:41" ht="20.25" customHeight="1">
      <c r="C80" s="476"/>
      <c r="E80" s="476"/>
      <c r="G80" s="476"/>
      <c r="I80" s="476"/>
      <c r="M80" s="476"/>
      <c r="O80" s="476"/>
      <c r="Q80" s="476"/>
      <c r="S80" s="476"/>
      <c r="U80" s="476"/>
      <c r="W80" s="476"/>
      <c r="Y80" s="476"/>
      <c r="AA80" s="476"/>
      <c r="AC80" s="476"/>
      <c r="AE80" s="476"/>
      <c r="AG80" s="476"/>
      <c r="AI80" s="476"/>
      <c r="AK80" s="476"/>
      <c r="AM80" s="476"/>
      <c r="AO80" s="476"/>
    </row>
    <row r="81" spans="3:41" ht="20.25" customHeight="1">
      <c r="C81" s="476"/>
      <c r="E81" s="476"/>
      <c r="G81" s="476"/>
      <c r="I81" s="476"/>
      <c r="M81" s="476"/>
      <c r="O81" s="476"/>
      <c r="Q81" s="476"/>
      <c r="S81" s="476"/>
      <c r="U81" s="476"/>
      <c r="W81" s="476"/>
      <c r="Y81" s="476"/>
      <c r="AA81" s="476"/>
      <c r="AC81" s="476"/>
      <c r="AE81" s="476"/>
      <c r="AG81" s="476"/>
      <c r="AI81" s="476"/>
      <c r="AK81" s="476"/>
      <c r="AM81" s="476"/>
      <c r="AO81" s="476"/>
    </row>
    <row r="82" spans="3:41" ht="21.75" customHeight="1">
      <c r="C82" s="476"/>
      <c r="E82" s="476"/>
      <c r="G82" s="476"/>
      <c r="I82" s="476"/>
      <c r="M82" s="476"/>
      <c r="O82" s="476"/>
      <c r="Q82" s="476"/>
      <c r="S82" s="476"/>
      <c r="U82" s="476"/>
      <c r="W82" s="476"/>
      <c r="Y82" s="476"/>
      <c r="AA82" s="476"/>
      <c r="AC82" s="476"/>
      <c r="AE82" s="476"/>
      <c r="AG82" s="476"/>
      <c r="AI82" s="476"/>
      <c r="AK82" s="476"/>
      <c r="AM82" s="476"/>
      <c r="AO82" s="476"/>
    </row>
    <row r="83" spans="3:41" ht="24" customHeight="1">
      <c r="C83" s="476"/>
      <c r="E83" s="476"/>
      <c r="G83" s="476"/>
      <c r="I83" s="476"/>
      <c r="M83" s="476"/>
      <c r="O83" s="476"/>
      <c r="Q83" s="476"/>
      <c r="S83" s="476"/>
      <c r="U83" s="476"/>
      <c r="W83" s="476"/>
      <c r="Y83" s="476"/>
      <c r="AA83" s="476"/>
      <c r="AC83" s="476"/>
      <c r="AE83" s="476"/>
      <c r="AG83" s="476"/>
      <c r="AI83" s="476"/>
      <c r="AK83" s="476"/>
      <c r="AM83" s="476"/>
      <c r="AO83" s="476"/>
    </row>
    <row r="84" spans="3:41" ht="12.75">
      <c r="C84" s="476"/>
      <c r="E84" s="476"/>
      <c r="G84" s="476"/>
      <c r="I84" s="476"/>
      <c r="M84" s="476"/>
      <c r="O84" s="476"/>
      <c r="Q84" s="476"/>
      <c r="S84" s="476"/>
      <c r="U84" s="476"/>
      <c r="W84" s="476"/>
      <c r="Y84" s="476"/>
      <c r="AA84" s="476"/>
      <c r="AC84" s="476"/>
      <c r="AE84" s="476"/>
      <c r="AG84" s="476"/>
      <c r="AI84" s="476"/>
      <c r="AK84" s="476"/>
      <c r="AM84" s="476"/>
      <c r="AO84" s="476"/>
    </row>
    <row r="85" spans="3:41" ht="27" customHeight="1">
      <c r="C85" s="476"/>
      <c r="E85" s="476"/>
      <c r="G85" s="476"/>
      <c r="I85" s="476"/>
      <c r="M85" s="476"/>
      <c r="O85" s="476"/>
      <c r="Q85" s="476"/>
      <c r="S85" s="476"/>
      <c r="U85" s="476"/>
      <c r="W85" s="476"/>
      <c r="Y85" s="476"/>
      <c r="AA85" s="476"/>
      <c r="AC85" s="476"/>
      <c r="AE85" s="476"/>
      <c r="AG85" s="476"/>
      <c r="AI85" s="476"/>
      <c r="AK85" s="476"/>
      <c r="AM85" s="476"/>
      <c r="AO85" s="476"/>
    </row>
    <row r="86" spans="3:41" ht="69" customHeight="1">
      <c r="C86" s="476"/>
      <c r="E86" s="476"/>
      <c r="G86" s="476"/>
      <c r="I86" s="476"/>
      <c r="M86" s="476"/>
      <c r="O86" s="476"/>
      <c r="Q86" s="476"/>
      <c r="S86" s="476"/>
      <c r="U86" s="476"/>
      <c r="W86" s="476"/>
      <c r="Y86" s="476"/>
      <c r="AA86" s="476"/>
      <c r="AC86" s="476"/>
      <c r="AE86" s="476"/>
      <c r="AG86" s="476"/>
      <c r="AI86" s="476"/>
      <c r="AK86" s="476"/>
      <c r="AM86" s="476"/>
      <c r="AO86" s="476"/>
    </row>
    <row r="87" spans="3:41" ht="21.75" customHeight="1">
      <c r="C87" s="476"/>
      <c r="E87" s="476"/>
      <c r="G87" s="476"/>
      <c r="I87" s="476"/>
      <c r="M87" s="476"/>
      <c r="O87" s="476"/>
      <c r="Q87" s="476"/>
      <c r="S87" s="476"/>
      <c r="U87" s="476"/>
      <c r="W87" s="476"/>
      <c r="Y87" s="476"/>
      <c r="AA87" s="476"/>
      <c r="AC87" s="476"/>
      <c r="AE87" s="476"/>
      <c r="AG87" s="476"/>
      <c r="AI87" s="476"/>
      <c r="AK87" s="476"/>
      <c r="AM87" s="476"/>
      <c r="AO87" s="476"/>
    </row>
    <row r="88" spans="3:41" ht="26.25" customHeight="1">
      <c r="C88" s="476"/>
      <c r="E88" s="476"/>
      <c r="G88" s="476"/>
      <c r="I88" s="476"/>
      <c r="M88" s="476"/>
      <c r="O88" s="476"/>
      <c r="Q88" s="476"/>
      <c r="S88" s="476"/>
      <c r="U88" s="476"/>
      <c r="W88" s="476"/>
      <c r="Y88" s="476"/>
      <c r="AA88" s="476"/>
      <c r="AC88" s="476"/>
      <c r="AE88" s="476"/>
      <c r="AG88" s="476"/>
      <c r="AI88" s="476"/>
      <c r="AK88" s="476"/>
      <c r="AM88" s="476"/>
      <c r="AO88" s="476"/>
    </row>
    <row r="89" spans="3:41" ht="20.25" customHeight="1">
      <c r="C89" s="476"/>
      <c r="E89" s="476"/>
      <c r="G89" s="476"/>
      <c r="I89" s="476"/>
      <c r="M89" s="476"/>
      <c r="O89" s="476"/>
      <c r="Q89" s="476"/>
      <c r="S89" s="476"/>
      <c r="U89" s="476"/>
      <c r="W89" s="476"/>
      <c r="Y89" s="476"/>
      <c r="AA89" s="476"/>
      <c r="AC89" s="476"/>
      <c r="AE89" s="476"/>
      <c r="AG89" s="476"/>
      <c r="AI89" s="476"/>
      <c r="AK89" s="476"/>
      <c r="AM89" s="476"/>
      <c r="AO89" s="476"/>
    </row>
    <row r="90" spans="3:41" ht="20.25" customHeight="1">
      <c r="C90" s="476"/>
      <c r="E90" s="476"/>
      <c r="G90" s="476"/>
      <c r="I90" s="476"/>
      <c r="M90" s="476"/>
      <c r="O90" s="476"/>
      <c r="Q90" s="476"/>
      <c r="S90" s="476"/>
      <c r="U90" s="476"/>
      <c r="W90" s="476"/>
      <c r="Y90" s="476"/>
      <c r="AA90" s="476"/>
      <c r="AC90" s="476"/>
      <c r="AE90" s="476"/>
      <c r="AG90" s="476"/>
      <c r="AI90" s="476"/>
      <c r="AK90" s="476"/>
      <c r="AM90" s="476"/>
      <c r="AO90" s="476"/>
    </row>
    <row r="91" spans="3:41" s="156" customFormat="1" ht="20.25" customHeight="1">
      <c r="C91" s="528"/>
      <c r="E91" s="528"/>
      <c r="G91" s="528"/>
      <c r="I91" s="528"/>
      <c r="M91" s="528"/>
      <c r="O91" s="528"/>
      <c r="Q91" s="528"/>
      <c r="S91" s="528"/>
      <c r="U91" s="528"/>
      <c r="W91" s="528"/>
      <c r="Y91" s="528"/>
      <c r="AA91" s="528"/>
      <c r="AC91" s="528"/>
      <c r="AE91" s="528"/>
      <c r="AG91" s="528"/>
      <c r="AI91" s="528"/>
      <c r="AK91" s="528"/>
      <c r="AM91" s="528"/>
      <c r="AO91" s="528"/>
    </row>
    <row r="92" spans="3:41" s="156" customFormat="1" ht="20.25" customHeight="1">
      <c r="C92" s="528"/>
      <c r="E92" s="528"/>
      <c r="G92" s="528"/>
      <c r="I92" s="528"/>
      <c r="M92" s="528"/>
      <c r="O92" s="528"/>
      <c r="Q92" s="528"/>
      <c r="S92" s="528"/>
      <c r="U92" s="528"/>
      <c r="W92" s="528"/>
      <c r="Y92" s="528"/>
      <c r="AA92" s="528"/>
      <c r="AC92" s="528"/>
      <c r="AE92" s="528"/>
      <c r="AG92" s="528"/>
      <c r="AI92" s="528"/>
      <c r="AK92" s="528"/>
      <c r="AM92" s="528"/>
      <c r="AO92" s="528"/>
    </row>
    <row r="93" spans="3:41" s="156" customFormat="1" ht="20.25" customHeight="1">
      <c r="C93" s="528"/>
      <c r="E93" s="528"/>
      <c r="G93" s="528"/>
      <c r="I93" s="528"/>
      <c r="M93" s="528"/>
      <c r="O93" s="528"/>
      <c r="Q93" s="528"/>
      <c r="S93" s="528"/>
      <c r="U93" s="528"/>
      <c r="W93" s="528"/>
      <c r="Y93" s="528"/>
      <c r="AA93" s="528"/>
      <c r="AC93" s="528"/>
      <c r="AE93" s="528"/>
      <c r="AG93" s="528"/>
      <c r="AI93" s="528"/>
      <c r="AK93" s="528"/>
      <c r="AM93" s="528"/>
      <c r="AO93" s="528"/>
    </row>
    <row r="94" spans="3:41" s="156" customFormat="1" ht="20.25" customHeight="1">
      <c r="C94" s="528"/>
      <c r="E94" s="528"/>
      <c r="G94" s="528"/>
      <c r="I94" s="528"/>
      <c r="M94" s="528"/>
      <c r="O94" s="528"/>
      <c r="Q94" s="528"/>
      <c r="S94" s="528"/>
      <c r="U94" s="528"/>
      <c r="W94" s="528"/>
      <c r="Y94" s="528"/>
      <c r="AA94" s="528"/>
      <c r="AC94" s="528"/>
      <c r="AE94" s="528"/>
      <c r="AG94" s="528"/>
      <c r="AI94" s="528"/>
      <c r="AK94" s="528"/>
      <c r="AM94" s="528"/>
      <c r="AO94" s="528"/>
    </row>
    <row r="95" spans="3:41" s="156" customFormat="1" ht="20.25" customHeight="1">
      <c r="C95" s="528"/>
      <c r="E95" s="528"/>
      <c r="G95" s="528"/>
      <c r="I95" s="528"/>
      <c r="M95" s="528"/>
      <c r="O95" s="528"/>
      <c r="Q95" s="528"/>
      <c r="S95" s="528"/>
      <c r="U95" s="528"/>
      <c r="W95" s="528"/>
      <c r="Y95" s="528"/>
      <c r="AA95" s="528"/>
      <c r="AC95" s="528"/>
      <c r="AE95" s="528"/>
      <c r="AG95" s="528"/>
      <c r="AI95" s="528"/>
      <c r="AK95" s="528"/>
      <c r="AM95" s="528"/>
      <c r="AO95" s="528"/>
    </row>
    <row r="96" spans="3:41" s="156" customFormat="1" ht="24" customHeight="1">
      <c r="C96" s="528"/>
      <c r="E96" s="528"/>
      <c r="G96" s="528"/>
      <c r="I96" s="528"/>
      <c r="M96" s="528"/>
      <c r="O96" s="528"/>
      <c r="Q96" s="528"/>
      <c r="S96" s="528"/>
      <c r="U96" s="528"/>
      <c r="W96" s="528"/>
      <c r="Y96" s="528"/>
      <c r="AA96" s="528"/>
      <c r="AC96" s="528"/>
      <c r="AE96" s="528"/>
      <c r="AG96" s="528"/>
      <c r="AI96" s="528"/>
      <c r="AK96" s="528"/>
      <c r="AM96" s="528"/>
      <c r="AO96" s="528"/>
    </row>
    <row r="97" spans="3:41" s="156" customFormat="1" ht="12.75">
      <c r="C97" s="528"/>
      <c r="E97" s="528"/>
      <c r="G97" s="528"/>
      <c r="I97" s="528"/>
      <c r="M97" s="528"/>
      <c r="O97" s="528"/>
      <c r="Q97" s="528"/>
      <c r="S97" s="528"/>
      <c r="U97" s="528"/>
      <c r="W97" s="528"/>
      <c r="Y97" s="528"/>
      <c r="AA97" s="528"/>
      <c r="AC97" s="528"/>
      <c r="AE97" s="528"/>
      <c r="AG97" s="528"/>
      <c r="AI97" s="528"/>
      <c r="AK97" s="528"/>
      <c r="AM97" s="528"/>
      <c r="AO97" s="528"/>
    </row>
    <row r="98" spans="3:41" s="156" customFormat="1" ht="12.75">
      <c r="C98" s="528"/>
      <c r="E98" s="528"/>
      <c r="G98" s="528"/>
      <c r="I98" s="528"/>
      <c r="M98" s="528"/>
      <c r="O98" s="528"/>
      <c r="Q98" s="528"/>
      <c r="S98" s="528"/>
      <c r="U98" s="528"/>
      <c r="W98" s="528"/>
      <c r="Y98" s="528"/>
      <c r="AA98" s="528"/>
      <c r="AC98" s="528"/>
      <c r="AE98" s="528"/>
      <c r="AG98" s="528"/>
      <c r="AI98" s="528"/>
      <c r="AK98" s="528"/>
      <c r="AM98" s="528"/>
      <c r="AO98" s="528"/>
    </row>
    <row r="99" spans="3:41" s="156" customFormat="1" ht="69" customHeight="1">
      <c r="C99" s="528"/>
      <c r="E99" s="528"/>
      <c r="G99" s="528"/>
      <c r="I99" s="528"/>
      <c r="M99" s="528"/>
      <c r="O99" s="528"/>
      <c r="Q99" s="528"/>
      <c r="S99" s="528"/>
      <c r="U99" s="528"/>
      <c r="W99" s="528"/>
      <c r="Y99" s="528"/>
      <c r="AA99" s="528"/>
      <c r="AC99" s="528"/>
      <c r="AE99" s="528"/>
      <c r="AG99" s="528"/>
      <c r="AI99" s="528"/>
      <c r="AK99" s="528"/>
      <c r="AM99" s="528"/>
      <c r="AO99" s="528"/>
    </row>
    <row r="100" spans="3:41" s="156" customFormat="1" ht="21.75" customHeight="1">
      <c r="C100" s="528"/>
      <c r="E100" s="528"/>
      <c r="G100" s="528"/>
      <c r="I100" s="528"/>
      <c r="M100" s="528"/>
      <c r="O100" s="528"/>
      <c r="Q100" s="528"/>
      <c r="S100" s="528"/>
      <c r="U100" s="528"/>
      <c r="W100" s="528"/>
      <c r="Y100" s="528"/>
      <c r="AA100" s="528"/>
      <c r="AC100" s="528"/>
      <c r="AE100" s="528"/>
      <c r="AG100" s="528"/>
      <c r="AI100" s="528"/>
      <c r="AK100" s="528"/>
      <c r="AM100" s="528"/>
      <c r="AO100" s="528"/>
    </row>
    <row r="101" spans="3:41" s="156" customFormat="1" ht="27" customHeight="1">
      <c r="C101" s="528"/>
      <c r="E101" s="528"/>
      <c r="G101" s="528"/>
      <c r="I101" s="528"/>
      <c r="M101" s="528"/>
      <c r="O101" s="528"/>
      <c r="Q101" s="528"/>
      <c r="S101" s="528"/>
      <c r="U101" s="528"/>
      <c r="W101" s="528"/>
      <c r="Y101" s="528"/>
      <c r="AA101" s="528"/>
      <c r="AC101" s="528"/>
      <c r="AE101" s="528"/>
      <c r="AG101" s="528"/>
      <c r="AI101" s="528"/>
      <c r="AK101" s="528"/>
      <c r="AM101" s="528"/>
      <c r="AO101" s="528"/>
    </row>
    <row r="102" spans="3:41" s="156" customFormat="1" ht="21" customHeight="1">
      <c r="C102" s="528"/>
      <c r="E102" s="528"/>
      <c r="G102" s="528"/>
      <c r="I102" s="528"/>
      <c r="M102" s="528"/>
      <c r="O102" s="528"/>
      <c r="Q102" s="528"/>
      <c r="S102" s="528"/>
      <c r="U102" s="528"/>
      <c r="W102" s="528"/>
      <c r="Y102" s="528"/>
      <c r="AA102" s="528"/>
      <c r="AC102" s="528"/>
      <c r="AE102" s="528"/>
      <c r="AG102" s="528"/>
      <c r="AI102" s="528"/>
      <c r="AK102" s="528"/>
      <c r="AM102" s="528"/>
      <c r="AO102" s="528"/>
    </row>
    <row r="103" spans="3:41" s="156" customFormat="1" ht="20.25" customHeight="1">
      <c r="C103" s="528"/>
      <c r="E103" s="528"/>
      <c r="G103" s="528"/>
      <c r="I103" s="528"/>
      <c r="M103" s="528"/>
      <c r="O103" s="528"/>
      <c r="Q103" s="528"/>
      <c r="S103" s="528"/>
      <c r="U103" s="528"/>
      <c r="W103" s="528"/>
      <c r="Y103" s="528"/>
      <c r="AA103" s="528"/>
      <c r="AC103" s="528"/>
      <c r="AE103" s="528"/>
      <c r="AG103" s="528"/>
      <c r="AI103" s="528"/>
      <c r="AK103" s="528"/>
      <c r="AM103" s="528"/>
      <c r="AO103" s="528"/>
    </row>
    <row r="104" spans="3:41" s="156" customFormat="1" ht="20.25" customHeight="1">
      <c r="C104" s="528"/>
      <c r="E104" s="528"/>
      <c r="G104" s="528"/>
      <c r="I104" s="528"/>
      <c r="M104" s="528"/>
      <c r="O104" s="528"/>
      <c r="Q104" s="528"/>
      <c r="S104" s="528"/>
      <c r="U104" s="528"/>
      <c r="W104" s="528"/>
      <c r="Y104" s="528"/>
      <c r="AA104" s="528"/>
      <c r="AC104" s="528"/>
      <c r="AE104" s="528"/>
      <c r="AG104" s="528"/>
      <c r="AI104" s="528"/>
      <c r="AK104" s="528"/>
      <c r="AM104" s="528"/>
      <c r="AO104" s="528"/>
    </row>
    <row r="105" spans="3:41" s="156" customFormat="1" ht="20.25" customHeight="1">
      <c r="C105" s="528"/>
      <c r="E105" s="528"/>
      <c r="G105" s="528"/>
      <c r="I105" s="528"/>
      <c r="M105" s="528"/>
      <c r="O105" s="528"/>
      <c r="Q105" s="528"/>
      <c r="S105" s="528"/>
      <c r="U105" s="528"/>
      <c r="W105" s="528"/>
      <c r="Y105" s="528"/>
      <c r="AA105" s="528"/>
      <c r="AC105" s="528"/>
      <c r="AE105" s="528"/>
      <c r="AG105" s="528"/>
      <c r="AI105" s="528"/>
      <c r="AK105" s="528"/>
      <c r="AM105" s="528"/>
      <c r="AO105" s="528"/>
    </row>
    <row r="106" spans="3:41" s="156" customFormat="1" ht="20.25" customHeight="1">
      <c r="C106" s="528"/>
      <c r="E106" s="528"/>
      <c r="G106" s="528"/>
      <c r="I106" s="528"/>
      <c r="M106" s="528"/>
      <c r="O106" s="528"/>
      <c r="Q106" s="528"/>
      <c r="S106" s="528"/>
      <c r="U106" s="528"/>
      <c r="W106" s="528"/>
      <c r="Y106" s="528"/>
      <c r="AA106" s="528"/>
      <c r="AC106" s="528"/>
      <c r="AE106" s="528"/>
      <c r="AG106" s="528"/>
      <c r="AI106" s="528"/>
      <c r="AK106" s="528"/>
      <c r="AM106" s="528"/>
      <c r="AO106" s="528"/>
    </row>
    <row r="107" spans="3:41" s="156" customFormat="1" ht="21.75" customHeight="1">
      <c r="C107" s="528"/>
      <c r="E107" s="528"/>
      <c r="G107" s="528"/>
      <c r="I107" s="528"/>
      <c r="M107" s="528"/>
      <c r="O107" s="528"/>
      <c r="Q107" s="528"/>
      <c r="S107" s="528"/>
      <c r="U107" s="528"/>
      <c r="W107" s="528"/>
      <c r="Y107" s="528"/>
      <c r="AA107" s="528"/>
      <c r="AC107" s="528"/>
      <c r="AE107" s="528"/>
      <c r="AG107" s="528"/>
      <c r="AI107" s="528"/>
      <c r="AK107" s="528"/>
      <c r="AM107" s="528"/>
      <c r="AO107" s="528"/>
    </row>
    <row r="108" spans="3:41" s="156" customFormat="1" ht="20.25" customHeight="1">
      <c r="C108" s="528"/>
      <c r="E108" s="528"/>
      <c r="G108" s="528"/>
      <c r="I108" s="528"/>
      <c r="M108" s="528"/>
      <c r="O108" s="528"/>
      <c r="Q108" s="528"/>
      <c r="S108" s="528"/>
      <c r="U108" s="528"/>
      <c r="W108" s="528"/>
      <c r="Y108" s="528"/>
      <c r="AA108" s="528"/>
      <c r="AC108" s="528"/>
      <c r="AE108" s="528"/>
      <c r="AG108" s="528"/>
      <c r="AI108" s="528"/>
      <c r="AK108" s="528"/>
      <c r="AM108" s="528"/>
      <c r="AO108" s="528"/>
    </row>
    <row r="109" spans="3:41" s="156" customFormat="1" ht="24" customHeight="1">
      <c r="C109" s="528"/>
      <c r="E109" s="528"/>
      <c r="G109" s="528"/>
      <c r="I109" s="528"/>
      <c r="M109" s="528"/>
      <c r="O109" s="528"/>
      <c r="Q109" s="528"/>
      <c r="S109" s="528"/>
      <c r="U109" s="528"/>
      <c r="W109" s="528"/>
      <c r="Y109" s="528"/>
      <c r="AA109" s="528"/>
      <c r="AC109" s="528"/>
      <c r="AE109" s="528"/>
      <c r="AG109" s="528"/>
      <c r="AI109" s="528"/>
      <c r="AK109" s="528"/>
      <c r="AM109" s="528"/>
      <c r="AO109" s="528"/>
    </row>
    <row r="110" spans="3:41" s="156" customFormat="1" ht="12.75">
      <c r="C110" s="528"/>
      <c r="E110" s="528"/>
      <c r="G110" s="528"/>
      <c r="I110" s="528"/>
      <c r="M110" s="528"/>
      <c r="O110" s="528"/>
      <c r="Q110" s="528"/>
      <c r="S110" s="528"/>
      <c r="U110" s="528"/>
      <c r="W110" s="528"/>
      <c r="Y110" s="528"/>
      <c r="AA110" s="528"/>
      <c r="AC110" s="528"/>
      <c r="AE110" s="528"/>
      <c r="AG110" s="528"/>
      <c r="AI110" s="528"/>
      <c r="AK110" s="528"/>
      <c r="AM110" s="528"/>
      <c r="AO110" s="528"/>
    </row>
    <row r="111" spans="3:41" s="156" customFormat="1" ht="12.75">
      <c r="C111" s="528"/>
      <c r="E111" s="528"/>
      <c r="G111" s="528"/>
      <c r="I111" s="528"/>
      <c r="M111" s="528"/>
      <c r="O111" s="528"/>
      <c r="Q111" s="528"/>
      <c r="S111" s="528"/>
      <c r="U111" s="528"/>
      <c r="W111" s="528"/>
      <c r="Y111" s="528"/>
      <c r="AA111" s="528"/>
      <c r="AC111" s="528"/>
      <c r="AE111" s="528"/>
      <c r="AG111" s="528"/>
      <c r="AI111" s="528"/>
      <c r="AK111" s="528"/>
      <c r="AM111" s="528"/>
      <c r="AO111" s="528"/>
    </row>
  </sheetData>
  <sheetProtection/>
  <mergeCells count="21">
    <mergeCell ref="AL2:AM2"/>
    <mergeCell ref="AN2:AO2"/>
    <mergeCell ref="AH2:AI2"/>
    <mergeCell ref="AF2:AG2"/>
    <mergeCell ref="AJ2:AK2"/>
    <mergeCell ref="AD2:AE2"/>
    <mergeCell ref="L2:M2"/>
    <mergeCell ref="F2:G2"/>
    <mergeCell ref="Z2:AA2"/>
    <mergeCell ref="R2:S2"/>
    <mergeCell ref="P2:Q2"/>
    <mergeCell ref="X2:Y2"/>
    <mergeCell ref="H2:I2"/>
    <mergeCell ref="N2:O2"/>
    <mergeCell ref="J2:K2"/>
    <mergeCell ref="AB2:AC2"/>
    <mergeCell ref="D2:E2"/>
    <mergeCell ref="A2:A3"/>
    <mergeCell ref="B2:C2"/>
    <mergeCell ref="T2:U2"/>
    <mergeCell ref="V2:W2"/>
  </mergeCells>
  <printOptions/>
  <pageMargins left="0" right="0.07" top="0.8" bottom="0.5" header="0.55" footer="0.511811023622047"/>
  <pageSetup horizontalDpi="600" verticalDpi="600" orientation="landscape" paperSize="9" scale="95" r:id="rId1"/>
  <headerFooter alignWithMargins="0">
    <oddHeader>&amp;L&amp;"Arial,Bold"&amp;9Appendix IV : Fellowship (IR) under Bilateral Programme (TICP FY2011)
</oddHeader>
  </headerFooter>
</worksheet>
</file>

<file path=xl/worksheets/sheet5.xml><?xml version="1.0" encoding="utf-8"?>
<worksheet xmlns="http://schemas.openxmlformats.org/spreadsheetml/2006/main" xmlns:r="http://schemas.openxmlformats.org/officeDocument/2006/relationships">
  <sheetPr>
    <tabColor indexed="13"/>
  </sheetPr>
  <dimension ref="A1:L89"/>
  <sheetViews>
    <sheetView zoomScalePageLayoutView="0" workbookViewId="0" topLeftCell="A1">
      <selection activeCell="A1" sqref="A1:IV16384"/>
    </sheetView>
  </sheetViews>
  <sheetFormatPr defaultColWidth="9.140625" defaultRowHeight="12.75"/>
  <cols>
    <col min="1" max="1" width="19.421875" style="400" customWidth="1"/>
    <col min="2" max="2" width="3.140625" style="321" customWidth="1"/>
    <col min="3" max="3" width="57.28125" style="400" customWidth="1"/>
    <col min="4" max="4" width="5.28125" style="944" customWidth="1"/>
    <col min="5" max="5" width="9.28125" style="927" customWidth="1"/>
    <col min="6" max="6" width="4.421875" style="944" customWidth="1"/>
    <col min="7" max="7" width="8.00390625" style="927" customWidth="1"/>
    <col min="8" max="8" width="4.7109375" style="945" customWidth="1"/>
    <col min="9" max="10" width="8.28125" style="927" customWidth="1"/>
    <col min="11" max="11" width="9.28125" style="927" bestFit="1" customWidth="1"/>
    <col min="12" max="12" width="9.421875" style="927" customWidth="1"/>
    <col min="13" max="16384" width="9.140625" style="400" customWidth="1"/>
  </cols>
  <sheetData>
    <row r="1" spans="1:11" ht="23.25" thickBot="1">
      <c r="A1" s="884" t="s">
        <v>501</v>
      </c>
      <c r="B1" s="976"/>
      <c r="C1" s="925"/>
      <c r="D1" s="841"/>
      <c r="E1" s="840"/>
      <c r="F1" s="841"/>
      <c r="G1" s="840"/>
      <c r="H1" s="926"/>
      <c r="K1" s="692" t="s">
        <v>102</v>
      </c>
    </row>
    <row r="2" spans="1:12" s="946" customFormat="1" ht="22.5" thickBot="1">
      <c r="A2" s="1259" t="s">
        <v>1</v>
      </c>
      <c r="B2" s="1261"/>
      <c r="C2" s="1259" t="s">
        <v>103</v>
      </c>
      <c r="D2" s="1254" t="s">
        <v>121</v>
      </c>
      <c r="E2" s="1254"/>
      <c r="F2" s="1254" t="s">
        <v>67</v>
      </c>
      <c r="G2" s="1254"/>
      <c r="H2" s="1254" t="s">
        <v>68</v>
      </c>
      <c r="I2" s="1254"/>
      <c r="J2" s="1255" t="s">
        <v>64</v>
      </c>
      <c r="K2" s="1257" t="s">
        <v>65</v>
      </c>
      <c r="L2" s="1257" t="s">
        <v>66</v>
      </c>
    </row>
    <row r="3" spans="1:12" s="946" customFormat="1" ht="29.25" customHeight="1" thickBot="1">
      <c r="A3" s="1260"/>
      <c r="B3" s="1262"/>
      <c r="C3" s="1263"/>
      <c r="D3" s="885" t="s">
        <v>10</v>
      </c>
      <c r="E3" s="886" t="s">
        <v>9</v>
      </c>
      <c r="F3" s="885" t="s">
        <v>10</v>
      </c>
      <c r="G3" s="886" t="s">
        <v>9</v>
      </c>
      <c r="H3" s="887" t="s">
        <v>10</v>
      </c>
      <c r="I3" s="886" t="s">
        <v>9</v>
      </c>
      <c r="J3" s="1256"/>
      <c r="K3" s="1258"/>
      <c r="L3" s="1258"/>
    </row>
    <row r="4" spans="1:12" s="946" customFormat="1" ht="21.75">
      <c r="A4" s="858" t="s">
        <v>285</v>
      </c>
      <c r="B4" s="977"/>
      <c r="C4" s="858" t="s">
        <v>105</v>
      </c>
      <c r="D4" s="888"/>
      <c r="E4" s="889"/>
      <c r="F4" s="888"/>
      <c r="G4" s="889"/>
      <c r="H4" s="890"/>
      <c r="I4" s="889"/>
      <c r="J4" s="891"/>
      <c r="K4" s="892"/>
      <c r="L4" s="892"/>
    </row>
    <row r="5" spans="1:12" s="928" customFormat="1" ht="39.75" customHeight="1">
      <c r="A5" s="859" t="s">
        <v>277</v>
      </c>
      <c r="B5" s="893">
        <v>1</v>
      </c>
      <c r="C5" s="1084" t="s">
        <v>373</v>
      </c>
      <c r="D5" s="912"/>
      <c r="E5" s="913"/>
      <c r="F5" s="912"/>
      <c r="G5" s="913"/>
      <c r="H5" s="914"/>
      <c r="I5" s="913"/>
      <c r="J5" s="929"/>
      <c r="K5" s="931">
        <v>3375.1</v>
      </c>
      <c r="L5" s="931">
        <f>SUM(E5,G5,I5,J5,K5)</f>
        <v>3375.1</v>
      </c>
    </row>
    <row r="6" spans="1:12" s="946" customFormat="1" ht="21.75">
      <c r="A6" s="947"/>
      <c r="B6" s="978"/>
      <c r="C6" s="895" t="s">
        <v>107</v>
      </c>
      <c r="D6" s="896">
        <f>SUM(D5)</f>
        <v>0</v>
      </c>
      <c r="E6" s="896">
        <f>SUM(E5)</f>
        <v>0</v>
      </c>
      <c r="F6" s="896">
        <f>SUM(F5)</f>
        <v>0</v>
      </c>
      <c r="G6" s="896">
        <f>SUM(G5)</f>
        <v>0</v>
      </c>
      <c r="H6" s="897">
        <f>SUM(H5:H5)</f>
        <v>0</v>
      </c>
      <c r="I6" s="896">
        <f>SUM(I5:I5)</f>
        <v>0</v>
      </c>
      <c r="J6" s="898">
        <f>SUM(J5:J5)</f>
        <v>0</v>
      </c>
      <c r="K6" s="896">
        <f>SUM(K5:K5)</f>
        <v>3375.1</v>
      </c>
      <c r="L6" s="896">
        <f>SUM(L5:L5)</f>
        <v>3375.1</v>
      </c>
    </row>
    <row r="7" spans="1:12" s="946" customFormat="1" ht="21.75">
      <c r="A7" s="858" t="s">
        <v>284</v>
      </c>
      <c r="B7" s="979"/>
      <c r="C7" s="899" t="s">
        <v>105</v>
      </c>
      <c r="D7" s="948"/>
      <c r="E7" s="900"/>
      <c r="F7" s="948"/>
      <c r="G7" s="900"/>
      <c r="H7" s="949"/>
      <c r="I7" s="900"/>
      <c r="J7" s="900"/>
      <c r="K7" s="900"/>
      <c r="L7" s="900"/>
    </row>
    <row r="8" spans="1:12" s="883" customFormat="1" ht="41.25" customHeight="1">
      <c r="A8" s="875" t="s">
        <v>277</v>
      </c>
      <c r="B8" s="878">
        <v>2</v>
      </c>
      <c r="C8" s="879" t="s">
        <v>371</v>
      </c>
      <c r="D8" s="880"/>
      <c r="E8" s="881"/>
      <c r="F8" s="880"/>
      <c r="G8" s="881"/>
      <c r="H8" s="882">
        <v>6</v>
      </c>
      <c r="I8" s="881">
        <v>276.3</v>
      </c>
      <c r="J8" s="881">
        <v>1727.5</v>
      </c>
      <c r="K8" s="964">
        <f>351.5</f>
        <v>351.5</v>
      </c>
      <c r="L8" s="965">
        <f>SUM(E8,G8,I8,J8,K8)</f>
        <v>2355.3</v>
      </c>
    </row>
    <row r="9" spans="1:12" s="946" customFormat="1" ht="21.75">
      <c r="A9" s="950"/>
      <c r="B9" s="980"/>
      <c r="C9" s="901" t="s">
        <v>107</v>
      </c>
      <c r="D9" s="902">
        <f>SUM(D8)</f>
        <v>0</v>
      </c>
      <c r="E9" s="902">
        <f>SUM(E8)</f>
        <v>0</v>
      </c>
      <c r="F9" s="902">
        <f>SUM(F8)</f>
        <v>0</v>
      </c>
      <c r="G9" s="902">
        <f>SUM(G8)</f>
        <v>0</v>
      </c>
      <c r="H9" s="903">
        <f>SUM(H8:H8)</f>
        <v>6</v>
      </c>
      <c r="I9" s="902">
        <f>SUM(I8:I8)</f>
        <v>276.3</v>
      </c>
      <c r="J9" s="902">
        <f>SUM(J8:J8)</f>
        <v>1727.5</v>
      </c>
      <c r="K9" s="902">
        <f>SUM(K8:K8)</f>
        <v>351.5</v>
      </c>
      <c r="L9" s="896">
        <f>SUM(L8:L8)</f>
        <v>2355.3</v>
      </c>
    </row>
    <row r="10" spans="1:12" s="946" customFormat="1" ht="21.75">
      <c r="A10" s="858" t="s">
        <v>319</v>
      </c>
      <c r="B10" s="979"/>
      <c r="C10" s="899" t="s">
        <v>106</v>
      </c>
      <c r="D10" s="948"/>
      <c r="E10" s="900"/>
      <c r="F10" s="948"/>
      <c r="G10" s="900"/>
      <c r="H10" s="949"/>
      <c r="I10" s="900"/>
      <c r="J10" s="900"/>
      <c r="K10" s="900"/>
      <c r="L10" s="900"/>
    </row>
    <row r="11" spans="1:12" s="928" customFormat="1" ht="39.75" customHeight="1">
      <c r="A11" s="859" t="s">
        <v>277</v>
      </c>
      <c r="B11" s="904">
        <v>3</v>
      </c>
      <c r="C11" s="1084" t="s">
        <v>320</v>
      </c>
      <c r="D11" s="905" t="s">
        <v>12</v>
      </c>
      <c r="E11" s="906" t="s">
        <v>12</v>
      </c>
      <c r="F11" s="905" t="s">
        <v>12</v>
      </c>
      <c r="G11" s="906" t="s">
        <v>12</v>
      </c>
      <c r="H11" s="930">
        <f>1+2+3</f>
        <v>6</v>
      </c>
      <c r="I11" s="931">
        <f>159.6+51.2+143.5</f>
        <v>354.3</v>
      </c>
      <c r="J11" s="931">
        <v>2494.6</v>
      </c>
      <c r="K11" s="894" t="s">
        <v>12</v>
      </c>
      <c r="L11" s="931">
        <f>SUM(E11,G11,I11,J11,K11)</f>
        <v>2848.9</v>
      </c>
    </row>
    <row r="12" spans="1:12" s="946" customFormat="1" ht="21.75">
      <c r="A12" s="947"/>
      <c r="B12" s="978"/>
      <c r="C12" s="895" t="s">
        <v>107</v>
      </c>
      <c r="D12" s="896">
        <f>SUM(D11)</f>
        <v>0</v>
      </c>
      <c r="E12" s="896">
        <f>SUM(E11)</f>
        <v>0</v>
      </c>
      <c r="F12" s="896">
        <f>SUM(F11)</f>
        <v>0</v>
      </c>
      <c r="G12" s="896">
        <f>SUM(G11)</f>
        <v>0</v>
      </c>
      <c r="H12" s="897">
        <f>SUM(H11:H11)</f>
        <v>6</v>
      </c>
      <c r="I12" s="896">
        <f>SUM(I11:I11)</f>
        <v>354.3</v>
      </c>
      <c r="J12" s="896">
        <f>SUM(J11:J11)</f>
        <v>2494.6</v>
      </c>
      <c r="K12" s="898">
        <f>SUM(K11:K11)</f>
        <v>0</v>
      </c>
      <c r="L12" s="896">
        <f>SUM(L11:L11)</f>
        <v>2848.9</v>
      </c>
    </row>
    <row r="13" spans="1:12" s="946" customFormat="1" ht="21.75">
      <c r="A13" s="858" t="s">
        <v>104</v>
      </c>
      <c r="B13" s="979"/>
      <c r="C13" s="858" t="s">
        <v>105</v>
      </c>
      <c r="D13" s="951"/>
      <c r="E13" s="952"/>
      <c r="F13" s="951"/>
      <c r="G13" s="952"/>
      <c r="H13" s="953"/>
      <c r="I13" s="952"/>
      <c r="J13" s="952"/>
      <c r="K13" s="952"/>
      <c r="L13" s="907"/>
    </row>
    <row r="14" spans="1:12" s="932" customFormat="1" ht="42.75" customHeight="1">
      <c r="A14" s="860" t="s">
        <v>171</v>
      </c>
      <c r="B14" s="893">
        <v>4</v>
      </c>
      <c r="C14" s="859" t="s">
        <v>276</v>
      </c>
      <c r="D14" s="905"/>
      <c r="E14" s="906"/>
      <c r="F14" s="938">
        <v>1</v>
      </c>
      <c r="G14" s="876">
        <f>(66.9+33.1)*1.1</f>
        <v>110.00000000000001</v>
      </c>
      <c r="H14" s="908" t="s">
        <v>12</v>
      </c>
      <c r="I14" s="906" t="s">
        <v>12</v>
      </c>
      <c r="J14" s="906" t="s">
        <v>12</v>
      </c>
      <c r="K14" s="906"/>
      <c r="L14" s="931">
        <f>SUM(E14,G14,I14,J14,K14)</f>
        <v>110.00000000000001</v>
      </c>
    </row>
    <row r="15" spans="1:12" s="932" customFormat="1" ht="21">
      <c r="A15" s="860"/>
      <c r="B15" s="893">
        <v>5</v>
      </c>
      <c r="C15" s="873" t="s">
        <v>362</v>
      </c>
      <c r="D15" s="905" t="s">
        <v>12</v>
      </c>
      <c r="E15" s="906" t="s">
        <v>12</v>
      </c>
      <c r="F15" s="905" t="s">
        <v>12</v>
      </c>
      <c r="G15" s="906" t="s">
        <v>12</v>
      </c>
      <c r="H15" s="939">
        <v>2</v>
      </c>
      <c r="I15" s="876">
        <f>164.8+25.2</f>
        <v>190</v>
      </c>
      <c r="J15" s="906"/>
      <c r="K15" s="906"/>
      <c r="L15" s="931">
        <f>SUM(E15,G15,I15,J15,K15)</f>
        <v>190</v>
      </c>
    </row>
    <row r="16" spans="1:12" s="424" customFormat="1" ht="39.75" customHeight="1">
      <c r="A16" s="859" t="s">
        <v>277</v>
      </c>
      <c r="B16" s="954">
        <v>6</v>
      </c>
      <c r="C16" s="1083" t="s">
        <v>371</v>
      </c>
      <c r="D16" s="937"/>
      <c r="E16" s="931"/>
      <c r="F16" s="937"/>
      <c r="G16" s="931"/>
      <c r="H16" s="930"/>
      <c r="I16" s="931"/>
      <c r="J16" s="931"/>
      <c r="K16" s="931">
        <v>432.2</v>
      </c>
      <c r="L16" s="931">
        <f>SUM(E16,G16,I16,J16,K16)</f>
        <v>432.2</v>
      </c>
    </row>
    <row r="17" spans="1:12" s="946" customFormat="1" ht="21.75">
      <c r="A17" s="947"/>
      <c r="B17" s="978"/>
      <c r="C17" s="895" t="s">
        <v>107</v>
      </c>
      <c r="D17" s="898">
        <f aca="true" t="shared" si="0" ref="D17:J17">SUM(D14:D15)</f>
        <v>0</v>
      </c>
      <c r="E17" s="896">
        <f t="shared" si="0"/>
        <v>0</v>
      </c>
      <c r="F17" s="898">
        <f>SUM(F14:F16)</f>
        <v>1</v>
      </c>
      <c r="G17" s="896">
        <f>SUM(G14:G16)</f>
        <v>110.00000000000001</v>
      </c>
      <c r="H17" s="897">
        <f>SUM(H14:H16)</f>
        <v>2</v>
      </c>
      <c r="I17" s="896">
        <f>SUM(I14:I16)</f>
        <v>190</v>
      </c>
      <c r="J17" s="896">
        <f t="shared" si="0"/>
        <v>0</v>
      </c>
      <c r="K17" s="896">
        <f>SUM(K16)</f>
        <v>432.2</v>
      </c>
      <c r="L17" s="896">
        <f>SUM(L14:L16)</f>
        <v>732.2</v>
      </c>
    </row>
    <row r="18" spans="1:12" s="946" customFormat="1" ht="21.75">
      <c r="A18" s="899" t="s">
        <v>286</v>
      </c>
      <c r="B18" s="977"/>
      <c r="C18" s="899" t="s">
        <v>105</v>
      </c>
      <c r="D18" s="888"/>
      <c r="E18" s="889"/>
      <c r="F18" s="888"/>
      <c r="G18" s="889"/>
      <c r="H18" s="890"/>
      <c r="I18" s="889"/>
      <c r="J18" s="889"/>
      <c r="K18" s="889"/>
      <c r="L18" s="900"/>
    </row>
    <row r="19" spans="1:12" s="928" customFormat="1" ht="20.25" customHeight="1">
      <c r="A19" s="859" t="s">
        <v>277</v>
      </c>
      <c r="B19" s="893">
        <v>7</v>
      </c>
      <c r="C19" s="873" t="s">
        <v>377</v>
      </c>
      <c r="D19" s="905" t="s">
        <v>12</v>
      </c>
      <c r="E19" s="905" t="s">
        <v>12</v>
      </c>
      <c r="F19" s="905" t="s">
        <v>12</v>
      </c>
      <c r="G19" s="905" t="s">
        <v>12</v>
      </c>
      <c r="H19" s="908" t="s">
        <v>12</v>
      </c>
      <c r="I19" s="905" t="s">
        <v>12</v>
      </c>
      <c r="J19" s="894"/>
      <c r="K19" s="894">
        <v>2848.4</v>
      </c>
      <c r="L19" s="894">
        <f>SUM(E19,G19,I19,J19,K19)</f>
        <v>2848.4</v>
      </c>
    </row>
    <row r="20" spans="1:12" s="946" customFormat="1" ht="21.75">
      <c r="A20" s="947"/>
      <c r="B20" s="978"/>
      <c r="C20" s="895" t="s">
        <v>107</v>
      </c>
      <c r="D20" s="898">
        <f>SUM(D19)</f>
        <v>0</v>
      </c>
      <c r="E20" s="896">
        <f>SUM(E19)</f>
        <v>0</v>
      </c>
      <c r="F20" s="898">
        <f aca="true" t="shared" si="1" ref="F20:L20">SUM(F19)</f>
        <v>0</v>
      </c>
      <c r="G20" s="896">
        <f t="shared" si="1"/>
        <v>0</v>
      </c>
      <c r="H20" s="897">
        <f t="shared" si="1"/>
        <v>0</v>
      </c>
      <c r="I20" s="896">
        <f t="shared" si="1"/>
        <v>0</v>
      </c>
      <c r="J20" s="896">
        <f t="shared" si="1"/>
        <v>0</v>
      </c>
      <c r="K20" s="896">
        <f t="shared" si="1"/>
        <v>2848.4</v>
      </c>
      <c r="L20" s="896">
        <f t="shared" si="1"/>
        <v>2848.4</v>
      </c>
    </row>
    <row r="21" spans="1:12" s="946" customFormat="1" ht="21.75">
      <c r="A21" s="858" t="s">
        <v>108</v>
      </c>
      <c r="B21" s="979"/>
      <c r="C21" s="858" t="s">
        <v>105</v>
      </c>
      <c r="D21" s="948"/>
      <c r="E21" s="900"/>
      <c r="F21" s="948"/>
      <c r="G21" s="900"/>
      <c r="H21" s="949"/>
      <c r="I21" s="900"/>
      <c r="J21" s="900"/>
      <c r="K21" s="900"/>
      <c r="L21" s="900"/>
    </row>
    <row r="22" spans="1:12" s="928" customFormat="1" ht="60.75">
      <c r="A22" s="859" t="s">
        <v>172</v>
      </c>
      <c r="B22" s="904">
        <v>8</v>
      </c>
      <c r="C22" s="859" t="s">
        <v>223</v>
      </c>
      <c r="D22" s="967">
        <v>55</v>
      </c>
      <c r="E22" s="966">
        <f>2299.9*1.1</f>
        <v>2529.8900000000003</v>
      </c>
      <c r="F22" s="967"/>
      <c r="G22" s="966"/>
      <c r="H22" s="968"/>
      <c r="I22" s="969"/>
      <c r="J22" s="969" t="s">
        <v>12</v>
      </c>
      <c r="K22" s="969"/>
      <c r="L22" s="931">
        <f>SUM(E22,G22,I22,J22,K22)</f>
        <v>2529.8900000000003</v>
      </c>
    </row>
    <row r="23" spans="1:12" s="928" customFormat="1" ht="40.5" customHeight="1">
      <c r="A23" s="859" t="s">
        <v>277</v>
      </c>
      <c r="B23" s="910">
        <v>9</v>
      </c>
      <c r="C23" s="933" t="s">
        <v>371</v>
      </c>
      <c r="D23" s="934"/>
      <c r="E23" s="935"/>
      <c r="F23" s="934"/>
      <c r="G23" s="935"/>
      <c r="H23" s="936"/>
      <c r="I23" s="935"/>
      <c r="J23" s="876">
        <f>1022.5</f>
        <v>1022.5</v>
      </c>
      <c r="K23" s="876">
        <f>432.2+276.3+111.8</f>
        <v>820.3</v>
      </c>
      <c r="L23" s="931">
        <f>SUM(E23,G23,I23,J23,K23)</f>
        <v>1842.8</v>
      </c>
    </row>
    <row r="24" spans="2:12" s="946" customFormat="1" ht="21.75">
      <c r="B24" s="963"/>
      <c r="C24" s="899" t="s">
        <v>106</v>
      </c>
      <c r="D24" s="971"/>
      <c r="E24" s="972"/>
      <c r="F24" s="971"/>
      <c r="G24" s="972"/>
      <c r="H24" s="973"/>
      <c r="I24" s="974"/>
      <c r="J24" s="974"/>
      <c r="K24" s="974"/>
      <c r="L24" s="972"/>
    </row>
    <row r="25" spans="1:12" s="928" customFormat="1" ht="21">
      <c r="A25" s="862" t="s">
        <v>173</v>
      </c>
      <c r="B25" s="909">
        <v>10</v>
      </c>
      <c r="C25" s="862" t="s">
        <v>201</v>
      </c>
      <c r="D25" s="967"/>
      <c r="E25" s="966"/>
      <c r="F25" s="967">
        <v>0</v>
      </c>
      <c r="G25" s="966">
        <f>33.1*1.1</f>
        <v>36.410000000000004</v>
      </c>
      <c r="H25" s="968"/>
      <c r="I25" s="969"/>
      <c r="J25" s="969"/>
      <c r="K25" s="969"/>
      <c r="L25" s="931">
        <f aca="true" t="shared" si="2" ref="L25:L39">SUM(E25,G25,I25,J25,K25)</f>
        <v>36.410000000000004</v>
      </c>
    </row>
    <row r="26" spans="1:12" s="928" customFormat="1" ht="40.5">
      <c r="A26" s="862"/>
      <c r="B26" s="904">
        <v>11</v>
      </c>
      <c r="C26" s="859" t="s">
        <v>224</v>
      </c>
      <c r="D26" s="967">
        <f>21+5</f>
        <v>26</v>
      </c>
      <c r="E26" s="966">
        <f>(235.2+225.8)*1.1</f>
        <v>507.1</v>
      </c>
      <c r="F26" s="967"/>
      <c r="G26" s="966"/>
      <c r="H26" s="968"/>
      <c r="I26" s="969"/>
      <c r="J26" s="969" t="s">
        <v>12</v>
      </c>
      <c r="K26" s="969"/>
      <c r="L26" s="931">
        <f t="shared" si="2"/>
        <v>507.1</v>
      </c>
    </row>
    <row r="27" spans="1:12" s="928" customFormat="1" ht="21">
      <c r="A27" s="862"/>
      <c r="B27" s="904">
        <v>12</v>
      </c>
      <c r="C27" s="943" t="s">
        <v>259</v>
      </c>
      <c r="D27" s="967" t="s">
        <v>12</v>
      </c>
      <c r="E27" s="966" t="s">
        <v>12</v>
      </c>
      <c r="F27" s="967">
        <v>1</v>
      </c>
      <c r="G27" s="966">
        <f>355*1.1</f>
        <v>390.50000000000006</v>
      </c>
      <c r="H27" s="968">
        <v>3</v>
      </c>
      <c r="I27" s="969">
        <v>58.8</v>
      </c>
      <c r="J27" s="969" t="s">
        <v>12</v>
      </c>
      <c r="K27" s="969" t="s">
        <v>12</v>
      </c>
      <c r="L27" s="931">
        <f t="shared" si="2"/>
        <v>449.30000000000007</v>
      </c>
    </row>
    <row r="28" spans="1:12" s="928" customFormat="1" ht="21">
      <c r="A28" s="862"/>
      <c r="B28" s="904">
        <v>13</v>
      </c>
      <c r="C28" s="873" t="s">
        <v>263</v>
      </c>
      <c r="D28" s="967">
        <v>6</v>
      </c>
      <c r="E28" s="966">
        <f>(275.7+79.8)*1.1</f>
        <v>391.05</v>
      </c>
      <c r="F28" s="967">
        <v>4</v>
      </c>
      <c r="G28" s="966">
        <f>129.6*1.1</f>
        <v>142.56</v>
      </c>
      <c r="H28" s="968"/>
      <c r="I28" s="969"/>
      <c r="J28" s="969"/>
      <c r="K28" s="969"/>
      <c r="L28" s="931">
        <f t="shared" si="2"/>
        <v>533.61</v>
      </c>
    </row>
    <row r="29" spans="1:12" s="928" customFormat="1" ht="42">
      <c r="A29" s="862"/>
      <c r="B29" s="904">
        <v>14</v>
      </c>
      <c r="C29" s="873" t="s">
        <v>296</v>
      </c>
      <c r="D29" s="967">
        <v>5</v>
      </c>
      <c r="E29" s="966">
        <f>603.4*1.1</f>
        <v>663.74</v>
      </c>
      <c r="F29" s="967"/>
      <c r="G29" s="966"/>
      <c r="H29" s="968">
        <v>3</v>
      </c>
      <c r="I29" s="969">
        <v>18.4</v>
      </c>
      <c r="J29" s="969"/>
      <c r="K29" s="969"/>
      <c r="L29" s="931">
        <f t="shared" si="2"/>
        <v>682.14</v>
      </c>
    </row>
    <row r="30" spans="1:12" s="928" customFormat="1" ht="21">
      <c r="A30" s="862"/>
      <c r="B30" s="904">
        <v>15</v>
      </c>
      <c r="C30" s="873" t="s">
        <v>297</v>
      </c>
      <c r="D30" s="967"/>
      <c r="E30" s="966"/>
      <c r="F30" s="967"/>
      <c r="G30" s="966">
        <f>10.2*1.1</f>
        <v>11.22</v>
      </c>
      <c r="H30" s="968"/>
      <c r="I30" s="969"/>
      <c r="J30" s="969"/>
      <c r="K30" s="969"/>
      <c r="L30" s="931">
        <f t="shared" si="2"/>
        <v>11.22</v>
      </c>
    </row>
    <row r="31" spans="1:12" s="932" customFormat="1" ht="40.5">
      <c r="A31" s="860" t="s">
        <v>171</v>
      </c>
      <c r="B31" s="904">
        <v>16</v>
      </c>
      <c r="C31" s="859" t="s">
        <v>202</v>
      </c>
      <c r="D31" s="967"/>
      <c r="E31" s="966"/>
      <c r="F31" s="967"/>
      <c r="G31" s="966">
        <v>9.5</v>
      </c>
      <c r="H31" s="968"/>
      <c r="I31" s="969"/>
      <c r="J31" s="969"/>
      <c r="K31" s="969"/>
      <c r="L31" s="931">
        <f t="shared" si="2"/>
        <v>9.5</v>
      </c>
    </row>
    <row r="32" spans="1:12" s="928" customFormat="1" ht="21" customHeight="1">
      <c r="A32" s="862"/>
      <c r="B32" s="904">
        <v>17</v>
      </c>
      <c r="C32" s="862" t="s">
        <v>176</v>
      </c>
      <c r="D32" s="967">
        <f>27+15+81</f>
        <v>123</v>
      </c>
      <c r="E32" s="966">
        <f>(9.4+102.3+30.4)*1.1</f>
        <v>156.31</v>
      </c>
      <c r="F32" s="967"/>
      <c r="G32" s="966">
        <f>534.1*1.1</f>
        <v>587.5100000000001</v>
      </c>
      <c r="H32" s="968">
        <f>1+6</f>
        <v>7</v>
      </c>
      <c r="I32" s="969">
        <f>35.9+17.3</f>
        <v>53.2</v>
      </c>
      <c r="J32" s="969" t="s">
        <v>12</v>
      </c>
      <c r="K32" s="969" t="s">
        <v>12</v>
      </c>
      <c r="L32" s="931">
        <f t="shared" si="2"/>
        <v>797.0200000000002</v>
      </c>
    </row>
    <row r="33" spans="1:12" s="928" customFormat="1" ht="42">
      <c r="A33" s="862"/>
      <c r="B33" s="909">
        <v>18</v>
      </c>
      <c r="C33" s="873" t="s">
        <v>221</v>
      </c>
      <c r="D33" s="967"/>
      <c r="E33" s="935"/>
      <c r="F33" s="967">
        <v>2</v>
      </c>
      <c r="G33" s="966">
        <f>(1742.8+633.6)*1.1</f>
        <v>2614.0400000000004</v>
      </c>
      <c r="H33" s="967">
        <v>8</v>
      </c>
      <c r="I33" s="969">
        <v>259.9</v>
      </c>
      <c r="J33" s="969" t="s">
        <v>12</v>
      </c>
      <c r="K33" s="969" t="s">
        <v>12</v>
      </c>
      <c r="L33" s="931">
        <f t="shared" si="2"/>
        <v>2873.9400000000005</v>
      </c>
    </row>
    <row r="34" spans="1:12" s="928" customFormat="1" ht="22.5" customHeight="1">
      <c r="A34" s="862"/>
      <c r="B34" s="909">
        <v>19</v>
      </c>
      <c r="C34" s="859" t="s">
        <v>200</v>
      </c>
      <c r="D34" s="967" t="s">
        <v>12</v>
      </c>
      <c r="E34" s="966" t="s">
        <v>12</v>
      </c>
      <c r="F34" s="967"/>
      <c r="G34" s="966"/>
      <c r="H34" s="975">
        <v>6</v>
      </c>
      <c r="I34" s="966">
        <v>109.2</v>
      </c>
      <c r="J34" s="969" t="s">
        <v>12</v>
      </c>
      <c r="K34" s="969"/>
      <c r="L34" s="931">
        <f t="shared" si="2"/>
        <v>109.2</v>
      </c>
    </row>
    <row r="35" spans="1:12" s="928" customFormat="1" ht="22.5" customHeight="1">
      <c r="A35" s="862"/>
      <c r="B35" s="904">
        <v>20</v>
      </c>
      <c r="C35" s="873" t="s">
        <v>260</v>
      </c>
      <c r="D35" s="967" t="s">
        <v>12</v>
      </c>
      <c r="E35" s="966" t="s">
        <v>12</v>
      </c>
      <c r="F35" s="967">
        <v>6</v>
      </c>
      <c r="G35" s="966">
        <f>(147.5+88.5+73.7)*1.1</f>
        <v>340.67</v>
      </c>
      <c r="H35" s="968"/>
      <c r="I35" s="969"/>
      <c r="J35" s="969" t="s">
        <v>12</v>
      </c>
      <c r="K35" s="969" t="s">
        <v>12</v>
      </c>
      <c r="L35" s="931">
        <f t="shared" si="2"/>
        <v>340.67</v>
      </c>
    </row>
    <row r="36" spans="1:12" s="928" customFormat="1" ht="22.5" customHeight="1">
      <c r="A36" s="862"/>
      <c r="B36" s="904">
        <v>21</v>
      </c>
      <c r="C36" s="873" t="s">
        <v>261</v>
      </c>
      <c r="D36" s="967">
        <v>25</v>
      </c>
      <c r="E36" s="966">
        <f>(172.2+430)*1.1</f>
        <v>662.4200000000001</v>
      </c>
      <c r="F36" s="967">
        <v>5</v>
      </c>
      <c r="G36" s="966">
        <f>289.6*1.1</f>
        <v>318.56000000000006</v>
      </c>
      <c r="H36" s="968"/>
      <c r="I36" s="969"/>
      <c r="J36" s="969" t="s">
        <v>12</v>
      </c>
      <c r="K36" s="969" t="s">
        <v>12</v>
      </c>
      <c r="L36" s="931">
        <f t="shared" si="2"/>
        <v>980.9800000000001</v>
      </c>
    </row>
    <row r="37" spans="1:12" s="928" customFormat="1" ht="22.5" customHeight="1">
      <c r="A37" s="862"/>
      <c r="B37" s="904">
        <v>22</v>
      </c>
      <c r="C37" s="873" t="s">
        <v>262</v>
      </c>
      <c r="D37" s="967"/>
      <c r="E37" s="935"/>
      <c r="F37" s="967"/>
      <c r="G37" s="966">
        <f>102.4*1.1</f>
        <v>112.64000000000001</v>
      </c>
      <c r="H37" s="968"/>
      <c r="I37" s="969"/>
      <c r="J37" s="969" t="s">
        <v>12</v>
      </c>
      <c r="K37" s="969" t="s">
        <v>12</v>
      </c>
      <c r="L37" s="931">
        <f t="shared" si="2"/>
        <v>112.64000000000001</v>
      </c>
    </row>
    <row r="38" spans="1:12" s="928" customFormat="1" ht="24" customHeight="1">
      <c r="A38" s="862" t="s">
        <v>172</v>
      </c>
      <c r="B38" s="893">
        <v>23</v>
      </c>
      <c r="C38" s="943" t="s">
        <v>361</v>
      </c>
      <c r="D38" s="967"/>
      <c r="E38" s="966"/>
      <c r="F38" s="967">
        <v>1</v>
      </c>
      <c r="G38" s="966">
        <f>188.6*1.1</f>
        <v>207.46</v>
      </c>
      <c r="H38" s="968"/>
      <c r="I38" s="969"/>
      <c r="J38" s="969"/>
      <c r="K38" s="969" t="s">
        <v>12</v>
      </c>
      <c r="L38" s="931">
        <f t="shared" si="2"/>
        <v>207.46</v>
      </c>
    </row>
    <row r="39" spans="1:12" s="414" customFormat="1" ht="42">
      <c r="A39" s="932"/>
      <c r="B39" s="910">
        <v>24</v>
      </c>
      <c r="C39" s="1085" t="s">
        <v>370</v>
      </c>
      <c r="D39" s="938"/>
      <c r="E39" s="876"/>
      <c r="F39" s="938"/>
      <c r="G39" s="876"/>
      <c r="H39" s="939">
        <v>1</v>
      </c>
      <c r="I39" s="876">
        <v>21.5</v>
      </c>
      <c r="J39" s="876"/>
      <c r="K39" s="876"/>
      <c r="L39" s="931">
        <f t="shared" si="2"/>
        <v>21.5</v>
      </c>
    </row>
    <row r="40" spans="1:12" s="932" customFormat="1" ht="39" customHeight="1">
      <c r="A40" s="911" t="s">
        <v>294</v>
      </c>
      <c r="B40" s="893">
        <v>25</v>
      </c>
      <c r="C40" s="873" t="s">
        <v>295</v>
      </c>
      <c r="D40" s="967"/>
      <c r="E40" s="969"/>
      <c r="F40" s="967"/>
      <c r="G40" s="969"/>
      <c r="H40" s="968">
        <v>4</v>
      </c>
      <c r="I40" s="969">
        <v>213</v>
      </c>
      <c r="J40" s="969"/>
      <c r="K40" s="969"/>
      <c r="L40" s="931">
        <f>SUM(E40,G40,I40,J40,K40)</f>
        <v>213</v>
      </c>
    </row>
    <row r="41" spans="1:12" s="946" customFormat="1" ht="21.75">
      <c r="A41" s="947"/>
      <c r="B41" s="978"/>
      <c r="C41" s="895" t="s">
        <v>107</v>
      </c>
      <c r="D41" s="898">
        <f aca="true" t="shared" si="3" ref="D41:L41">SUM(D22:D40)</f>
        <v>240</v>
      </c>
      <c r="E41" s="896">
        <f t="shared" si="3"/>
        <v>4910.510000000001</v>
      </c>
      <c r="F41" s="898">
        <f t="shared" si="3"/>
        <v>19</v>
      </c>
      <c r="G41" s="896">
        <f t="shared" si="3"/>
        <v>4771.0700000000015</v>
      </c>
      <c r="H41" s="898">
        <f t="shared" si="3"/>
        <v>32</v>
      </c>
      <c r="I41" s="896">
        <f t="shared" si="3"/>
        <v>734</v>
      </c>
      <c r="J41" s="896">
        <f t="shared" si="3"/>
        <v>1022.5</v>
      </c>
      <c r="K41" s="896">
        <f t="shared" si="3"/>
        <v>820.3</v>
      </c>
      <c r="L41" s="896">
        <f t="shared" si="3"/>
        <v>12258.380000000001</v>
      </c>
    </row>
    <row r="42" spans="1:12" s="946" customFormat="1" ht="21.75">
      <c r="A42" s="899" t="s">
        <v>174</v>
      </c>
      <c r="B42" s="977"/>
      <c r="C42" s="858" t="s">
        <v>106</v>
      </c>
      <c r="D42" s="888"/>
      <c r="E42" s="889"/>
      <c r="F42" s="888"/>
      <c r="G42" s="889"/>
      <c r="H42" s="890"/>
      <c r="I42" s="889"/>
      <c r="J42" s="889"/>
      <c r="K42" s="889"/>
      <c r="L42" s="889"/>
    </row>
    <row r="43" spans="1:12" s="928" customFormat="1" ht="40.5">
      <c r="A43" s="859" t="s">
        <v>173</v>
      </c>
      <c r="B43" s="893">
        <v>26</v>
      </c>
      <c r="C43" s="861" t="s">
        <v>267</v>
      </c>
      <c r="D43" s="905">
        <v>15</v>
      </c>
      <c r="E43" s="906">
        <f>84.6*1.1</f>
        <v>93.06</v>
      </c>
      <c r="F43" s="905"/>
      <c r="G43" s="906"/>
      <c r="H43" s="908">
        <v>13</v>
      </c>
      <c r="I43" s="906">
        <f>647.1+179.2+188.8+137.4+507.4</f>
        <v>1659.9</v>
      </c>
      <c r="J43" s="906"/>
      <c r="K43" s="906"/>
      <c r="L43" s="894">
        <f>SUM(E43,G43,I43,J43,K43)</f>
        <v>1752.96</v>
      </c>
    </row>
    <row r="44" spans="1:12" s="946" customFormat="1" ht="23.25" customHeight="1">
      <c r="A44" s="947"/>
      <c r="B44" s="978"/>
      <c r="C44" s="895" t="s">
        <v>107</v>
      </c>
      <c r="D44" s="898">
        <f>SUM(D43:D43)</f>
        <v>15</v>
      </c>
      <c r="E44" s="896">
        <f>SUM(E43:E43)</f>
        <v>93.06</v>
      </c>
      <c r="F44" s="898">
        <f aca="true" t="shared" si="4" ref="F44:L44">SUM(F43:F43)</f>
        <v>0</v>
      </c>
      <c r="G44" s="896">
        <f t="shared" si="4"/>
        <v>0</v>
      </c>
      <c r="H44" s="897">
        <f t="shared" si="4"/>
        <v>13</v>
      </c>
      <c r="I44" s="896">
        <f t="shared" si="4"/>
        <v>1659.9</v>
      </c>
      <c r="J44" s="896">
        <f t="shared" si="4"/>
        <v>0</v>
      </c>
      <c r="K44" s="896">
        <f t="shared" si="4"/>
        <v>0</v>
      </c>
      <c r="L44" s="896">
        <f t="shared" si="4"/>
        <v>1752.96</v>
      </c>
    </row>
    <row r="45" spans="1:12" s="955" customFormat="1" ht="21">
      <c r="A45" s="858" t="s">
        <v>110</v>
      </c>
      <c r="B45" s="981"/>
      <c r="C45" s="858" t="s">
        <v>106</v>
      </c>
      <c r="D45" s="956"/>
      <c r="E45" s="907"/>
      <c r="F45" s="956"/>
      <c r="G45" s="907"/>
      <c r="H45" s="957"/>
      <c r="I45" s="907"/>
      <c r="J45" s="907"/>
      <c r="K45" s="907"/>
      <c r="L45" s="900"/>
    </row>
    <row r="46" spans="1:12" s="928" customFormat="1" ht="21">
      <c r="A46" s="859" t="s">
        <v>171</v>
      </c>
      <c r="B46" s="893">
        <v>27</v>
      </c>
      <c r="C46" s="873" t="s">
        <v>271</v>
      </c>
      <c r="D46" s="937"/>
      <c r="E46" s="931"/>
      <c r="F46" s="937"/>
      <c r="G46" s="931"/>
      <c r="H46" s="930">
        <v>3</v>
      </c>
      <c r="I46" s="931">
        <v>260.4</v>
      </c>
      <c r="J46" s="894"/>
      <c r="K46" s="894"/>
      <c r="L46" s="931">
        <f>SUM(E46,G46,I46,J46,K46)</f>
        <v>260.4</v>
      </c>
    </row>
    <row r="47" spans="1:12" s="946" customFormat="1" ht="21.75">
      <c r="A47" s="947"/>
      <c r="B47" s="978"/>
      <c r="C47" s="895" t="s">
        <v>107</v>
      </c>
      <c r="D47" s="898">
        <f aca="true" t="shared" si="5" ref="D47:L47">SUM(D46:D46)</f>
        <v>0</v>
      </c>
      <c r="E47" s="896">
        <f t="shared" si="5"/>
        <v>0</v>
      </c>
      <c r="F47" s="898">
        <f t="shared" si="5"/>
        <v>0</v>
      </c>
      <c r="G47" s="896">
        <f t="shared" si="5"/>
        <v>0</v>
      </c>
      <c r="H47" s="897">
        <f t="shared" si="5"/>
        <v>3</v>
      </c>
      <c r="I47" s="896">
        <f t="shared" si="5"/>
        <v>260.4</v>
      </c>
      <c r="J47" s="896">
        <f t="shared" si="5"/>
        <v>0</v>
      </c>
      <c r="K47" s="896">
        <f t="shared" si="5"/>
        <v>0</v>
      </c>
      <c r="L47" s="896">
        <f t="shared" si="5"/>
        <v>260.4</v>
      </c>
    </row>
    <row r="48" spans="1:12" s="946" customFormat="1" ht="21.75">
      <c r="A48" s="858" t="s">
        <v>230</v>
      </c>
      <c r="B48" s="979"/>
      <c r="C48" s="864" t="s">
        <v>231</v>
      </c>
      <c r="D48" s="948"/>
      <c r="E48" s="900"/>
      <c r="F48" s="948"/>
      <c r="G48" s="900"/>
      <c r="H48" s="957"/>
      <c r="I48" s="907"/>
      <c r="J48" s="900"/>
      <c r="K48" s="900"/>
      <c r="L48" s="900"/>
    </row>
    <row r="49" spans="1:12" s="928" customFormat="1" ht="42.75" customHeight="1">
      <c r="A49" s="859" t="s">
        <v>114</v>
      </c>
      <c r="B49" s="904">
        <v>28</v>
      </c>
      <c r="C49" s="861" t="s">
        <v>232</v>
      </c>
      <c r="D49" s="915"/>
      <c r="E49" s="894"/>
      <c r="F49" s="915"/>
      <c r="G49" s="894"/>
      <c r="H49" s="916"/>
      <c r="I49" s="894"/>
      <c r="J49" s="894" t="s">
        <v>12</v>
      </c>
      <c r="K49" s="931">
        <v>1362.8</v>
      </c>
      <c r="L49" s="931">
        <f>SUM(E49,G49,I49,J49,K49)</f>
        <v>1362.8</v>
      </c>
    </row>
    <row r="50" spans="1:12" s="946" customFormat="1" ht="21.75">
      <c r="A50" s="947"/>
      <c r="B50" s="978"/>
      <c r="C50" s="895" t="s">
        <v>107</v>
      </c>
      <c r="D50" s="898">
        <f>D49</f>
        <v>0</v>
      </c>
      <c r="E50" s="896">
        <f>E49</f>
        <v>0</v>
      </c>
      <c r="F50" s="898">
        <f>F49</f>
        <v>0</v>
      </c>
      <c r="G50" s="896">
        <f>G49</f>
        <v>0</v>
      </c>
      <c r="H50" s="897">
        <f>SUM(H49:H49)</f>
        <v>0</v>
      </c>
      <c r="I50" s="896">
        <f>SUM(I49:I49)</f>
        <v>0</v>
      </c>
      <c r="J50" s="896">
        <f>SUM(J49:J49)</f>
        <v>0</v>
      </c>
      <c r="K50" s="896">
        <f>SUM(K49:K49)</f>
        <v>1362.8</v>
      </c>
      <c r="L50" s="896">
        <f>SUM(L49:L49)</f>
        <v>1362.8</v>
      </c>
    </row>
    <row r="51" spans="1:12" s="946" customFormat="1" ht="21.75">
      <c r="A51" s="858" t="s">
        <v>270</v>
      </c>
      <c r="B51" s="979"/>
      <c r="C51" s="858" t="s">
        <v>106</v>
      </c>
      <c r="D51" s="948"/>
      <c r="E51" s="900"/>
      <c r="F51" s="948"/>
      <c r="G51" s="900"/>
      <c r="H51" s="957"/>
      <c r="I51" s="907"/>
      <c r="J51" s="900"/>
      <c r="K51" s="900"/>
      <c r="L51" s="900"/>
    </row>
    <row r="52" spans="1:12" s="928" customFormat="1" ht="21">
      <c r="A52" s="859" t="s">
        <v>171</v>
      </c>
      <c r="B52" s="893">
        <v>29</v>
      </c>
      <c r="C52" s="873" t="s">
        <v>271</v>
      </c>
      <c r="D52" s="937"/>
      <c r="E52" s="931"/>
      <c r="F52" s="937"/>
      <c r="G52" s="931"/>
      <c r="H52" s="930">
        <v>3</v>
      </c>
      <c r="I52" s="931">
        <f>520.7/2</f>
        <v>260.35</v>
      </c>
      <c r="J52" s="894"/>
      <c r="K52" s="894"/>
      <c r="L52" s="931">
        <f>SUM(E52,G52,I52,J52,K52)</f>
        <v>260.35</v>
      </c>
    </row>
    <row r="53" spans="1:12" s="946" customFormat="1" ht="21.75">
      <c r="A53" s="947"/>
      <c r="B53" s="978"/>
      <c r="C53" s="895" t="s">
        <v>107</v>
      </c>
      <c r="D53" s="898">
        <f aca="true" t="shared" si="6" ref="D53:L53">SUM(D52:D52)</f>
        <v>0</v>
      </c>
      <c r="E53" s="896">
        <f t="shared" si="6"/>
        <v>0</v>
      </c>
      <c r="F53" s="898">
        <f t="shared" si="6"/>
        <v>0</v>
      </c>
      <c r="G53" s="896">
        <f t="shared" si="6"/>
        <v>0</v>
      </c>
      <c r="H53" s="897">
        <f t="shared" si="6"/>
        <v>3</v>
      </c>
      <c r="I53" s="896">
        <f t="shared" si="6"/>
        <v>260.35</v>
      </c>
      <c r="J53" s="896">
        <f t="shared" si="6"/>
        <v>0</v>
      </c>
      <c r="K53" s="896">
        <f t="shared" si="6"/>
        <v>0</v>
      </c>
      <c r="L53" s="896">
        <f t="shared" si="6"/>
        <v>260.35</v>
      </c>
    </row>
    <row r="54" spans="1:12" s="946" customFormat="1" ht="21.75">
      <c r="A54" s="899" t="s">
        <v>186</v>
      </c>
      <c r="B54" s="977"/>
      <c r="C54" s="899" t="s">
        <v>105</v>
      </c>
      <c r="D54" s="888"/>
      <c r="E54" s="889"/>
      <c r="F54" s="888"/>
      <c r="G54" s="889"/>
      <c r="H54" s="890"/>
      <c r="I54" s="889"/>
      <c r="J54" s="889"/>
      <c r="K54" s="889"/>
      <c r="L54" s="889"/>
    </row>
    <row r="55" spans="1:12" s="942" customFormat="1" ht="39" customHeight="1">
      <c r="A55" s="911" t="s">
        <v>294</v>
      </c>
      <c r="B55" s="917">
        <v>30</v>
      </c>
      <c r="C55" s="1086" t="s">
        <v>374</v>
      </c>
      <c r="D55" s="940"/>
      <c r="E55" s="918"/>
      <c r="F55" s="940"/>
      <c r="G55" s="918"/>
      <c r="H55" s="941"/>
      <c r="I55" s="918"/>
      <c r="J55" s="918"/>
      <c r="K55" s="970">
        <v>7622.2</v>
      </c>
      <c r="L55" s="931">
        <f>SUM(E55,G55,I55,J55,K55)</f>
        <v>7622.2</v>
      </c>
    </row>
    <row r="56" spans="1:12" s="928" customFormat="1" ht="21.75">
      <c r="A56" s="862"/>
      <c r="B56" s="893"/>
      <c r="C56" s="899" t="s">
        <v>106</v>
      </c>
      <c r="D56" s="912"/>
      <c r="E56" s="913"/>
      <c r="F56" s="912"/>
      <c r="G56" s="913"/>
      <c r="H56" s="914"/>
      <c r="I56" s="913"/>
      <c r="J56" s="913"/>
      <c r="K56" s="913"/>
      <c r="L56" s="913"/>
    </row>
    <row r="57" spans="1:12" s="928" customFormat="1" ht="21">
      <c r="A57" s="860" t="s">
        <v>111</v>
      </c>
      <c r="B57" s="893">
        <v>31</v>
      </c>
      <c r="C57" s="943" t="s">
        <v>298</v>
      </c>
      <c r="D57" s="934"/>
      <c r="E57" s="935"/>
      <c r="F57" s="934"/>
      <c r="G57" s="935"/>
      <c r="H57" s="936">
        <v>4</v>
      </c>
      <c r="I57" s="935">
        <v>150.9</v>
      </c>
      <c r="J57" s="935"/>
      <c r="K57" s="935"/>
      <c r="L57" s="931">
        <f>SUM(E57,G57,I57,J57,K57)</f>
        <v>150.9</v>
      </c>
    </row>
    <row r="58" spans="1:12" s="932" customFormat="1" ht="42">
      <c r="A58" s="860"/>
      <c r="B58" s="893">
        <v>32</v>
      </c>
      <c r="C58" s="873" t="s">
        <v>299</v>
      </c>
      <c r="D58" s="938"/>
      <c r="E58" s="876"/>
      <c r="F58" s="938"/>
      <c r="G58" s="876"/>
      <c r="H58" s="939">
        <v>4</v>
      </c>
      <c r="I58" s="876">
        <v>105.5</v>
      </c>
      <c r="J58" s="876"/>
      <c r="K58" s="876"/>
      <c r="L58" s="931">
        <f>SUM(E58,G58,I58,J58,K58)</f>
        <v>105.5</v>
      </c>
    </row>
    <row r="59" spans="1:12" s="928" customFormat="1" ht="42">
      <c r="A59" s="860" t="s">
        <v>114</v>
      </c>
      <c r="B59" s="893">
        <v>33</v>
      </c>
      <c r="C59" s="1084" t="s">
        <v>225</v>
      </c>
      <c r="D59" s="905"/>
      <c r="E59" s="906"/>
      <c r="F59" s="905"/>
      <c r="G59" s="906"/>
      <c r="H59" s="908"/>
      <c r="I59" s="906"/>
      <c r="J59" s="876">
        <v>280.9</v>
      </c>
      <c r="K59" s="906" t="s">
        <v>12</v>
      </c>
      <c r="L59" s="931">
        <f>SUM(E59,G59,I59,J59,K59)</f>
        <v>280.9</v>
      </c>
    </row>
    <row r="60" spans="1:12" s="928" customFormat="1" ht="42">
      <c r="A60" s="862"/>
      <c r="B60" s="893">
        <v>34</v>
      </c>
      <c r="C60" s="1084" t="s">
        <v>238</v>
      </c>
      <c r="D60" s="938">
        <v>5</v>
      </c>
      <c r="E60" s="876">
        <f>498.6*1.1</f>
        <v>548.46</v>
      </c>
      <c r="F60" s="938">
        <v>2</v>
      </c>
      <c r="G60" s="876">
        <f>159.7*1.1</f>
        <v>175.67</v>
      </c>
      <c r="H60" s="939">
        <v>2</v>
      </c>
      <c r="I60" s="876">
        <v>70.8</v>
      </c>
      <c r="J60" s="876">
        <v>4198.7</v>
      </c>
      <c r="K60" s="876" t="s">
        <v>12</v>
      </c>
      <c r="L60" s="931">
        <f>SUM(E60,G60,I60,J60,K60)</f>
        <v>4993.63</v>
      </c>
    </row>
    <row r="61" spans="1:12" s="928" customFormat="1" ht="21">
      <c r="A61" s="911" t="s">
        <v>172</v>
      </c>
      <c r="B61" s="904">
        <v>35</v>
      </c>
      <c r="C61" s="1087" t="s">
        <v>300</v>
      </c>
      <c r="D61" s="967">
        <v>6</v>
      </c>
      <c r="E61" s="966">
        <f>73.5*1.1</f>
        <v>80.85000000000001</v>
      </c>
      <c r="F61" s="967"/>
      <c r="G61" s="966"/>
      <c r="H61" s="968"/>
      <c r="I61" s="969"/>
      <c r="J61" s="969"/>
      <c r="K61" s="969"/>
      <c r="L61" s="931">
        <f>SUM(E61,G61,I61,J61,K61)</f>
        <v>80.85000000000001</v>
      </c>
    </row>
    <row r="62" spans="1:12" s="946" customFormat="1" ht="21.75">
      <c r="A62" s="958"/>
      <c r="B62" s="978"/>
      <c r="C62" s="895" t="s">
        <v>107</v>
      </c>
      <c r="D62" s="898">
        <f aca="true" t="shared" si="7" ref="D62:L62">SUM(D55:D61)</f>
        <v>11</v>
      </c>
      <c r="E62" s="896">
        <f t="shared" si="7"/>
        <v>629.3100000000001</v>
      </c>
      <c r="F62" s="898">
        <f t="shared" si="7"/>
        <v>2</v>
      </c>
      <c r="G62" s="896">
        <f t="shared" si="7"/>
        <v>175.67</v>
      </c>
      <c r="H62" s="897">
        <f t="shared" si="7"/>
        <v>10</v>
      </c>
      <c r="I62" s="896">
        <f t="shared" si="7"/>
        <v>327.2</v>
      </c>
      <c r="J62" s="896">
        <f t="shared" si="7"/>
        <v>4479.599999999999</v>
      </c>
      <c r="K62" s="896">
        <f t="shared" si="7"/>
        <v>7622.2</v>
      </c>
      <c r="L62" s="896">
        <f t="shared" si="7"/>
        <v>13233.98</v>
      </c>
    </row>
    <row r="63" spans="1:12" s="946" customFormat="1" ht="21.75">
      <c r="A63" s="858" t="s">
        <v>321</v>
      </c>
      <c r="B63" s="979"/>
      <c r="C63" s="858" t="s">
        <v>106</v>
      </c>
      <c r="D63" s="948"/>
      <c r="E63" s="900"/>
      <c r="F63" s="948"/>
      <c r="G63" s="900"/>
      <c r="H63" s="949"/>
      <c r="I63" s="900"/>
      <c r="J63" s="900"/>
      <c r="K63" s="900"/>
      <c r="L63" s="900"/>
    </row>
    <row r="64" spans="1:12" s="928" customFormat="1" ht="21">
      <c r="A64" s="859" t="s">
        <v>171</v>
      </c>
      <c r="B64" s="893">
        <v>36</v>
      </c>
      <c r="C64" s="873" t="s">
        <v>322</v>
      </c>
      <c r="D64" s="937"/>
      <c r="E64" s="931"/>
      <c r="F64" s="937"/>
      <c r="G64" s="931"/>
      <c r="H64" s="930">
        <v>1</v>
      </c>
      <c r="I64" s="931">
        <v>75.1</v>
      </c>
      <c r="J64" s="894"/>
      <c r="K64" s="894"/>
      <c r="L64" s="894">
        <f>SUM(E64,G64,I64,J64,K64)</f>
        <v>75.1</v>
      </c>
    </row>
    <row r="65" spans="1:12" s="946" customFormat="1" ht="21.75">
      <c r="A65" s="947"/>
      <c r="B65" s="978"/>
      <c r="C65" s="895" t="s">
        <v>107</v>
      </c>
      <c r="D65" s="898">
        <f aca="true" t="shared" si="8" ref="D65:L65">SUM(D64)</f>
        <v>0</v>
      </c>
      <c r="E65" s="896">
        <f t="shared" si="8"/>
        <v>0</v>
      </c>
      <c r="F65" s="898">
        <f t="shared" si="8"/>
        <v>0</v>
      </c>
      <c r="G65" s="896">
        <f t="shared" si="8"/>
        <v>0</v>
      </c>
      <c r="H65" s="897">
        <f t="shared" si="8"/>
        <v>1</v>
      </c>
      <c r="I65" s="896">
        <f t="shared" si="8"/>
        <v>75.1</v>
      </c>
      <c r="J65" s="896">
        <f t="shared" si="8"/>
        <v>0</v>
      </c>
      <c r="K65" s="896">
        <f t="shared" si="8"/>
        <v>0</v>
      </c>
      <c r="L65" s="896">
        <f t="shared" si="8"/>
        <v>75.1</v>
      </c>
    </row>
    <row r="66" spans="1:12" s="946" customFormat="1" ht="21.75">
      <c r="A66" s="899" t="s">
        <v>185</v>
      </c>
      <c r="B66" s="977"/>
      <c r="C66" s="899" t="s">
        <v>106</v>
      </c>
      <c r="D66" s="888"/>
      <c r="E66" s="889"/>
      <c r="F66" s="888"/>
      <c r="G66" s="889"/>
      <c r="H66" s="890"/>
      <c r="I66" s="889"/>
      <c r="J66" s="889"/>
      <c r="K66" s="889"/>
      <c r="L66" s="889"/>
    </row>
    <row r="67" spans="1:12" s="928" customFormat="1" ht="21">
      <c r="A67" s="862" t="s">
        <v>109</v>
      </c>
      <c r="B67" s="893">
        <v>37</v>
      </c>
      <c r="C67" s="943" t="s">
        <v>369</v>
      </c>
      <c r="D67" s="912">
        <v>7</v>
      </c>
      <c r="E67" s="913">
        <v>1398.4</v>
      </c>
      <c r="F67" s="912"/>
      <c r="G67" s="913"/>
      <c r="H67" s="914">
        <v>2</v>
      </c>
      <c r="I67" s="913">
        <v>241.2</v>
      </c>
      <c r="J67" s="913"/>
      <c r="K67" s="913"/>
      <c r="L67" s="894">
        <f>SUM(E67,G67,I67,J67,K67)</f>
        <v>1639.6000000000001</v>
      </c>
    </row>
    <row r="68" spans="1:12" s="946" customFormat="1" ht="21.75">
      <c r="A68" s="947"/>
      <c r="B68" s="978"/>
      <c r="C68" s="895" t="s">
        <v>107</v>
      </c>
      <c r="D68" s="898">
        <f aca="true" t="shared" si="9" ref="D68:L68">SUM(D67:D67)</f>
        <v>7</v>
      </c>
      <c r="E68" s="896">
        <f t="shared" si="9"/>
        <v>1398.4</v>
      </c>
      <c r="F68" s="898">
        <f t="shared" si="9"/>
        <v>0</v>
      </c>
      <c r="G68" s="896">
        <f t="shared" si="9"/>
        <v>0</v>
      </c>
      <c r="H68" s="897">
        <f t="shared" si="9"/>
        <v>2</v>
      </c>
      <c r="I68" s="896">
        <f t="shared" si="9"/>
        <v>241.2</v>
      </c>
      <c r="J68" s="896">
        <f t="shared" si="9"/>
        <v>0</v>
      </c>
      <c r="K68" s="896">
        <f t="shared" si="9"/>
        <v>0</v>
      </c>
      <c r="L68" s="896">
        <f t="shared" si="9"/>
        <v>1639.6000000000001</v>
      </c>
    </row>
    <row r="69" spans="1:12" s="946" customFormat="1" ht="21.75">
      <c r="A69" s="858" t="s">
        <v>268</v>
      </c>
      <c r="B69" s="979"/>
      <c r="C69" s="864" t="s">
        <v>112</v>
      </c>
      <c r="D69" s="948"/>
      <c r="E69" s="900"/>
      <c r="F69" s="948"/>
      <c r="G69" s="900"/>
      <c r="H69" s="949"/>
      <c r="I69" s="900"/>
      <c r="J69" s="900"/>
      <c r="K69" s="900"/>
      <c r="L69" s="900"/>
    </row>
    <row r="70" spans="1:12" s="928" customFormat="1" ht="21">
      <c r="A70" s="862" t="s">
        <v>111</v>
      </c>
      <c r="B70" s="893">
        <v>38</v>
      </c>
      <c r="C70" s="863" t="s">
        <v>269</v>
      </c>
      <c r="D70" s="912"/>
      <c r="E70" s="913"/>
      <c r="F70" s="912"/>
      <c r="G70" s="913"/>
      <c r="H70" s="936">
        <f>3+6</f>
        <v>9</v>
      </c>
      <c r="I70" s="935">
        <f>322.8+770.2</f>
        <v>1093</v>
      </c>
      <c r="J70" s="935"/>
      <c r="K70" s="935" t="s">
        <v>12</v>
      </c>
      <c r="L70" s="931">
        <f>SUM(E70,G70,I70,J70,K70)</f>
        <v>1093</v>
      </c>
    </row>
    <row r="71" spans="1:12" s="946" customFormat="1" ht="21.75">
      <c r="A71" s="947"/>
      <c r="B71" s="978"/>
      <c r="C71" s="895" t="s">
        <v>107</v>
      </c>
      <c r="D71" s="898">
        <f>SUM(D70)</f>
        <v>0</v>
      </c>
      <c r="E71" s="896">
        <f>SUM(E70)</f>
        <v>0</v>
      </c>
      <c r="F71" s="898">
        <f aca="true" t="shared" si="10" ref="F71:K71">SUM(F70)</f>
        <v>0</v>
      </c>
      <c r="G71" s="896">
        <f t="shared" si="10"/>
        <v>0</v>
      </c>
      <c r="H71" s="897">
        <f t="shared" si="10"/>
        <v>9</v>
      </c>
      <c r="I71" s="896">
        <f t="shared" si="10"/>
        <v>1093</v>
      </c>
      <c r="J71" s="896">
        <f t="shared" si="10"/>
        <v>0</v>
      </c>
      <c r="K71" s="896">
        <f t="shared" si="10"/>
        <v>0</v>
      </c>
      <c r="L71" s="896">
        <f>SUM(G71,I71,J71,K71)</f>
        <v>1093</v>
      </c>
    </row>
    <row r="72" spans="1:12" s="946" customFormat="1" ht="21.75">
      <c r="A72" s="858" t="s">
        <v>272</v>
      </c>
      <c r="B72" s="979"/>
      <c r="C72" s="864" t="s">
        <v>112</v>
      </c>
      <c r="D72" s="948"/>
      <c r="E72" s="900"/>
      <c r="F72" s="948"/>
      <c r="G72" s="900"/>
      <c r="H72" s="949"/>
      <c r="I72" s="900"/>
      <c r="J72" s="900"/>
      <c r="K72" s="900"/>
      <c r="L72" s="900"/>
    </row>
    <row r="73" spans="1:12" s="928" customFormat="1" ht="21">
      <c r="A73" s="862" t="s">
        <v>111</v>
      </c>
      <c r="B73" s="893">
        <v>39</v>
      </c>
      <c r="C73" s="865" t="s">
        <v>274</v>
      </c>
      <c r="D73" s="934">
        <v>18</v>
      </c>
      <c r="E73" s="935">
        <f>1538+1121</f>
        <v>2659</v>
      </c>
      <c r="F73" s="934"/>
      <c r="G73" s="935"/>
      <c r="H73" s="936"/>
      <c r="I73" s="935"/>
      <c r="J73" s="935"/>
      <c r="K73" s="935"/>
      <c r="L73" s="931">
        <f>SUM(E73,G73,I73,J73,K73)</f>
        <v>2659</v>
      </c>
    </row>
    <row r="74" spans="1:12" s="928" customFormat="1" ht="21">
      <c r="A74" s="862"/>
      <c r="B74" s="893">
        <v>40</v>
      </c>
      <c r="C74" s="865" t="s">
        <v>275</v>
      </c>
      <c r="D74" s="934"/>
      <c r="E74" s="935"/>
      <c r="F74" s="934"/>
      <c r="G74" s="935"/>
      <c r="H74" s="936">
        <v>2</v>
      </c>
      <c r="I74" s="935">
        <v>770.2</v>
      </c>
      <c r="J74" s="935"/>
      <c r="K74" s="935"/>
      <c r="L74" s="931">
        <f>SUM(E74,G74,I74,J74,K74)</f>
        <v>770.2</v>
      </c>
    </row>
    <row r="75" spans="1:12" s="928" customFormat="1" ht="21">
      <c r="A75" s="862" t="s">
        <v>109</v>
      </c>
      <c r="B75" s="893">
        <v>41</v>
      </c>
      <c r="C75" s="865" t="s">
        <v>273</v>
      </c>
      <c r="D75" s="934">
        <v>20</v>
      </c>
      <c r="E75" s="935">
        <v>2661</v>
      </c>
      <c r="F75" s="934"/>
      <c r="G75" s="935"/>
      <c r="H75" s="936"/>
      <c r="I75" s="935"/>
      <c r="J75" s="935" t="s">
        <v>12</v>
      </c>
      <c r="K75" s="935" t="s">
        <v>12</v>
      </c>
      <c r="L75" s="931">
        <f>SUM(E75,G75,I75,J75,K75)</f>
        <v>2661</v>
      </c>
    </row>
    <row r="76" spans="1:12" s="946" customFormat="1" ht="21.75">
      <c r="A76" s="947"/>
      <c r="B76" s="978"/>
      <c r="C76" s="895" t="s">
        <v>107</v>
      </c>
      <c r="D76" s="898">
        <f>SUM(D73:D75)</f>
        <v>38</v>
      </c>
      <c r="E76" s="896">
        <f>SUM(E73:E75)</f>
        <v>5320</v>
      </c>
      <c r="F76" s="898">
        <f aca="true" t="shared" si="11" ref="F76:L76">SUM(F73:F75)</f>
        <v>0</v>
      </c>
      <c r="G76" s="896">
        <f t="shared" si="11"/>
        <v>0</v>
      </c>
      <c r="H76" s="897">
        <f t="shared" si="11"/>
        <v>2</v>
      </c>
      <c r="I76" s="896">
        <f t="shared" si="11"/>
        <v>770.2</v>
      </c>
      <c r="J76" s="896">
        <f t="shared" si="11"/>
        <v>0</v>
      </c>
      <c r="K76" s="896">
        <f t="shared" si="11"/>
        <v>0</v>
      </c>
      <c r="L76" s="896">
        <f t="shared" si="11"/>
        <v>6090.2</v>
      </c>
    </row>
    <row r="77" spans="1:12" s="946" customFormat="1" ht="21.75">
      <c r="A77" s="899" t="s">
        <v>113</v>
      </c>
      <c r="B77" s="979"/>
      <c r="C77" s="858" t="s">
        <v>105</v>
      </c>
      <c r="D77" s="951"/>
      <c r="E77" s="952"/>
      <c r="F77" s="951"/>
      <c r="G77" s="952"/>
      <c r="H77" s="953"/>
      <c r="I77" s="952"/>
      <c r="J77" s="952"/>
      <c r="K77" s="952"/>
      <c r="L77" s="907"/>
    </row>
    <row r="78" spans="1:12" s="928" customFormat="1" ht="37.5" customHeight="1">
      <c r="A78" s="859" t="s">
        <v>277</v>
      </c>
      <c r="B78" s="910">
        <v>42</v>
      </c>
      <c r="C78" s="933" t="s">
        <v>371</v>
      </c>
      <c r="D78" s="934"/>
      <c r="E78" s="935"/>
      <c r="F78" s="934"/>
      <c r="G78" s="935"/>
      <c r="H78" s="936"/>
      <c r="I78" s="935"/>
      <c r="J78" s="935"/>
      <c r="K78" s="876">
        <v>432.2</v>
      </c>
      <c r="L78" s="931">
        <f>SUM(E78,G78,I78,J78,K78)</f>
        <v>432.2</v>
      </c>
    </row>
    <row r="79" spans="1:12" s="928" customFormat="1" ht="23.25" customHeight="1">
      <c r="A79" s="862"/>
      <c r="B79" s="893"/>
      <c r="C79" s="899" t="s">
        <v>106</v>
      </c>
      <c r="D79" s="934"/>
      <c r="E79" s="935"/>
      <c r="F79" s="934"/>
      <c r="G79" s="935"/>
      <c r="H79" s="936"/>
      <c r="I79" s="935"/>
      <c r="J79" s="935"/>
      <c r="K79" s="935"/>
      <c r="L79" s="935"/>
    </row>
    <row r="80" spans="1:12" s="932" customFormat="1" ht="42">
      <c r="A80" s="860" t="s">
        <v>114</v>
      </c>
      <c r="B80" s="893">
        <v>43</v>
      </c>
      <c r="C80" s="1084" t="s">
        <v>199</v>
      </c>
      <c r="D80" s="938" t="s">
        <v>12</v>
      </c>
      <c r="E80" s="876" t="s">
        <v>12</v>
      </c>
      <c r="F80" s="938" t="s">
        <v>12</v>
      </c>
      <c r="G80" s="876" t="s">
        <v>12</v>
      </c>
      <c r="H80" s="939">
        <v>1</v>
      </c>
      <c r="I80" s="876">
        <v>160.5</v>
      </c>
      <c r="J80" s="876"/>
      <c r="K80" s="876"/>
      <c r="L80" s="931">
        <f>SUM(E80,G80,I80,J80,K80)</f>
        <v>160.5</v>
      </c>
    </row>
    <row r="81" spans="1:12" s="932" customFormat="1" ht="42">
      <c r="A81" s="919"/>
      <c r="B81" s="893">
        <v>44</v>
      </c>
      <c r="C81" s="1084" t="s">
        <v>289</v>
      </c>
      <c r="D81" s="938"/>
      <c r="E81" s="876"/>
      <c r="F81" s="938"/>
      <c r="G81" s="876"/>
      <c r="H81" s="939">
        <v>1</v>
      </c>
      <c r="I81" s="876">
        <v>160.5</v>
      </c>
      <c r="J81" s="876"/>
      <c r="K81" s="876"/>
      <c r="L81" s="931">
        <f>SUM(E81,G81,I81,J81,K81)</f>
        <v>160.5</v>
      </c>
    </row>
    <row r="82" spans="1:12" s="928" customFormat="1" ht="21">
      <c r="A82" s="862"/>
      <c r="B82" s="893">
        <v>45</v>
      </c>
      <c r="C82" s="865" t="s">
        <v>115</v>
      </c>
      <c r="D82" s="934"/>
      <c r="E82" s="935"/>
      <c r="F82" s="934">
        <v>1</v>
      </c>
      <c r="G82" s="935">
        <f>19.2*1.1</f>
        <v>21.12</v>
      </c>
      <c r="H82" s="936">
        <v>1</v>
      </c>
      <c r="I82" s="935">
        <v>141.1</v>
      </c>
      <c r="J82" s="935"/>
      <c r="K82" s="935"/>
      <c r="L82" s="931">
        <f>SUM(E82,G82,I82,J82,K82)</f>
        <v>162.22</v>
      </c>
    </row>
    <row r="83" spans="1:12" s="946" customFormat="1" ht="21.75">
      <c r="A83" s="947"/>
      <c r="B83" s="978"/>
      <c r="C83" s="895" t="s">
        <v>107</v>
      </c>
      <c r="D83" s="898">
        <f>SUM(D80:D82)</f>
        <v>0</v>
      </c>
      <c r="E83" s="896">
        <f>SUM(E80:E82)</f>
        <v>0</v>
      </c>
      <c r="F83" s="898">
        <f aca="true" t="shared" si="12" ref="F83:L83">SUM(F78:F82)</f>
        <v>1</v>
      </c>
      <c r="G83" s="896">
        <f t="shared" si="12"/>
        <v>21.12</v>
      </c>
      <c r="H83" s="898">
        <f t="shared" si="12"/>
        <v>3</v>
      </c>
      <c r="I83" s="896">
        <f t="shared" si="12"/>
        <v>462.1</v>
      </c>
      <c r="J83" s="896">
        <f t="shared" si="12"/>
        <v>0</v>
      </c>
      <c r="K83" s="896">
        <f t="shared" si="12"/>
        <v>432.2</v>
      </c>
      <c r="L83" s="896">
        <f t="shared" si="12"/>
        <v>915.4200000000001</v>
      </c>
    </row>
    <row r="84" spans="1:12" s="946" customFormat="1" ht="19.5" customHeight="1">
      <c r="A84" s="874" t="s">
        <v>372</v>
      </c>
      <c r="B84" s="977"/>
      <c r="C84" s="899" t="s">
        <v>105</v>
      </c>
      <c r="D84" s="959"/>
      <c r="E84" s="960"/>
      <c r="F84" s="959"/>
      <c r="G84" s="960"/>
      <c r="H84" s="961"/>
      <c r="I84" s="960"/>
      <c r="J84" s="960"/>
      <c r="K84" s="960"/>
      <c r="L84" s="960"/>
    </row>
    <row r="85" spans="1:12" s="1082" customFormat="1" ht="42">
      <c r="A85" s="873" t="s">
        <v>233</v>
      </c>
      <c r="B85" s="893">
        <v>46</v>
      </c>
      <c r="C85" s="1088" t="s">
        <v>376</v>
      </c>
      <c r="D85" s="1079"/>
      <c r="E85" s="1080"/>
      <c r="F85" s="1079"/>
      <c r="G85" s="1080"/>
      <c r="H85" s="1081"/>
      <c r="I85" s="1080"/>
      <c r="J85" s="1080"/>
      <c r="K85" s="876">
        <v>20493.9</v>
      </c>
      <c r="L85" s="931">
        <f>SUM(E85,G85,I85,J85,K85)</f>
        <v>20493.9</v>
      </c>
    </row>
    <row r="86" spans="1:12" s="932" customFormat="1" ht="42">
      <c r="A86" s="873"/>
      <c r="B86" s="893">
        <v>47</v>
      </c>
      <c r="C86" s="1088" t="s">
        <v>375</v>
      </c>
      <c r="D86" s="938"/>
      <c r="E86" s="876"/>
      <c r="F86" s="938"/>
      <c r="G86" s="876"/>
      <c r="H86" s="939"/>
      <c r="I86" s="876"/>
      <c r="J86" s="876"/>
      <c r="K86" s="876">
        <v>3114.2</v>
      </c>
      <c r="L86" s="931">
        <f>SUM(E86,G86,I86,J86,K86)</f>
        <v>3114.2</v>
      </c>
    </row>
    <row r="87" spans="1:12" s="946" customFormat="1" ht="19.5" customHeight="1" thickBot="1">
      <c r="A87" s="962"/>
      <c r="B87" s="982"/>
      <c r="C87" s="920" t="s">
        <v>107</v>
      </c>
      <c r="D87" s="921">
        <f>SUM(D86:D86)</f>
        <v>0</v>
      </c>
      <c r="E87" s="921">
        <f>SUM(E86:E86)</f>
        <v>0</v>
      </c>
      <c r="F87" s="921">
        <f>SUM(F86)</f>
        <v>0</v>
      </c>
      <c r="G87" s="921">
        <f>SUM(G86)</f>
        <v>0</v>
      </c>
      <c r="H87" s="921">
        <f>SUM(H86)</f>
        <v>0</v>
      </c>
      <c r="I87" s="921">
        <f>SUM(I86)</f>
        <v>0</v>
      </c>
      <c r="J87" s="921">
        <f>SUM(J86)</f>
        <v>0</v>
      </c>
      <c r="K87" s="922">
        <f>SUM(K85:K86)</f>
        <v>23608.100000000002</v>
      </c>
      <c r="L87" s="922">
        <f>SUM(L85:L86)</f>
        <v>23608.100000000002</v>
      </c>
    </row>
    <row r="88" spans="1:12" s="946" customFormat="1" ht="20.25" customHeight="1" thickBot="1">
      <c r="A88" s="1253" t="s">
        <v>61</v>
      </c>
      <c r="B88" s="1253"/>
      <c r="C88" s="1253"/>
      <c r="D88" s="923">
        <f>D87+D83+D76+D71+D68+D65+D62+D53+D50+D47+D44+D41+D20+D17+D12+D9+D6</f>
        <v>311</v>
      </c>
      <c r="E88" s="924">
        <f aca="true" t="shared" si="13" ref="E88:L88">E87+E83+E76+E71+E68+E65+E62+E53+E50+E47+E44+E41+E20+E17+E12+E9+E6</f>
        <v>12351.280000000002</v>
      </c>
      <c r="F88" s="923">
        <f t="shared" si="13"/>
        <v>23</v>
      </c>
      <c r="G88" s="924">
        <f t="shared" si="13"/>
        <v>5077.8600000000015</v>
      </c>
      <c r="H88" s="923">
        <f t="shared" si="13"/>
        <v>92</v>
      </c>
      <c r="I88" s="924">
        <f t="shared" si="13"/>
        <v>6704.05</v>
      </c>
      <c r="J88" s="924">
        <f>J87+J83+J76+J71+J68+J65+J62+J53+J50+J47+J44+J41+J20+J17+J12+J9+J6</f>
        <v>9724.199999999999</v>
      </c>
      <c r="K88" s="924">
        <f t="shared" si="13"/>
        <v>40852.8</v>
      </c>
      <c r="L88" s="924">
        <f t="shared" si="13"/>
        <v>74710.19000000002</v>
      </c>
    </row>
    <row r="89" ht="19.5" customHeight="1">
      <c r="A89" s="400" t="s">
        <v>290</v>
      </c>
    </row>
  </sheetData>
  <sheetProtection/>
  <mergeCells count="10">
    <mergeCell ref="A88:C88"/>
    <mergeCell ref="H2:I2"/>
    <mergeCell ref="J2:J3"/>
    <mergeCell ref="K2:K3"/>
    <mergeCell ref="L2:L3"/>
    <mergeCell ref="A2:A3"/>
    <mergeCell ref="B2:B3"/>
    <mergeCell ref="C2:C3"/>
    <mergeCell ref="F2:G2"/>
    <mergeCell ref="D2:E2"/>
  </mergeCells>
  <printOptions/>
  <pageMargins left="0" right="0" top="0.4" bottom="0.4"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13"/>
  </sheetPr>
  <dimension ref="A1:O70"/>
  <sheetViews>
    <sheetView zoomScalePageLayoutView="0" workbookViewId="0" topLeftCell="A13">
      <selection activeCell="A1" sqref="A1:IV16384"/>
    </sheetView>
  </sheetViews>
  <sheetFormatPr defaultColWidth="9.140625" defaultRowHeight="12.75"/>
  <cols>
    <col min="1" max="1" width="28.00390625" style="70" customWidth="1"/>
    <col min="2" max="2" width="7.28125" style="60" customWidth="1"/>
    <col min="3" max="3" width="8.7109375" style="682" customWidth="1"/>
    <col min="4" max="4" width="7.00390625" style="60" customWidth="1"/>
    <col min="5" max="5" width="10.00390625" style="682" customWidth="1"/>
    <col min="6" max="6" width="7.28125" style="60" customWidth="1"/>
    <col min="7" max="7" width="7.57421875" style="677" customWidth="1"/>
    <col min="8" max="8" width="7.28125" style="70" customWidth="1"/>
    <col min="9" max="9" width="9.57421875" style="677" customWidth="1"/>
    <col min="10" max="10" width="7.57421875" style="70" customWidth="1"/>
    <col min="11" max="11" width="9.00390625" style="677" customWidth="1"/>
    <col min="16" max="16384" width="9.140625" style="70" customWidth="1"/>
  </cols>
  <sheetData>
    <row r="1" spans="1:15" s="74" customFormat="1" ht="23.25" customHeight="1" thickBot="1">
      <c r="A1" s="219" t="s">
        <v>502</v>
      </c>
      <c r="B1" s="110"/>
      <c r="C1" s="679"/>
      <c r="D1" s="110"/>
      <c r="E1" s="679"/>
      <c r="F1" s="110"/>
      <c r="G1" s="679"/>
      <c r="H1" s="666" t="s">
        <v>0</v>
      </c>
      <c r="I1" s="679"/>
      <c r="J1" s="91"/>
      <c r="L1"/>
      <c r="M1"/>
      <c r="N1"/>
      <c r="O1"/>
    </row>
    <row r="2" spans="1:15" s="74" customFormat="1" ht="70.5" customHeight="1">
      <c r="A2" s="1248" t="s">
        <v>1</v>
      </c>
      <c r="B2" s="1268" t="s">
        <v>71</v>
      </c>
      <c r="C2" s="1268"/>
      <c r="D2" s="1268" t="s">
        <v>78</v>
      </c>
      <c r="E2" s="1268"/>
      <c r="F2" s="1268" t="s">
        <v>81</v>
      </c>
      <c r="G2" s="1268"/>
      <c r="H2" s="1267" t="s">
        <v>93</v>
      </c>
      <c r="I2" s="1267"/>
      <c r="J2" s="1264" t="s">
        <v>66</v>
      </c>
      <c r="K2" s="1264"/>
      <c r="L2"/>
      <c r="M2"/>
      <c r="N2"/>
      <c r="O2"/>
    </row>
    <row r="3" spans="1:15" s="74" customFormat="1" ht="19.5" customHeight="1" thickBot="1">
      <c r="A3" s="1249"/>
      <c r="B3" s="200" t="s">
        <v>10</v>
      </c>
      <c r="C3" s="667" t="s">
        <v>9</v>
      </c>
      <c r="D3" s="200" t="s">
        <v>10</v>
      </c>
      <c r="E3" s="667" t="s">
        <v>9</v>
      </c>
      <c r="F3" s="200" t="s">
        <v>10</v>
      </c>
      <c r="G3" s="667" t="s">
        <v>9</v>
      </c>
      <c r="H3" s="200" t="s">
        <v>10</v>
      </c>
      <c r="I3" s="667" t="s">
        <v>9</v>
      </c>
      <c r="J3" s="200" t="s">
        <v>10</v>
      </c>
      <c r="K3" s="667" t="s">
        <v>9</v>
      </c>
      <c r="L3"/>
      <c r="M3"/>
      <c r="N3"/>
      <c r="O3"/>
    </row>
    <row r="4" spans="1:15" s="74" customFormat="1" ht="21" customHeight="1">
      <c r="A4" s="77" t="s">
        <v>152</v>
      </c>
      <c r="B4" s="66"/>
      <c r="C4" s="668"/>
      <c r="D4" s="66"/>
      <c r="E4" s="668"/>
      <c r="F4" s="66"/>
      <c r="G4" s="668"/>
      <c r="H4" s="113"/>
      <c r="I4" s="668"/>
      <c r="J4" s="62"/>
      <c r="K4" s="668"/>
      <c r="L4"/>
      <c r="M4"/>
      <c r="N4"/>
      <c r="O4"/>
    </row>
    <row r="5" spans="1:15" s="339" customFormat="1" ht="18.75" customHeight="1">
      <c r="A5" s="77" t="s">
        <v>11</v>
      </c>
      <c r="B5" s="198" t="s">
        <v>12</v>
      </c>
      <c r="C5" s="669" t="s">
        <v>12</v>
      </c>
      <c r="D5" s="197"/>
      <c r="E5" s="684"/>
      <c r="F5" s="198" t="s">
        <v>12</v>
      </c>
      <c r="G5" s="669" t="s">
        <v>12</v>
      </c>
      <c r="H5" s="197">
        <v>1</v>
      </c>
      <c r="I5" s="669">
        <v>451.6</v>
      </c>
      <c r="J5" s="194">
        <f>SUM(B5,D5,F5,H5)</f>
        <v>1</v>
      </c>
      <c r="K5" s="686">
        <f>SUM(C5,E5,G5,I5)</f>
        <v>451.6</v>
      </c>
      <c r="L5"/>
      <c r="M5"/>
      <c r="N5"/>
      <c r="O5"/>
    </row>
    <row r="6" spans="1:15" s="347" customFormat="1" ht="18.75" customHeight="1">
      <c r="A6" s="77" t="s">
        <v>13</v>
      </c>
      <c r="B6" s="198">
        <v>3</v>
      </c>
      <c r="C6" s="669">
        <v>69.1</v>
      </c>
      <c r="D6" s="197">
        <v>8</v>
      </c>
      <c r="E6" s="684">
        <f>171.3+63.1</f>
        <v>234.4</v>
      </c>
      <c r="F6" s="198" t="s">
        <v>12</v>
      </c>
      <c r="G6" s="669" t="s">
        <v>12</v>
      </c>
      <c r="H6" s="197" t="s">
        <v>12</v>
      </c>
      <c r="I6" s="669" t="s">
        <v>12</v>
      </c>
      <c r="J6" s="194">
        <f>SUM(B6,D6,F6,H6)</f>
        <v>11</v>
      </c>
      <c r="K6" s="686">
        <f>SUM(C6,E6,G6,I6)</f>
        <v>303.5</v>
      </c>
      <c r="L6"/>
      <c r="M6"/>
      <c r="N6"/>
      <c r="O6"/>
    </row>
    <row r="7" spans="1:15" s="68" customFormat="1" ht="18.75" customHeight="1">
      <c r="A7" s="77" t="s">
        <v>510</v>
      </c>
      <c r="B7" s="198"/>
      <c r="C7" s="669"/>
      <c r="D7" s="99"/>
      <c r="E7" s="669"/>
      <c r="F7" s="198"/>
      <c r="G7" s="669"/>
      <c r="H7" s="197"/>
      <c r="I7" s="669"/>
      <c r="J7" s="194"/>
      <c r="K7" s="686"/>
      <c r="L7"/>
      <c r="M7"/>
      <c r="N7"/>
      <c r="O7"/>
    </row>
    <row r="8" spans="1:15" s="342" customFormat="1" ht="18.75" customHeight="1">
      <c r="A8" s="196" t="s">
        <v>20</v>
      </c>
      <c r="B8" s="338">
        <v>2</v>
      </c>
      <c r="C8" s="680">
        <v>395.2</v>
      </c>
      <c r="D8" s="337"/>
      <c r="E8" s="683"/>
      <c r="F8" s="338" t="s">
        <v>12</v>
      </c>
      <c r="G8" s="680" t="s">
        <v>12</v>
      </c>
      <c r="H8" s="337" t="s">
        <v>12</v>
      </c>
      <c r="I8" s="680" t="s">
        <v>12</v>
      </c>
      <c r="J8" s="341">
        <f>SUM(B8,D8,F8,H8)</f>
        <v>2</v>
      </c>
      <c r="K8" s="687">
        <f>SUM(C8,E8,G8,I8)</f>
        <v>395.2</v>
      </c>
      <c r="L8" s="312"/>
      <c r="M8" s="312"/>
      <c r="N8" s="312"/>
      <c r="O8" s="312"/>
    </row>
    <row r="9" spans="1:15" s="74" customFormat="1" ht="21.75" thickBot="1">
      <c r="A9" s="120" t="s">
        <v>66</v>
      </c>
      <c r="B9" s="176">
        <f>SUM(B5:B8)</f>
        <v>5</v>
      </c>
      <c r="C9" s="670">
        <f>SUM(C5:C8)</f>
        <v>464.29999999999995</v>
      </c>
      <c r="D9" s="176">
        <f>SUM(D5:D8)</f>
        <v>8</v>
      </c>
      <c r="E9" s="670">
        <f>SUM(E5:E8)</f>
        <v>234.4</v>
      </c>
      <c r="F9" s="176">
        <f>SUM(F7:F8)</f>
        <v>0</v>
      </c>
      <c r="G9" s="176">
        <f>SUM(G7:G8)</f>
        <v>0</v>
      </c>
      <c r="H9" s="176">
        <f>SUM(H5:H8)</f>
        <v>1</v>
      </c>
      <c r="I9" s="670">
        <f>SUM(I5:I8)</f>
        <v>451.6</v>
      </c>
      <c r="J9" s="176">
        <f>SUM(J5:J8)</f>
        <v>14</v>
      </c>
      <c r="K9" s="670">
        <f>SUM(K5:K8)</f>
        <v>1150.3</v>
      </c>
      <c r="L9"/>
      <c r="M9"/>
      <c r="N9"/>
      <c r="O9"/>
    </row>
    <row r="10" spans="1:15" s="74" customFormat="1" ht="29.25" customHeight="1">
      <c r="A10" s="117"/>
      <c r="B10" s="117"/>
      <c r="C10" s="681"/>
      <c r="D10" s="117"/>
      <c r="E10" s="681"/>
      <c r="F10" s="117"/>
      <c r="G10" s="681"/>
      <c r="H10" s="118"/>
      <c r="I10" s="681"/>
      <c r="J10" s="119"/>
      <c r="K10" s="671"/>
      <c r="L10"/>
      <c r="M10"/>
      <c r="N10"/>
      <c r="O10"/>
    </row>
    <row r="11" spans="1:15" s="74" customFormat="1" ht="22.5" customHeight="1" thickBot="1">
      <c r="A11" s="219" t="s">
        <v>511</v>
      </c>
      <c r="B11" s="110"/>
      <c r="C11" s="679"/>
      <c r="D11" s="110"/>
      <c r="E11" s="679"/>
      <c r="F11" s="110"/>
      <c r="G11" s="679"/>
      <c r="H11" s="111"/>
      <c r="I11" s="666" t="s">
        <v>0</v>
      </c>
      <c r="L11"/>
      <c r="M11"/>
      <c r="N11"/>
      <c r="O11"/>
    </row>
    <row r="12" spans="1:15" s="74" customFormat="1" ht="72" customHeight="1">
      <c r="A12" s="1248" t="s">
        <v>1</v>
      </c>
      <c r="B12" s="1266" t="s">
        <v>73</v>
      </c>
      <c r="C12" s="1266"/>
      <c r="D12" s="1266" t="s">
        <v>84</v>
      </c>
      <c r="E12" s="1266"/>
      <c r="F12" s="1266" t="s">
        <v>81</v>
      </c>
      <c r="G12" s="1266"/>
      <c r="H12" s="1267" t="s">
        <v>93</v>
      </c>
      <c r="I12" s="1267"/>
      <c r="J12" s="1264" t="s">
        <v>66</v>
      </c>
      <c r="K12" s="1264"/>
      <c r="L12"/>
      <c r="M12"/>
      <c r="N12"/>
      <c r="O12"/>
    </row>
    <row r="13" spans="1:15" s="74" customFormat="1" ht="18" customHeight="1" thickBot="1">
      <c r="A13" s="1265"/>
      <c r="B13" s="201" t="s">
        <v>118</v>
      </c>
      <c r="C13" s="672" t="s">
        <v>9</v>
      </c>
      <c r="D13" s="201" t="s">
        <v>118</v>
      </c>
      <c r="E13" s="672" t="s">
        <v>9</v>
      </c>
      <c r="F13" s="201" t="s">
        <v>118</v>
      </c>
      <c r="G13" s="672" t="s">
        <v>9</v>
      </c>
      <c r="H13" s="201" t="s">
        <v>118</v>
      </c>
      <c r="I13" s="672" t="s">
        <v>9</v>
      </c>
      <c r="J13" s="201" t="s">
        <v>118</v>
      </c>
      <c r="K13" s="672" t="s">
        <v>9</v>
      </c>
      <c r="L13"/>
      <c r="M13"/>
      <c r="N13"/>
      <c r="O13"/>
    </row>
    <row r="14" spans="1:15" s="74" customFormat="1" ht="21" customHeight="1">
      <c r="A14" s="77" t="s">
        <v>86</v>
      </c>
      <c r="B14" s="66"/>
      <c r="C14" s="668"/>
      <c r="D14" s="66"/>
      <c r="E14" s="668"/>
      <c r="F14" s="66"/>
      <c r="G14" s="668"/>
      <c r="H14" s="113"/>
      <c r="I14" s="668"/>
      <c r="J14" s="62"/>
      <c r="K14" s="668"/>
      <c r="L14"/>
      <c r="M14"/>
      <c r="N14"/>
      <c r="O14"/>
    </row>
    <row r="15" spans="1:15" s="195" customFormat="1" ht="19.5" customHeight="1">
      <c r="A15" s="77" t="s">
        <v>11</v>
      </c>
      <c r="B15" s="198" t="s">
        <v>12</v>
      </c>
      <c r="C15" s="669"/>
      <c r="D15" s="99" t="s">
        <v>12</v>
      </c>
      <c r="E15" s="669" t="s">
        <v>12</v>
      </c>
      <c r="F15" s="198" t="s">
        <v>12</v>
      </c>
      <c r="G15" s="669" t="s">
        <v>12</v>
      </c>
      <c r="H15" s="197" t="s">
        <v>12</v>
      </c>
      <c r="I15" s="669" t="s">
        <v>12</v>
      </c>
      <c r="J15" s="194">
        <f aca="true" t="shared" si="0" ref="J15:K19">SUM(B15,D15,F15,H15)</f>
        <v>0</v>
      </c>
      <c r="K15" s="686">
        <f t="shared" si="0"/>
        <v>0</v>
      </c>
      <c r="L15"/>
      <c r="M15"/>
      <c r="N15"/>
      <c r="O15"/>
    </row>
    <row r="16" spans="1:15" s="195" customFormat="1" ht="19.5" customHeight="1">
      <c r="A16" s="77" t="s">
        <v>13</v>
      </c>
      <c r="B16" s="198" t="s">
        <v>12</v>
      </c>
      <c r="C16" s="669"/>
      <c r="D16" s="99" t="s">
        <v>12</v>
      </c>
      <c r="E16" s="669" t="s">
        <v>12</v>
      </c>
      <c r="F16" s="198" t="s">
        <v>12</v>
      </c>
      <c r="G16" s="669" t="s">
        <v>12</v>
      </c>
      <c r="H16" s="197" t="s">
        <v>12</v>
      </c>
      <c r="I16" s="669" t="s">
        <v>12</v>
      </c>
      <c r="J16" s="194">
        <f t="shared" si="0"/>
        <v>0</v>
      </c>
      <c r="K16" s="686">
        <f t="shared" si="0"/>
        <v>0</v>
      </c>
      <c r="L16"/>
      <c r="M16"/>
      <c r="N16"/>
      <c r="O16"/>
    </row>
    <row r="17" spans="1:15" s="195" customFormat="1" ht="19.5" customHeight="1">
      <c r="A17" s="77" t="s">
        <v>14</v>
      </c>
      <c r="B17" s="198" t="s">
        <v>12</v>
      </c>
      <c r="C17" s="669"/>
      <c r="D17" s="99" t="s">
        <v>12</v>
      </c>
      <c r="E17" s="669">
        <v>240.3</v>
      </c>
      <c r="F17" s="198" t="s">
        <v>12</v>
      </c>
      <c r="G17" s="669" t="s">
        <v>12</v>
      </c>
      <c r="H17" s="197" t="s">
        <v>12</v>
      </c>
      <c r="I17" s="669" t="s">
        <v>12</v>
      </c>
      <c r="J17" s="194">
        <f t="shared" si="0"/>
        <v>0</v>
      </c>
      <c r="K17" s="686">
        <f t="shared" si="0"/>
        <v>240.3</v>
      </c>
      <c r="L17"/>
      <c r="M17"/>
      <c r="N17"/>
      <c r="O17"/>
    </row>
    <row r="18" spans="1:15" s="339" customFormat="1" ht="19.5" customHeight="1">
      <c r="A18" s="196" t="s">
        <v>15</v>
      </c>
      <c r="B18" s="338" t="s">
        <v>12</v>
      </c>
      <c r="C18" s="680"/>
      <c r="D18" s="202" t="s">
        <v>12</v>
      </c>
      <c r="E18" s="680" t="s">
        <v>12</v>
      </c>
      <c r="F18" s="338" t="s">
        <v>12</v>
      </c>
      <c r="G18" s="680" t="s">
        <v>12</v>
      </c>
      <c r="H18" s="337" t="s">
        <v>12</v>
      </c>
      <c r="I18" s="680" t="s">
        <v>12</v>
      </c>
      <c r="J18" s="341">
        <f t="shared" si="0"/>
        <v>0</v>
      </c>
      <c r="K18" s="687">
        <f t="shared" si="0"/>
        <v>0</v>
      </c>
      <c r="L18"/>
      <c r="M18"/>
      <c r="N18"/>
      <c r="O18"/>
    </row>
    <row r="19" spans="1:15" s="74" customFormat="1" ht="21" customHeight="1" thickBot="1">
      <c r="A19" s="120" t="s">
        <v>66</v>
      </c>
      <c r="B19" s="176">
        <f>SUM(B16:B18)</f>
        <v>0</v>
      </c>
      <c r="C19" s="670">
        <f>SUM(C15:C18)</f>
        <v>0</v>
      </c>
      <c r="D19" s="176">
        <f>SUM(D16:D18)</f>
        <v>0</v>
      </c>
      <c r="E19" s="670">
        <f>SUM(E15:E18)</f>
        <v>240.3</v>
      </c>
      <c r="F19" s="176">
        <f>SUM(F16:F18)</f>
        <v>0</v>
      </c>
      <c r="G19" s="670">
        <f>SUM(G16:G18)</f>
        <v>0</v>
      </c>
      <c r="H19" s="176">
        <f>SUM(H16:H18)</f>
        <v>0</v>
      </c>
      <c r="I19" s="670">
        <f>SUM(I16:I18)</f>
        <v>0</v>
      </c>
      <c r="J19" s="688">
        <f t="shared" si="0"/>
        <v>0</v>
      </c>
      <c r="K19" s="689">
        <f t="shared" si="0"/>
        <v>240.3</v>
      </c>
      <c r="L19"/>
      <c r="M19"/>
      <c r="N19"/>
      <c r="O19"/>
    </row>
    <row r="20" spans="1:15" s="74" customFormat="1" ht="21" customHeight="1" thickBot="1">
      <c r="A20" s="103" t="s">
        <v>61</v>
      </c>
      <c r="B20" s="116">
        <f aca="true" t="shared" si="1" ref="B20:K20">SUM(B9,B19)</f>
        <v>5</v>
      </c>
      <c r="C20" s="673">
        <f t="shared" si="1"/>
        <v>464.29999999999995</v>
      </c>
      <c r="D20" s="116">
        <f t="shared" si="1"/>
        <v>8</v>
      </c>
      <c r="E20" s="673">
        <f t="shared" si="1"/>
        <v>474.70000000000005</v>
      </c>
      <c r="F20" s="116">
        <f t="shared" si="1"/>
        <v>0</v>
      </c>
      <c r="G20" s="673">
        <f t="shared" si="1"/>
        <v>0</v>
      </c>
      <c r="H20" s="116">
        <f t="shared" si="1"/>
        <v>1</v>
      </c>
      <c r="I20" s="673">
        <f t="shared" si="1"/>
        <v>451.6</v>
      </c>
      <c r="J20" s="116">
        <f t="shared" si="1"/>
        <v>14</v>
      </c>
      <c r="K20" s="673">
        <f t="shared" si="1"/>
        <v>1390.6</v>
      </c>
      <c r="L20"/>
      <c r="M20"/>
      <c r="N20"/>
      <c r="O20"/>
    </row>
    <row r="21" spans="1:15" s="74" customFormat="1" ht="21.75" customHeight="1">
      <c r="A21" s="71"/>
      <c r="B21" s="121"/>
      <c r="C21" s="674"/>
      <c r="D21" s="121"/>
      <c r="E21" s="674"/>
      <c r="F21" s="121"/>
      <c r="G21" s="674"/>
      <c r="H21" s="121"/>
      <c r="I21" s="674"/>
      <c r="J21" s="121"/>
      <c r="K21" s="674"/>
      <c r="L21"/>
      <c r="M21"/>
      <c r="N21"/>
      <c r="O21"/>
    </row>
    <row r="22" spans="1:15" s="74" customFormat="1" ht="18" customHeight="1">
      <c r="A22" s="91"/>
      <c r="B22" s="114"/>
      <c r="C22" s="668"/>
      <c r="D22" s="66"/>
      <c r="E22" s="685"/>
      <c r="F22" s="114"/>
      <c r="G22" s="668"/>
      <c r="H22" s="114"/>
      <c r="I22" s="668"/>
      <c r="J22" s="53"/>
      <c r="K22" s="675"/>
      <c r="L22"/>
      <c r="M22"/>
      <c r="N22"/>
      <c r="O22"/>
    </row>
    <row r="23" spans="3:11" ht="17.25" customHeight="1">
      <c r="C23" s="676"/>
      <c r="E23" s="676"/>
      <c r="G23" s="676"/>
      <c r="I23" s="676"/>
      <c r="K23" s="676"/>
    </row>
    <row r="24" spans="1:15" s="74" customFormat="1" ht="23.25" customHeight="1">
      <c r="A24" s="219"/>
      <c r="B24" s="110"/>
      <c r="C24" s="679"/>
      <c r="D24" s="110"/>
      <c r="E24" s="679"/>
      <c r="F24" s="110"/>
      <c r="G24" s="679"/>
      <c r="H24" s="111"/>
      <c r="I24" s="679"/>
      <c r="J24" s="91"/>
      <c r="K24" s="666"/>
      <c r="L24"/>
      <c r="M24"/>
      <c r="N24"/>
      <c r="O24"/>
    </row>
    <row r="25" spans="3:11" ht="20.25" customHeight="1">
      <c r="C25" s="676"/>
      <c r="E25" s="676"/>
      <c r="G25" s="676"/>
      <c r="I25" s="676"/>
      <c r="K25" s="676"/>
    </row>
    <row r="26" spans="3:11" ht="20.25" customHeight="1">
      <c r="C26" s="676"/>
      <c r="E26" s="676"/>
      <c r="G26" s="676"/>
      <c r="I26" s="676"/>
      <c r="K26" s="676"/>
    </row>
    <row r="27" spans="3:11" ht="20.25" customHeight="1">
      <c r="C27" s="676"/>
      <c r="E27" s="676"/>
      <c r="G27" s="676"/>
      <c r="I27" s="676"/>
      <c r="K27" s="676"/>
    </row>
    <row r="28" spans="3:11" ht="20.25" customHeight="1">
      <c r="C28" s="676"/>
      <c r="E28" s="676"/>
      <c r="G28" s="676"/>
      <c r="I28" s="676"/>
      <c r="K28" s="676"/>
    </row>
    <row r="29" spans="3:11" ht="20.25" customHeight="1">
      <c r="C29" s="676"/>
      <c r="E29" s="676"/>
      <c r="G29" s="676"/>
      <c r="I29" s="676"/>
      <c r="K29" s="676"/>
    </row>
    <row r="30" spans="3:11" ht="20.25" customHeight="1">
      <c r="C30" s="676"/>
      <c r="E30" s="676"/>
      <c r="G30" s="676"/>
      <c r="I30" s="676"/>
      <c r="K30" s="676"/>
    </row>
    <row r="31" spans="3:11" ht="20.25" customHeight="1">
      <c r="C31" s="676"/>
      <c r="E31" s="676"/>
      <c r="G31" s="676"/>
      <c r="I31" s="676"/>
      <c r="K31" s="676"/>
    </row>
    <row r="32" spans="3:11" ht="20.25" customHeight="1">
      <c r="C32" s="676"/>
      <c r="E32" s="676"/>
      <c r="G32" s="676"/>
      <c r="I32" s="676"/>
      <c r="K32" s="676"/>
    </row>
    <row r="33" spans="3:11" ht="20.25" customHeight="1">
      <c r="C33" s="676"/>
      <c r="E33" s="676"/>
      <c r="G33" s="676"/>
      <c r="I33" s="676"/>
      <c r="K33" s="676"/>
    </row>
    <row r="34" spans="3:11" ht="20.25" customHeight="1">
      <c r="C34" s="676"/>
      <c r="E34" s="676"/>
      <c r="G34" s="676"/>
      <c r="I34" s="676"/>
      <c r="K34" s="676"/>
    </row>
    <row r="35" spans="3:11" ht="20.25" customHeight="1">
      <c r="C35" s="676"/>
      <c r="E35" s="676"/>
      <c r="G35" s="676"/>
      <c r="I35" s="676"/>
      <c r="K35" s="676"/>
    </row>
    <row r="36" spans="3:11" ht="20.25" customHeight="1">
      <c r="C36" s="676"/>
      <c r="E36" s="676"/>
      <c r="G36" s="676"/>
      <c r="I36" s="676"/>
      <c r="K36" s="676"/>
    </row>
    <row r="37" spans="3:11" ht="20.25" customHeight="1">
      <c r="C37" s="676"/>
      <c r="E37" s="676"/>
      <c r="G37" s="676"/>
      <c r="I37" s="676"/>
      <c r="K37" s="676"/>
    </row>
    <row r="38" spans="3:11" ht="20.25" customHeight="1">
      <c r="C38" s="676"/>
      <c r="E38" s="676"/>
      <c r="G38" s="676"/>
      <c r="I38" s="676"/>
      <c r="K38" s="676"/>
    </row>
    <row r="39" spans="3:11" ht="20.25" customHeight="1">
      <c r="C39" s="676"/>
      <c r="E39" s="676"/>
      <c r="G39" s="676"/>
      <c r="I39" s="676"/>
      <c r="K39" s="676"/>
    </row>
    <row r="40" spans="3:11" ht="20.25" customHeight="1">
      <c r="C40" s="676"/>
      <c r="E40" s="676"/>
      <c r="G40" s="676"/>
      <c r="I40" s="676"/>
      <c r="K40" s="676"/>
    </row>
    <row r="41" spans="3:11" ht="20.25" customHeight="1">
      <c r="C41" s="676"/>
      <c r="E41" s="676"/>
      <c r="G41" s="676"/>
      <c r="I41" s="676"/>
      <c r="K41" s="676"/>
    </row>
    <row r="42" spans="3:11" ht="20.25" customHeight="1">
      <c r="C42" s="676"/>
      <c r="E42" s="676"/>
      <c r="G42" s="676"/>
      <c r="I42" s="676"/>
      <c r="K42" s="676"/>
    </row>
    <row r="43" spans="3:11" ht="20.25" customHeight="1">
      <c r="C43" s="676"/>
      <c r="E43" s="676"/>
      <c r="G43" s="676"/>
      <c r="I43" s="676"/>
      <c r="K43" s="676"/>
    </row>
    <row r="44" spans="3:11" ht="20.25" customHeight="1">
      <c r="C44" s="676"/>
      <c r="E44" s="676"/>
      <c r="G44" s="676"/>
      <c r="I44" s="676"/>
      <c r="K44" s="676"/>
    </row>
    <row r="45" spans="3:11" ht="20.25" customHeight="1">
      <c r="C45" s="676"/>
      <c r="E45" s="676"/>
      <c r="G45" s="676"/>
      <c r="I45" s="676"/>
      <c r="K45" s="676"/>
    </row>
    <row r="46" spans="3:11" ht="20.25" customHeight="1">
      <c r="C46" s="676"/>
      <c r="E46" s="676"/>
      <c r="G46" s="676"/>
      <c r="I46" s="676"/>
      <c r="K46" s="676"/>
    </row>
    <row r="47" spans="3:11" ht="20.25" customHeight="1">
      <c r="C47" s="676"/>
      <c r="E47" s="676"/>
      <c r="G47" s="676"/>
      <c r="I47" s="676"/>
      <c r="K47" s="676"/>
    </row>
    <row r="48" spans="3:11" ht="20.25" customHeight="1">
      <c r="C48" s="676"/>
      <c r="E48" s="676"/>
      <c r="G48" s="676"/>
      <c r="I48" s="676"/>
      <c r="K48" s="676"/>
    </row>
    <row r="49" spans="3:11" ht="20.25" customHeight="1">
      <c r="C49" s="676"/>
      <c r="E49" s="676"/>
      <c r="G49" s="676"/>
      <c r="I49" s="676"/>
      <c r="K49" s="676"/>
    </row>
    <row r="50" spans="3:11" ht="20.25" customHeight="1">
      <c r="C50" s="676"/>
      <c r="E50" s="676"/>
      <c r="G50" s="676"/>
      <c r="I50" s="676"/>
      <c r="K50" s="676"/>
    </row>
    <row r="51" spans="3:11" ht="20.25" customHeight="1">
      <c r="C51" s="676"/>
      <c r="E51" s="676"/>
      <c r="G51" s="676"/>
      <c r="I51" s="676"/>
      <c r="K51" s="676"/>
    </row>
    <row r="52" spans="3:11" ht="20.25" customHeight="1">
      <c r="C52" s="676"/>
      <c r="E52" s="676"/>
      <c r="G52" s="676"/>
      <c r="I52" s="676"/>
      <c r="K52" s="676"/>
    </row>
    <row r="53" spans="3:11" ht="20.25" customHeight="1">
      <c r="C53" s="676"/>
      <c r="E53" s="676"/>
      <c r="G53" s="676"/>
      <c r="I53" s="676"/>
      <c r="K53" s="676"/>
    </row>
    <row r="54" spans="3:11" ht="20.25" customHeight="1">
      <c r="C54" s="676"/>
      <c r="E54" s="676"/>
      <c r="G54" s="676"/>
      <c r="I54" s="676"/>
      <c r="K54" s="676"/>
    </row>
    <row r="55" spans="3:11" ht="20.25" customHeight="1">
      <c r="C55" s="676"/>
      <c r="E55" s="676"/>
      <c r="G55" s="676"/>
      <c r="I55" s="676"/>
      <c r="K55" s="676"/>
    </row>
    <row r="56" spans="3:11" ht="20.25" customHeight="1">
      <c r="C56" s="676"/>
      <c r="E56" s="676"/>
      <c r="G56" s="676"/>
      <c r="I56" s="676"/>
      <c r="K56" s="676"/>
    </row>
    <row r="57" spans="3:11" ht="20.25" customHeight="1">
      <c r="C57" s="676"/>
      <c r="E57" s="676"/>
      <c r="G57" s="676"/>
      <c r="I57" s="676"/>
      <c r="K57" s="676"/>
    </row>
    <row r="58" spans="3:11" ht="20.25" customHeight="1">
      <c r="C58" s="676"/>
      <c r="E58" s="676"/>
      <c r="G58" s="676"/>
      <c r="I58" s="676"/>
      <c r="K58" s="676"/>
    </row>
    <row r="59" spans="3:11" ht="20.25" customHeight="1">
      <c r="C59" s="676"/>
      <c r="E59" s="676"/>
      <c r="G59" s="676"/>
      <c r="I59" s="676"/>
      <c r="K59" s="676"/>
    </row>
    <row r="60" spans="3:11" ht="20.25" customHeight="1">
      <c r="C60" s="676"/>
      <c r="E60" s="676"/>
      <c r="G60" s="676"/>
      <c r="I60" s="676"/>
      <c r="K60" s="676"/>
    </row>
    <row r="61" spans="3:11" ht="20.25" customHeight="1">
      <c r="C61" s="676"/>
      <c r="E61" s="676"/>
      <c r="G61" s="676"/>
      <c r="I61" s="676"/>
      <c r="K61" s="676"/>
    </row>
    <row r="62" spans="3:11" ht="20.25" customHeight="1">
      <c r="C62" s="676"/>
      <c r="E62" s="676"/>
      <c r="G62" s="676"/>
      <c r="I62" s="676"/>
      <c r="K62" s="676"/>
    </row>
    <row r="63" spans="3:11" ht="20.25" customHeight="1">
      <c r="C63" s="676"/>
      <c r="E63" s="676"/>
      <c r="G63" s="676"/>
      <c r="I63" s="676"/>
      <c r="K63" s="676"/>
    </row>
    <row r="64" spans="3:11" ht="20.25" customHeight="1">
      <c r="C64" s="676"/>
      <c r="E64" s="676"/>
      <c r="G64" s="676"/>
      <c r="I64" s="676"/>
      <c r="K64" s="676"/>
    </row>
    <row r="65" spans="3:11" ht="20.25" customHeight="1">
      <c r="C65" s="676"/>
      <c r="E65" s="676"/>
      <c r="G65" s="676"/>
      <c r="I65" s="676"/>
      <c r="K65" s="676"/>
    </row>
    <row r="66" spans="3:11" ht="20.25" customHeight="1">
      <c r="C66" s="676"/>
      <c r="E66" s="676"/>
      <c r="G66" s="676"/>
      <c r="I66" s="676"/>
      <c r="K66" s="676"/>
    </row>
    <row r="67" spans="3:11" ht="20.25" customHeight="1">
      <c r="C67" s="676"/>
      <c r="E67" s="676"/>
      <c r="G67" s="676"/>
      <c r="I67" s="676"/>
      <c r="K67" s="676"/>
    </row>
    <row r="68" spans="3:11" ht="20.25" customHeight="1">
      <c r="C68" s="676"/>
      <c r="E68" s="676"/>
      <c r="G68" s="676"/>
      <c r="I68" s="676"/>
      <c r="K68" s="676"/>
    </row>
    <row r="69" spans="3:11" ht="20.25" customHeight="1">
      <c r="C69" s="676"/>
      <c r="E69" s="676"/>
      <c r="G69" s="676"/>
      <c r="I69" s="676"/>
      <c r="K69" s="676"/>
    </row>
    <row r="70" spans="3:11" ht="20.25" customHeight="1">
      <c r="C70" s="676"/>
      <c r="E70" s="676"/>
      <c r="G70" s="676"/>
      <c r="I70" s="676"/>
      <c r="K70" s="676"/>
    </row>
  </sheetData>
  <sheetProtection/>
  <mergeCells count="12">
    <mergeCell ref="A2:A3"/>
    <mergeCell ref="J2:K2"/>
    <mergeCell ref="D2:E2"/>
    <mergeCell ref="B2:C2"/>
    <mergeCell ref="F2:G2"/>
    <mergeCell ref="H2:I2"/>
    <mergeCell ref="J12:K12"/>
    <mergeCell ref="A12:A13"/>
    <mergeCell ref="B12:C12"/>
    <mergeCell ref="D12:E12"/>
    <mergeCell ref="H12:I12"/>
    <mergeCell ref="F12:G12"/>
  </mergeCells>
  <printOptions horizontalCentered="1"/>
  <pageMargins left="0.25" right="0.354330708661417" top="1.04" bottom="0.31" header="0.31" footer="0.2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13"/>
  </sheetPr>
  <dimension ref="A1:AZ56"/>
  <sheetViews>
    <sheetView zoomScalePageLayoutView="0" workbookViewId="0" topLeftCell="A1">
      <pane xSplit="1" ySplit="3" topLeftCell="J16" activePane="bottomRight" state="frozen"/>
      <selection pane="topLeft" activeCell="A1" sqref="A1"/>
      <selection pane="topRight" activeCell="B1" sqref="B1"/>
      <selection pane="bottomLeft" activeCell="A4" sqref="A4"/>
      <selection pane="bottomRight" activeCell="A1" sqref="A1:IV16384"/>
    </sheetView>
  </sheetViews>
  <sheetFormatPr defaultColWidth="9.140625" defaultRowHeight="12.75"/>
  <cols>
    <col min="1" max="1" width="13.57421875" style="130" customWidth="1"/>
    <col min="2" max="2" width="4.7109375" style="160" customWidth="1"/>
    <col min="3" max="3" width="8.140625" style="494" customWidth="1"/>
    <col min="4" max="4" width="4.421875" style="160" customWidth="1"/>
    <col min="5" max="5" width="6.57421875" style="514" customWidth="1"/>
    <col min="6" max="6" width="4.421875" style="161" customWidth="1"/>
    <col min="7" max="7" width="5.57421875" style="514" customWidth="1"/>
    <col min="8" max="8" width="4.421875" style="161" customWidth="1"/>
    <col min="9" max="9" width="6.28125" style="514" customWidth="1"/>
    <col min="10" max="10" width="4.7109375" style="130" customWidth="1"/>
    <col min="11" max="11" width="6.28125" style="510" customWidth="1"/>
    <col min="12" max="12" width="4.7109375" style="130" customWidth="1"/>
    <col min="13" max="13" width="6.57421875" style="510" customWidth="1"/>
    <col min="14" max="14" width="4.57421875" style="162" customWidth="1"/>
    <col min="15" max="15" width="7.00390625" style="130" customWidth="1"/>
    <col min="16" max="16" width="4.421875" style="130" customWidth="1"/>
    <col min="17" max="17" width="6.8515625" style="376" customWidth="1"/>
    <col min="18" max="18" width="4.7109375" style="162" customWidth="1"/>
    <col min="19" max="19" width="6.7109375" style="161" customWidth="1"/>
    <col min="20" max="20" width="4.57421875" style="161" customWidth="1"/>
    <col min="21" max="21" width="7.140625" style="161" customWidth="1"/>
    <col min="22" max="22" width="4.8515625" style="162" customWidth="1"/>
    <col min="23" max="23" width="7.28125" style="130" customWidth="1"/>
    <col min="24" max="24" width="4.421875" style="130" customWidth="1"/>
    <col min="25" max="25" width="5.7109375" style="130" customWidth="1"/>
    <col min="26" max="26" width="4.7109375" style="162" customWidth="1"/>
    <col min="27" max="27" width="6.7109375" style="130" customWidth="1"/>
    <col min="28" max="28" width="5.00390625" style="162" customWidth="1"/>
    <col min="29" max="29" width="7.8515625" style="510" customWidth="1"/>
    <col min="30" max="30" width="5.28125" style="0" customWidth="1"/>
    <col min="31" max="31" width="10.00390625" style="0" customWidth="1"/>
    <col min="32" max="32" width="15.140625" style="0" customWidth="1"/>
    <col min="33" max="33" width="4.57421875" style="0" customWidth="1"/>
    <col min="34" max="34" width="7.8515625" style="0" customWidth="1"/>
    <col min="35" max="35" width="5.00390625" style="0" customWidth="1"/>
    <col min="37" max="37" width="5.00390625" style="0" customWidth="1"/>
    <col min="39" max="39" width="4.8515625" style="0" customWidth="1"/>
    <col min="41" max="41" width="4.8515625" style="0" customWidth="1"/>
    <col min="43" max="43" width="4.8515625" style="0" customWidth="1"/>
    <col min="45" max="45" width="4.7109375" style="0" customWidth="1"/>
    <col min="47" max="47" width="5.00390625" style="0" customWidth="1"/>
    <col min="49" max="49" width="5.140625" style="0" customWidth="1"/>
    <col min="51" max="51" width="4.8515625" style="0" customWidth="1"/>
    <col min="53" max="53" width="4.8515625" style="130" customWidth="1"/>
    <col min="54" max="54" width="9.140625" style="130" customWidth="1"/>
    <col min="55" max="55" width="4.7109375" style="130" customWidth="1"/>
    <col min="56" max="56" width="9.140625" style="130" customWidth="1"/>
    <col min="57" max="57" width="5.140625" style="130" customWidth="1"/>
    <col min="58" max="58" width="9.140625" style="130" customWidth="1"/>
    <col min="59" max="59" width="5.140625" style="130" customWidth="1"/>
    <col min="60" max="16384" width="9.140625" style="130" customWidth="1"/>
  </cols>
  <sheetData>
    <row r="1" spans="1:52" s="61" customFormat="1" ht="21.75" customHeight="1" thickBot="1">
      <c r="A1" s="222" t="s">
        <v>503</v>
      </c>
      <c r="B1" s="160"/>
      <c r="C1" s="494"/>
      <c r="D1" s="160"/>
      <c r="E1" s="514"/>
      <c r="F1" s="161"/>
      <c r="G1" s="514"/>
      <c r="H1" s="161"/>
      <c r="I1" s="514"/>
      <c r="J1" s="161"/>
      <c r="K1" s="514"/>
      <c r="L1" s="161"/>
      <c r="M1" s="514"/>
      <c r="N1" s="162"/>
      <c r="O1" s="161"/>
      <c r="P1" s="161"/>
      <c r="Q1" s="494"/>
      <c r="V1" s="162"/>
      <c r="Z1" s="76"/>
      <c r="AA1" s="76"/>
      <c r="AB1" s="76"/>
      <c r="AC1" s="503" t="s">
        <v>0</v>
      </c>
      <c r="AD1"/>
      <c r="AE1"/>
      <c r="AF1"/>
      <c r="AG1"/>
      <c r="AH1"/>
      <c r="AI1"/>
      <c r="AJ1"/>
      <c r="AK1"/>
      <c r="AL1"/>
      <c r="AM1"/>
      <c r="AN1"/>
      <c r="AO1"/>
      <c r="AP1"/>
      <c r="AQ1"/>
      <c r="AR1"/>
      <c r="AS1"/>
      <c r="AT1"/>
      <c r="AU1"/>
      <c r="AV1"/>
      <c r="AW1"/>
      <c r="AX1"/>
      <c r="AY1"/>
      <c r="AZ1"/>
    </row>
    <row r="2" spans="1:52" s="61" customFormat="1" ht="73.5" customHeight="1" thickBot="1">
      <c r="A2" s="1248" t="s">
        <v>1</v>
      </c>
      <c r="B2" s="1247" t="s">
        <v>71</v>
      </c>
      <c r="C2" s="1247"/>
      <c r="D2" s="1251" t="s">
        <v>84</v>
      </c>
      <c r="E2" s="1251"/>
      <c r="F2" s="1250" t="s">
        <v>73</v>
      </c>
      <c r="G2" s="1250"/>
      <c r="H2" s="1250" t="s">
        <v>85</v>
      </c>
      <c r="I2" s="1250"/>
      <c r="J2" s="1270" t="s">
        <v>74</v>
      </c>
      <c r="K2" s="1270"/>
      <c r="L2" s="1270" t="s">
        <v>75</v>
      </c>
      <c r="M2" s="1270"/>
      <c r="N2" s="1272" t="s">
        <v>77</v>
      </c>
      <c r="O2" s="1272"/>
      <c r="P2" s="1270" t="s">
        <v>78</v>
      </c>
      <c r="Q2" s="1270"/>
      <c r="R2" s="1246" t="s">
        <v>79</v>
      </c>
      <c r="S2" s="1246"/>
      <c r="T2" s="1246" t="s">
        <v>80</v>
      </c>
      <c r="U2" s="1246"/>
      <c r="V2" s="1271" t="s">
        <v>81</v>
      </c>
      <c r="W2" s="1271"/>
      <c r="X2" s="1271" t="s">
        <v>82</v>
      </c>
      <c r="Y2" s="1271"/>
      <c r="Z2" s="1269" t="s">
        <v>93</v>
      </c>
      <c r="AA2" s="1269"/>
      <c r="AB2" s="1252" t="s">
        <v>66</v>
      </c>
      <c r="AC2" s="1252"/>
      <c r="AD2"/>
      <c r="AE2"/>
      <c r="AF2"/>
      <c r="AG2"/>
      <c r="AH2"/>
      <c r="AI2"/>
      <c r="AJ2"/>
      <c r="AK2"/>
      <c r="AL2"/>
      <c r="AM2"/>
      <c r="AN2"/>
      <c r="AO2"/>
      <c r="AP2"/>
      <c r="AQ2"/>
      <c r="AR2"/>
      <c r="AS2"/>
      <c r="AT2"/>
      <c r="AU2"/>
      <c r="AV2"/>
      <c r="AW2"/>
      <c r="AX2"/>
      <c r="AY2"/>
      <c r="AZ2"/>
    </row>
    <row r="3" spans="1:52" s="61" customFormat="1" ht="23.25" customHeight="1" thickBot="1">
      <c r="A3" s="1249"/>
      <c r="B3" s="193" t="s">
        <v>10</v>
      </c>
      <c r="C3" s="495" t="s">
        <v>9</v>
      </c>
      <c r="D3" s="193" t="s">
        <v>10</v>
      </c>
      <c r="E3" s="504" t="s">
        <v>9</v>
      </c>
      <c r="F3" s="193" t="s">
        <v>10</v>
      </c>
      <c r="G3" s="504" t="s">
        <v>9</v>
      </c>
      <c r="H3" s="193" t="s">
        <v>10</v>
      </c>
      <c r="I3" s="504" t="s">
        <v>9</v>
      </c>
      <c r="J3" s="193" t="s">
        <v>10</v>
      </c>
      <c r="K3" s="504" t="s">
        <v>9</v>
      </c>
      <c r="L3" s="193" t="s">
        <v>10</v>
      </c>
      <c r="M3" s="504" t="s">
        <v>9</v>
      </c>
      <c r="N3" s="102" t="s">
        <v>10</v>
      </c>
      <c r="O3" s="188" t="s">
        <v>9</v>
      </c>
      <c r="P3" s="102" t="s">
        <v>10</v>
      </c>
      <c r="Q3" s="495" t="s">
        <v>9</v>
      </c>
      <c r="R3" s="102" t="s">
        <v>10</v>
      </c>
      <c r="S3" s="188" t="s">
        <v>9</v>
      </c>
      <c r="T3" s="102" t="s">
        <v>10</v>
      </c>
      <c r="U3" s="188" t="s">
        <v>9</v>
      </c>
      <c r="V3" s="102" t="s">
        <v>10</v>
      </c>
      <c r="W3" s="188" t="s">
        <v>9</v>
      </c>
      <c r="X3" s="102" t="s">
        <v>10</v>
      </c>
      <c r="Y3" s="188" t="s">
        <v>9</v>
      </c>
      <c r="Z3" s="188" t="s">
        <v>10</v>
      </c>
      <c r="AA3" s="188" t="s">
        <v>9</v>
      </c>
      <c r="AB3" s="188" t="s">
        <v>10</v>
      </c>
      <c r="AC3" s="504" t="s">
        <v>9</v>
      </c>
      <c r="AD3"/>
      <c r="AE3"/>
      <c r="AF3"/>
      <c r="AG3"/>
      <c r="AH3"/>
      <c r="AI3"/>
      <c r="AJ3"/>
      <c r="AK3"/>
      <c r="AL3"/>
      <c r="AM3"/>
      <c r="AN3"/>
      <c r="AO3"/>
      <c r="AP3"/>
      <c r="AQ3"/>
      <c r="AR3"/>
      <c r="AS3"/>
      <c r="AT3"/>
      <c r="AU3"/>
      <c r="AV3"/>
      <c r="AW3"/>
      <c r="AX3"/>
      <c r="AY3"/>
      <c r="AZ3"/>
    </row>
    <row r="4" spans="1:52" s="61" customFormat="1" ht="21.75" customHeight="1">
      <c r="A4" s="77" t="s">
        <v>86</v>
      </c>
      <c r="B4" s="63"/>
      <c r="C4" s="496"/>
      <c r="D4" s="63"/>
      <c r="E4" s="505"/>
      <c r="F4" s="64"/>
      <c r="G4" s="505"/>
      <c r="H4" s="64"/>
      <c r="I4" s="505"/>
      <c r="J4" s="64"/>
      <c r="K4" s="505"/>
      <c r="L4" s="64"/>
      <c r="M4" s="505"/>
      <c r="N4" s="65"/>
      <c r="O4" s="64"/>
      <c r="P4" s="64"/>
      <c r="Q4" s="496"/>
      <c r="R4" s="65"/>
      <c r="S4" s="64"/>
      <c r="T4" s="64"/>
      <c r="U4" s="64"/>
      <c r="V4" s="65"/>
      <c r="W4" s="64"/>
      <c r="X4" s="64"/>
      <c r="Y4" s="64"/>
      <c r="Z4" s="65"/>
      <c r="AA4" s="64"/>
      <c r="AB4" s="65"/>
      <c r="AC4" s="505"/>
      <c r="AD4"/>
      <c r="AE4"/>
      <c r="AF4"/>
      <c r="AG4"/>
      <c r="AH4"/>
      <c r="AI4"/>
      <c r="AJ4"/>
      <c r="AK4"/>
      <c r="AL4"/>
      <c r="AM4"/>
      <c r="AN4"/>
      <c r="AO4"/>
      <c r="AP4"/>
      <c r="AQ4"/>
      <c r="AR4"/>
      <c r="AS4"/>
      <c r="AT4"/>
      <c r="AU4"/>
      <c r="AV4"/>
      <c r="AW4"/>
      <c r="AX4"/>
      <c r="AY4"/>
      <c r="AZ4"/>
    </row>
    <row r="5" spans="1:52" s="82" customFormat="1" ht="23.25" customHeight="1">
      <c r="A5" s="125" t="s">
        <v>87</v>
      </c>
      <c r="B5" s="99"/>
      <c r="C5" s="511"/>
      <c r="D5" s="99"/>
      <c r="E5" s="515"/>
      <c r="F5" s="99"/>
      <c r="G5" s="515"/>
      <c r="H5" s="99"/>
      <c r="I5" s="515"/>
      <c r="J5" s="99"/>
      <c r="K5" s="515"/>
      <c r="L5" s="99"/>
      <c r="M5" s="515"/>
      <c r="N5" s="99"/>
      <c r="O5" s="99"/>
      <c r="P5" s="846">
        <v>0</v>
      </c>
      <c r="Q5" s="511">
        <v>24.6</v>
      </c>
      <c r="R5" s="99"/>
      <c r="S5" s="99"/>
      <c r="T5" s="99"/>
      <c r="U5" s="99"/>
      <c r="V5" s="99">
        <v>1</v>
      </c>
      <c r="W5" s="99">
        <v>62.1</v>
      </c>
      <c r="X5" s="99"/>
      <c r="Y5" s="99"/>
      <c r="Z5" s="99"/>
      <c r="AA5" s="99"/>
      <c r="AB5" s="100">
        <f aca="true" t="shared" si="0" ref="AB5:AC8">SUM(B5,D5,F5,H5,L5,J5,N5,P5,R5,T5,V5,X5,Z5)</f>
        <v>1</v>
      </c>
      <c r="AC5" s="507">
        <f t="shared" si="0"/>
        <v>86.7</v>
      </c>
      <c r="AD5"/>
      <c r="AE5"/>
      <c r="AF5"/>
      <c r="AG5"/>
      <c r="AH5"/>
      <c r="AI5"/>
      <c r="AJ5"/>
      <c r="AK5"/>
      <c r="AL5"/>
      <c r="AM5"/>
      <c r="AN5"/>
      <c r="AO5"/>
      <c r="AP5"/>
      <c r="AQ5"/>
      <c r="AR5"/>
      <c r="AS5"/>
      <c r="AT5"/>
      <c r="AU5"/>
      <c r="AV5"/>
      <c r="AW5"/>
      <c r="AX5"/>
      <c r="AY5"/>
      <c r="AZ5"/>
    </row>
    <row r="6" spans="1:52" s="82" customFormat="1" ht="23.25" customHeight="1">
      <c r="A6" s="125" t="s">
        <v>88</v>
      </c>
      <c r="B6" s="99"/>
      <c r="C6" s="511"/>
      <c r="D6" s="99"/>
      <c r="E6" s="515"/>
      <c r="F6" s="99"/>
      <c r="G6" s="515"/>
      <c r="H6" s="846">
        <v>0</v>
      </c>
      <c r="I6" s="515">
        <v>186.5</v>
      </c>
      <c r="J6" s="846">
        <v>0</v>
      </c>
      <c r="K6" s="515">
        <v>11</v>
      </c>
      <c r="L6" s="99"/>
      <c r="M6" s="515"/>
      <c r="N6" s="99">
        <v>1</v>
      </c>
      <c r="O6" s="99">
        <v>128.2</v>
      </c>
      <c r="P6" s="846">
        <v>0</v>
      </c>
      <c r="Q6" s="511">
        <v>567.3</v>
      </c>
      <c r="R6" s="99">
        <v>1</v>
      </c>
      <c r="S6" s="99">
        <v>231</v>
      </c>
      <c r="T6" s="846">
        <v>0</v>
      </c>
      <c r="U6" s="99">
        <v>7.7</v>
      </c>
      <c r="V6" s="99">
        <v>1</v>
      </c>
      <c r="W6" s="99">
        <v>210.7</v>
      </c>
      <c r="X6" s="99"/>
      <c r="Y6" s="99"/>
      <c r="Z6" s="99"/>
      <c r="AA6" s="99"/>
      <c r="AB6" s="100">
        <f t="shared" si="0"/>
        <v>3</v>
      </c>
      <c r="AC6" s="507">
        <f t="shared" si="0"/>
        <v>1342.4</v>
      </c>
      <c r="AD6"/>
      <c r="AE6"/>
      <c r="AF6"/>
      <c r="AG6"/>
      <c r="AH6"/>
      <c r="AI6"/>
      <c r="AJ6"/>
      <c r="AK6"/>
      <c r="AL6"/>
      <c r="AM6"/>
      <c r="AN6"/>
      <c r="AO6"/>
      <c r="AP6"/>
      <c r="AQ6"/>
      <c r="AR6"/>
      <c r="AS6"/>
      <c r="AT6"/>
      <c r="AU6"/>
      <c r="AV6"/>
      <c r="AW6"/>
      <c r="AX6"/>
      <c r="AY6"/>
      <c r="AZ6"/>
    </row>
    <row r="7" spans="1:52" s="82" customFormat="1" ht="23.25" customHeight="1">
      <c r="A7" s="125" t="s">
        <v>89</v>
      </c>
      <c r="B7" s="846">
        <v>0</v>
      </c>
      <c r="C7" s="511">
        <v>740.2</v>
      </c>
      <c r="D7" s="99"/>
      <c r="E7" s="515"/>
      <c r="F7" s="99"/>
      <c r="G7" s="515"/>
      <c r="H7" s="99"/>
      <c r="I7" s="515"/>
      <c r="J7" s="99"/>
      <c r="K7" s="515"/>
      <c r="L7" s="99"/>
      <c r="M7" s="515"/>
      <c r="N7" s="99">
        <v>3</v>
      </c>
      <c r="O7" s="99">
        <v>804</v>
      </c>
      <c r="P7" s="99">
        <v>1</v>
      </c>
      <c r="Q7" s="511">
        <v>816.1</v>
      </c>
      <c r="R7" s="99">
        <v>2</v>
      </c>
      <c r="S7" s="99">
        <v>406</v>
      </c>
      <c r="T7" s="846">
        <v>0</v>
      </c>
      <c r="U7" s="99">
        <v>121</v>
      </c>
      <c r="V7" s="99">
        <v>1</v>
      </c>
      <c r="W7" s="99">
        <v>219.7</v>
      </c>
      <c r="X7" s="99"/>
      <c r="Y7" s="99"/>
      <c r="Z7" s="99"/>
      <c r="AA7" s="99"/>
      <c r="AB7" s="100">
        <f t="shared" si="0"/>
        <v>7</v>
      </c>
      <c r="AC7" s="507">
        <f t="shared" si="0"/>
        <v>3107</v>
      </c>
      <c r="AD7"/>
      <c r="AE7"/>
      <c r="AF7"/>
      <c r="AG7"/>
      <c r="AH7"/>
      <c r="AI7"/>
      <c r="AJ7"/>
      <c r="AK7"/>
      <c r="AL7"/>
      <c r="AM7"/>
      <c r="AN7"/>
      <c r="AO7"/>
      <c r="AP7"/>
      <c r="AQ7"/>
      <c r="AR7"/>
      <c r="AS7"/>
      <c r="AT7"/>
      <c r="AU7"/>
      <c r="AV7"/>
      <c r="AW7"/>
      <c r="AX7"/>
      <c r="AY7"/>
      <c r="AZ7"/>
    </row>
    <row r="8" spans="1:52" s="82" customFormat="1" ht="23.25" customHeight="1">
      <c r="A8" s="125" t="s">
        <v>90</v>
      </c>
      <c r="B8" s="99">
        <v>1</v>
      </c>
      <c r="C8" s="511">
        <v>138.8</v>
      </c>
      <c r="D8" s="99"/>
      <c r="E8" s="515"/>
      <c r="F8" s="99"/>
      <c r="G8" s="515"/>
      <c r="H8" s="99"/>
      <c r="I8" s="515"/>
      <c r="J8" s="99"/>
      <c r="K8" s="515"/>
      <c r="L8" s="99"/>
      <c r="M8" s="515"/>
      <c r="N8" s="846">
        <v>0</v>
      </c>
      <c r="O8" s="99">
        <v>126.9</v>
      </c>
      <c r="P8" s="99"/>
      <c r="Q8" s="511"/>
      <c r="R8" s="846">
        <v>0</v>
      </c>
      <c r="S8" s="99">
        <v>140.9</v>
      </c>
      <c r="T8" s="846">
        <v>0</v>
      </c>
      <c r="U8" s="99">
        <v>7.7</v>
      </c>
      <c r="V8" s="99"/>
      <c r="W8" s="99"/>
      <c r="X8" s="99"/>
      <c r="Y8" s="99"/>
      <c r="Z8" s="846">
        <v>0</v>
      </c>
      <c r="AA8" s="99">
        <v>42.9</v>
      </c>
      <c r="AB8" s="100">
        <f t="shared" si="0"/>
        <v>1</v>
      </c>
      <c r="AC8" s="507">
        <f t="shared" si="0"/>
        <v>457.2</v>
      </c>
      <c r="AD8"/>
      <c r="AE8"/>
      <c r="AF8"/>
      <c r="AG8"/>
      <c r="AH8"/>
      <c r="AI8"/>
      <c r="AJ8"/>
      <c r="AK8"/>
      <c r="AL8"/>
      <c r="AM8"/>
      <c r="AN8"/>
      <c r="AO8"/>
      <c r="AP8"/>
      <c r="AQ8"/>
      <c r="AR8"/>
      <c r="AS8"/>
      <c r="AT8"/>
      <c r="AU8"/>
      <c r="AV8"/>
      <c r="AW8"/>
      <c r="AX8"/>
      <c r="AY8"/>
      <c r="AZ8"/>
    </row>
    <row r="9" spans="1:52" s="254" customFormat="1" ht="24.75" customHeight="1">
      <c r="A9" s="84" t="s">
        <v>16</v>
      </c>
      <c r="B9" s="96"/>
      <c r="C9" s="501"/>
      <c r="D9" s="96"/>
      <c r="E9" s="518"/>
      <c r="F9" s="98"/>
      <c r="G9" s="506"/>
      <c r="H9" s="98"/>
      <c r="I9" s="506"/>
      <c r="J9" s="98"/>
      <c r="K9" s="506"/>
      <c r="L9" s="98"/>
      <c r="M9" s="506"/>
      <c r="N9" s="98"/>
      <c r="O9" s="98"/>
      <c r="P9" s="98"/>
      <c r="Q9" s="497"/>
      <c r="R9" s="98"/>
      <c r="S9" s="97"/>
      <c r="T9" s="97"/>
      <c r="U9" s="97"/>
      <c r="V9" s="98"/>
      <c r="W9" s="98"/>
      <c r="X9" s="98"/>
      <c r="Y9" s="98"/>
      <c r="Z9" s="98"/>
      <c r="AA9" s="98"/>
      <c r="AB9" s="98"/>
      <c r="AC9" s="506"/>
      <c r="AD9" s="520"/>
      <c r="AE9" s="520"/>
      <c r="AF9" s="520"/>
      <c r="AG9" s="520"/>
      <c r="AH9" s="520"/>
      <c r="AI9" s="520"/>
      <c r="AJ9" s="520"/>
      <c r="AK9" s="520"/>
      <c r="AL9" s="520"/>
      <c r="AM9" s="520"/>
      <c r="AN9" s="520"/>
      <c r="AO9" s="520"/>
      <c r="AP9" s="520"/>
      <c r="AQ9" s="520"/>
      <c r="AR9" s="520"/>
      <c r="AS9" s="520"/>
      <c r="AT9" s="520"/>
      <c r="AU9" s="520"/>
      <c r="AV9" s="520"/>
      <c r="AW9" s="520"/>
      <c r="AX9" s="520"/>
      <c r="AY9" s="520"/>
      <c r="AZ9" s="520"/>
    </row>
    <row r="10" spans="1:52" s="42" customFormat="1" ht="24" customHeight="1">
      <c r="A10" s="125" t="s">
        <v>96</v>
      </c>
      <c r="B10" s="99"/>
      <c r="C10" s="511"/>
      <c r="D10" s="99"/>
      <c r="E10" s="515"/>
      <c r="F10" s="99"/>
      <c r="G10" s="515"/>
      <c r="H10" s="99"/>
      <c r="I10" s="515"/>
      <c r="J10" s="99"/>
      <c r="K10" s="515"/>
      <c r="L10" s="99"/>
      <c r="M10" s="515"/>
      <c r="N10" s="846">
        <v>0</v>
      </c>
      <c r="O10" s="99">
        <v>72.8</v>
      </c>
      <c r="P10" s="99"/>
      <c r="Q10" s="511"/>
      <c r="R10" s="846">
        <v>0</v>
      </c>
      <c r="S10" s="99">
        <v>493.3</v>
      </c>
      <c r="T10" s="99"/>
      <c r="U10" s="99"/>
      <c r="V10" s="99"/>
      <c r="W10" s="99"/>
      <c r="X10" s="846">
        <v>0</v>
      </c>
      <c r="Y10" s="99">
        <v>289.7</v>
      </c>
      <c r="Z10" s="99"/>
      <c r="AA10" s="99"/>
      <c r="AB10" s="100">
        <f aca="true" t="shared" si="1" ref="AB10:AC12">SUM(B10,D10,F10,H10,L10,J10,N10,P10,R10,T10,V10,X10,Z10)</f>
        <v>0</v>
      </c>
      <c r="AC10" s="507">
        <f t="shared" si="1"/>
        <v>855.8</v>
      </c>
      <c r="AD10"/>
      <c r="AE10"/>
      <c r="AF10"/>
      <c r="AG10"/>
      <c r="AH10"/>
      <c r="AI10"/>
      <c r="AJ10"/>
      <c r="AK10"/>
      <c r="AL10"/>
      <c r="AM10"/>
      <c r="AN10"/>
      <c r="AO10"/>
      <c r="AP10"/>
      <c r="AQ10"/>
      <c r="AR10"/>
      <c r="AS10"/>
      <c r="AT10"/>
      <c r="AU10"/>
      <c r="AV10"/>
      <c r="AW10"/>
      <c r="AX10"/>
      <c r="AY10"/>
      <c r="AZ10"/>
    </row>
    <row r="11" spans="1:52" s="326" customFormat="1" ht="24" customHeight="1">
      <c r="A11" s="125" t="s">
        <v>97</v>
      </c>
      <c r="B11" s="99"/>
      <c r="C11" s="511"/>
      <c r="D11" s="99"/>
      <c r="E11" s="515"/>
      <c r="F11" s="99"/>
      <c r="G11" s="515"/>
      <c r="H11" s="99"/>
      <c r="I11" s="515"/>
      <c r="J11" s="99"/>
      <c r="K11" s="515"/>
      <c r="L11" s="99"/>
      <c r="M11" s="515"/>
      <c r="N11" s="846">
        <v>0</v>
      </c>
      <c r="O11" s="99">
        <v>128.7</v>
      </c>
      <c r="P11" s="99"/>
      <c r="Q11" s="511"/>
      <c r="R11" s="99"/>
      <c r="S11" s="99"/>
      <c r="T11" s="99"/>
      <c r="U11" s="99"/>
      <c r="V11" s="99"/>
      <c r="W11" s="99"/>
      <c r="X11" s="99"/>
      <c r="Y11" s="99"/>
      <c r="Z11" s="99"/>
      <c r="AA11" s="99"/>
      <c r="AB11" s="100">
        <f t="shared" si="1"/>
        <v>0</v>
      </c>
      <c r="AC11" s="507">
        <f t="shared" si="1"/>
        <v>128.7</v>
      </c>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row>
    <row r="12" spans="1:52" s="512" customFormat="1" ht="24" customHeight="1">
      <c r="A12" s="125" t="s">
        <v>92</v>
      </c>
      <c r="B12" s="99">
        <v>1</v>
      </c>
      <c r="C12" s="511">
        <v>123</v>
      </c>
      <c r="D12" s="99"/>
      <c r="E12" s="515"/>
      <c r="F12" s="99"/>
      <c r="G12" s="515"/>
      <c r="H12" s="99"/>
      <c r="I12" s="515"/>
      <c r="J12" s="99"/>
      <c r="K12" s="515"/>
      <c r="L12" s="99"/>
      <c r="M12" s="515"/>
      <c r="N12" s="99"/>
      <c r="O12" s="99"/>
      <c r="P12" s="99"/>
      <c r="Q12" s="511"/>
      <c r="R12" s="99"/>
      <c r="S12" s="99"/>
      <c r="T12" s="99"/>
      <c r="U12" s="99"/>
      <c r="V12" s="846">
        <v>0</v>
      </c>
      <c r="W12" s="99">
        <v>149.6</v>
      </c>
      <c r="X12" s="99"/>
      <c r="Y12" s="99"/>
      <c r="Z12" s="99"/>
      <c r="AA12" s="99"/>
      <c r="AB12" s="100">
        <f t="shared" si="1"/>
        <v>1</v>
      </c>
      <c r="AC12" s="507">
        <f t="shared" si="1"/>
        <v>272.6</v>
      </c>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row>
    <row r="13" spans="1:52" s="523" customFormat="1" ht="21" customHeight="1">
      <c r="A13" s="84" t="s">
        <v>21</v>
      </c>
      <c r="B13" s="96"/>
      <c r="C13" s="521"/>
      <c r="D13" s="96"/>
      <c r="E13" s="521"/>
      <c r="F13" s="96"/>
      <c r="G13" s="522"/>
      <c r="H13" s="96"/>
      <c r="I13" s="522"/>
      <c r="J13" s="96"/>
      <c r="K13" s="522"/>
      <c r="L13" s="96"/>
      <c r="M13" s="522"/>
      <c r="N13" s="96"/>
      <c r="O13" s="96"/>
      <c r="P13" s="96"/>
      <c r="Q13" s="521"/>
      <c r="R13" s="96"/>
      <c r="S13" s="96"/>
      <c r="T13" s="96"/>
      <c r="U13" s="96"/>
      <c r="V13" s="96"/>
      <c r="W13" s="96"/>
      <c r="X13" s="96"/>
      <c r="Y13" s="96"/>
      <c r="Z13" s="96"/>
      <c r="AA13" s="96"/>
      <c r="AB13" s="98"/>
      <c r="AC13" s="506"/>
      <c r="AD13" s="520"/>
      <c r="AE13" s="520"/>
      <c r="AF13" s="520"/>
      <c r="AG13" s="520"/>
      <c r="AH13" s="520"/>
      <c r="AI13" s="520"/>
      <c r="AJ13" s="520"/>
      <c r="AK13" s="520"/>
      <c r="AL13" s="520"/>
      <c r="AM13" s="520"/>
      <c r="AN13" s="520"/>
      <c r="AO13" s="520"/>
      <c r="AP13" s="520"/>
      <c r="AQ13" s="520"/>
      <c r="AR13" s="520"/>
      <c r="AS13" s="520"/>
      <c r="AT13" s="520"/>
      <c r="AU13" s="520"/>
      <c r="AV13" s="520"/>
      <c r="AW13" s="520"/>
      <c r="AX13" s="520"/>
      <c r="AY13" s="520"/>
      <c r="AZ13" s="520"/>
    </row>
    <row r="14" spans="1:52" s="512" customFormat="1" ht="24" customHeight="1">
      <c r="A14" s="125" t="s">
        <v>91</v>
      </c>
      <c r="B14" s="99"/>
      <c r="C14" s="511"/>
      <c r="D14" s="99"/>
      <c r="E14" s="511"/>
      <c r="F14" s="99"/>
      <c r="G14" s="511"/>
      <c r="H14" s="846">
        <v>0</v>
      </c>
      <c r="I14" s="515">
        <v>208.5</v>
      </c>
      <c r="J14" s="846">
        <v>0</v>
      </c>
      <c r="K14" s="515">
        <v>128.7</v>
      </c>
      <c r="L14" s="99"/>
      <c r="M14" s="99"/>
      <c r="N14" s="99"/>
      <c r="O14" s="99"/>
      <c r="P14" s="846">
        <v>0</v>
      </c>
      <c r="Q14" s="511">
        <v>297.4</v>
      </c>
      <c r="R14" s="99"/>
      <c r="S14" s="99"/>
      <c r="T14" s="99"/>
      <c r="U14" s="99"/>
      <c r="V14" s="99"/>
      <c r="W14" s="99"/>
      <c r="X14" s="99"/>
      <c r="Y14" s="99"/>
      <c r="Z14" s="99"/>
      <c r="AA14" s="99"/>
      <c r="AB14" s="100">
        <f>SUM(B14,D14,F14,H14,L14,J14,N14,P14,R14,T14,V14,X14,Z14)</f>
        <v>0</v>
      </c>
      <c r="AC14" s="507">
        <f>SUM(C14,E14,G14,I14,M14,K14,O14,Q14,S14,U14,W14,Y14,AA14)</f>
        <v>634.5999999999999</v>
      </c>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row>
    <row r="15" spans="1:52" s="254" customFormat="1" ht="23.25" customHeight="1">
      <c r="A15" s="84" t="s">
        <v>175</v>
      </c>
      <c r="B15" s="96"/>
      <c r="C15" s="501"/>
      <c r="D15" s="96"/>
      <c r="E15" s="518"/>
      <c r="F15" s="98"/>
      <c r="G15" s="506"/>
      <c r="H15" s="98"/>
      <c r="I15" s="506"/>
      <c r="J15" s="97"/>
      <c r="K15" s="518"/>
      <c r="L15" s="97"/>
      <c r="M15" s="518"/>
      <c r="N15" s="98"/>
      <c r="O15" s="97"/>
      <c r="P15" s="97"/>
      <c r="Q15" s="501"/>
      <c r="R15" s="98"/>
      <c r="S15" s="97"/>
      <c r="T15" s="97"/>
      <c r="U15" s="97"/>
      <c r="V15" s="98"/>
      <c r="W15" s="97"/>
      <c r="X15" s="97"/>
      <c r="Y15" s="97"/>
      <c r="Z15" s="98"/>
      <c r="AA15" s="97"/>
      <c r="AB15" s="98"/>
      <c r="AC15" s="506"/>
      <c r="AD15" s="520"/>
      <c r="AE15" s="520"/>
      <c r="AF15" s="520"/>
      <c r="AG15" s="520"/>
      <c r="AH15" s="520"/>
      <c r="AI15" s="520"/>
      <c r="AJ15" s="520"/>
      <c r="AK15" s="520"/>
      <c r="AL15" s="520"/>
      <c r="AM15" s="520"/>
      <c r="AN15" s="520"/>
      <c r="AO15" s="520"/>
      <c r="AP15" s="520"/>
      <c r="AQ15" s="520"/>
      <c r="AR15" s="520"/>
      <c r="AS15" s="520"/>
      <c r="AT15" s="520"/>
      <c r="AU15" s="520"/>
      <c r="AV15" s="520"/>
      <c r="AW15" s="520"/>
      <c r="AX15" s="520"/>
      <c r="AY15" s="520"/>
      <c r="AZ15" s="520"/>
    </row>
    <row r="16" spans="1:52" s="42" customFormat="1" ht="23.25" customHeight="1">
      <c r="A16" s="125" t="s">
        <v>99</v>
      </c>
      <c r="B16" s="99">
        <v>2</v>
      </c>
      <c r="C16" s="511">
        <v>268.9</v>
      </c>
      <c r="D16" s="99"/>
      <c r="E16" s="515"/>
      <c r="F16" s="99"/>
      <c r="G16" s="515"/>
      <c r="H16" s="99">
        <v>1</v>
      </c>
      <c r="I16" s="515">
        <v>132.7</v>
      </c>
      <c r="J16" s="99"/>
      <c r="K16" s="515"/>
      <c r="L16" s="99"/>
      <c r="M16" s="515"/>
      <c r="N16" s="99"/>
      <c r="O16" s="99"/>
      <c r="P16" s="846">
        <v>0</v>
      </c>
      <c r="Q16" s="511">
        <v>307.8</v>
      </c>
      <c r="R16" s="99">
        <v>1</v>
      </c>
      <c r="S16" s="99">
        <v>395.4</v>
      </c>
      <c r="T16" s="99">
        <v>1</v>
      </c>
      <c r="U16" s="99">
        <v>647</v>
      </c>
      <c r="V16" s="846">
        <v>0</v>
      </c>
      <c r="W16" s="99">
        <v>220.4</v>
      </c>
      <c r="X16" s="99"/>
      <c r="Y16" s="99"/>
      <c r="Z16" s="846">
        <v>0</v>
      </c>
      <c r="AA16" s="99">
        <v>490</v>
      </c>
      <c r="AB16" s="100">
        <f aca="true" t="shared" si="2" ref="AB16:AC21">SUM(B16,D16,F16,H16,L16,J16,N16,P16,R16,T16,V16,X16,Z16)</f>
        <v>5</v>
      </c>
      <c r="AC16" s="507">
        <f t="shared" si="2"/>
        <v>2462.2</v>
      </c>
      <c r="AD16"/>
      <c r="AE16"/>
      <c r="AF16"/>
      <c r="AG16"/>
      <c r="AH16"/>
      <c r="AI16"/>
      <c r="AJ16"/>
      <c r="AK16"/>
      <c r="AL16"/>
      <c r="AM16"/>
      <c r="AN16"/>
      <c r="AO16"/>
      <c r="AP16"/>
      <c r="AQ16"/>
      <c r="AR16"/>
      <c r="AS16"/>
      <c r="AT16"/>
      <c r="AU16"/>
      <c r="AV16"/>
      <c r="AW16"/>
      <c r="AX16"/>
      <c r="AY16"/>
      <c r="AZ16"/>
    </row>
    <row r="17" spans="1:52" s="42" customFormat="1" ht="23.25" customHeight="1">
      <c r="A17" s="125" t="s">
        <v>94</v>
      </c>
      <c r="B17" s="846">
        <v>0</v>
      </c>
      <c r="C17" s="511">
        <v>194.8</v>
      </c>
      <c r="D17" s="99"/>
      <c r="E17" s="515"/>
      <c r="F17" s="846">
        <v>0</v>
      </c>
      <c r="G17" s="515">
        <v>72.2</v>
      </c>
      <c r="H17" s="99"/>
      <c r="I17" s="515"/>
      <c r="J17" s="846">
        <v>0</v>
      </c>
      <c r="K17" s="515">
        <v>206.6</v>
      </c>
      <c r="L17" s="99"/>
      <c r="M17" s="515"/>
      <c r="N17" s="846">
        <v>0</v>
      </c>
      <c r="O17" s="99">
        <v>83.2</v>
      </c>
      <c r="P17" s="99"/>
      <c r="Q17" s="511"/>
      <c r="R17" s="99"/>
      <c r="S17" s="99"/>
      <c r="T17" s="99">
        <v>2</v>
      </c>
      <c r="U17" s="99">
        <v>315.4</v>
      </c>
      <c r="V17" s="99"/>
      <c r="W17" s="99"/>
      <c r="X17" s="99"/>
      <c r="Y17" s="99"/>
      <c r="Z17" s="846">
        <v>0</v>
      </c>
      <c r="AA17" s="99">
        <v>544.2</v>
      </c>
      <c r="AB17" s="100">
        <f t="shared" si="2"/>
        <v>2</v>
      </c>
      <c r="AC17" s="507">
        <f t="shared" si="2"/>
        <v>1416.4</v>
      </c>
      <c r="AD17"/>
      <c r="AE17"/>
      <c r="AF17"/>
      <c r="AG17"/>
      <c r="AH17"/>
      <c r="AI17"/>
      <c r="AJ17"/>
      <c r="AK17"/>
      <c r="AL17"/>
      <c r="AM17"/>
      <c r="AN17"/>
      <c r="AO17"/>
      <c r="AP17"/>
      <c r="AQ17"/>
      <c r="AR17"/>
      <c r="AS17"/>
      <c r="AT17"/>
      <c r="AU17"/>
      <c r="AV17"/>
      <c r="AW17"/>
      <c r="AX17"/>
      <c r="AY17"/>
      <c r="AZ17"/>
    </row>
    <row r="18" spans="1:52" s="42" customFormat="1" ht="23.25" customHeight="1">
      <c r="A18" s="125" t="s">
        <v>128</v>
      </c>
      <c r="B18" s="99"/>
      <c r="C18" s="511"/>
      <c r="D18" s="846">
        <v>0</v>
      </c>
      <c r="E18" s="515">
        <v>102.7</v>
      </c>
      <c r="F18" s="99"/>
      <c r="G18" s="515"/>
      <c r="H18" s="99"/>
      <c r="I18" s="515"/>
      <c r="J18" s="846">
        <v>0</v>
      </c>
      <c r="K18" s="515">
        <v>96.6</v>
      </c>
      <c r="L18" s="99"/>
      <c r="M18" s="515"/>
      <c r="N18" s="846">
        <v>0</v>
      </c>
      <c r="O18" s="99">
        <v>23.3</v>
      </c>
      <c r="P18" s="846">
        <v>0</v>
      </c>
      <c r="Q18" s="511">
        <v>473.8</v>
      </c>
      <c r="R18" s="99">
        <v>3</v>
      </c>
      <c r="S18" s="99">
        <v>674.2</v>
      </c>
      <c r="T18" s="846">
        <v>0</v>
      </c>
      <c r="U18" s="99">
        <v>297</v>
      </c>
      <c r="V18" s="846">
        <v>0</v>
      </c>
      <c r="W18" s="99">
        <v>119.1</v>
      </c>
      <c r="X18" s="99"/>
      <c r="Y18" s="99"/>
      <c r="Z18" s="846">
        <v>0</v>
      </c>
      <c r="AA18" s="99">
        <v>160.3</v>
      </c>
      <c r="AB18" s="100">
        <f t="shared" si="2"/>
        <v>3</v>
      </c>
      <c r="AC18" s="507">
        <f t="shared" si="2"/>
        <v>1947</v>
      </c>
      <c r="AD18"/>
      <c r="AE18"/>
      <c r="AF18"/>
      <c r="AG18"/>
      <c r="AH18"/>
      <c r="AI18"/>
      <c r="AJ18"/>
      <c r="AK18"/>
      <c r="AL18"/>
      <c r="AM18"/>
      <c r="AN18"/>
      <c r="AO18"/>
      <c r="AP18"/>
      <c r="AQ18"/>
      <c r="AR18"/>
      <c r="AS18"/>
      <c r="AT18"/>
      <c r="AU18"/>
      <c r="AV18"/>
      <c r="AW18"/>
      <c r="AX18"/>
      <c r="AY18"/>
      <c r="AZ18"/>
    </row>
    <row r="19" spans="1:52" s="42" customFormat="1" ht="23.25" customHeight="1">
      <c r="A19" s="125" t="s">
        <v>100</v>
      </c>
      <c r="B19" s="99">
        <v>2</v>
      </c>
      <c r="C19" s="511">
        <v>455.2</v>
      </c>
      <c r="D19" s="846">
        <v>0</v>
      </c>
      <c r="E19" s="515">
        <v>102.1</v>
      </c>
      <c r="F19" s="99"/>
      <c r="G19" s="515"/>
      <c r="H19" s="99">
        <v>1</v>
      </c>
      <c r="I19" s="515">
        <v>324.9</v>
      </c>
      <c r="J19" s="846">
        <v>0</v>
      </c>
      <c r="K19" s="515">
        <v>124</v>
      </c>
      <c r="L19" s="846">
        <v>0</v>
      </c>
      <c r="M19" s="515">
        <v>422.2</v>
      </c>
      <c r="N19" s="99">
        <v>1</v>
      </c>
      <c r="O19" s="99">
        <v>160.3</v>
      </c>
      <c r="P19" s="846">
        <v>0</v>
      </c>
      <c r="Q19" s="511">
        <v>177.4</v>
      </c>
      <c r="R19" s="99">
        <v>4</v>
      </c>
      <c r="S19" s="99">
        <v>1533.3</v>
      </c>
      <c r="T19" s="846">
        <v>0</v>
      </c>
      <c r="U19" s="99">
        <v>228.4</v>
      </c>
      <c r="V19" s="846">
        <v>0</v>
      </c>
      <c r="W19" s="99">
        <v>234.7</v>
      </c>
      <c r="X19" s="99"/>
      <c r="Y19" s="99"/>
      <c r="Z19" s="99"/>
      <c r="AA19" s="99"/>
      <c r="AB19" s="100">
        <f t="shared" si="2"/>
        <v>8</v>
      </c>
      <c r="AC19" s="507">
        <f t="shared" si="2"/>
        <v>3762.4999999999995</v>
      </c>
      <c r="AD19"/>
      <c r="AE19"/>
      <c r="AF19"/>
      <c r="AG19"/>
      <c r="AH19"/>
      <c r="AI19"/>
      <c r="AJ19"/>
      <c r="AK19"/>
      <c r="AL19"/>
      <c r="AM19"/>
      <c r="AN19"/>
      <c r="AO19"/>
      <c r="AP19"/>
      <c r="AQ19"/>
      <c r="AR19"/>
      <c r="AS19"/>
      <c r="AT19"/>
      <c r="AU19"/>
      <c r="AV19"/>
      <c r="AW19"/>
      <c r="AX19"/>
      <c r="AY19"/>
      <c r="AZ19"/>
    </row>
    <row r="20" spans="1:52" s="42" customFormat="1" ht="23.25" customHeight="1">
      <c r="A20" s="125" t="s">
        <v>129</v>
      </c>
      <c r="B20" s="99"/>
      <c r="C20" s="511"/>
      <c r="D20" s="99"/>
      <c r="E20" s="515"/>
      <c r="F20" s="99"/>
      <c r="G20" s="515"/>
      <c r="H20" s="99"/>
      <c r="I20" s="515"/>
      <c r="J20" s="99"/>
      <c r="K20" s="515"/>
      <c r="L20" s="846">
        <v>0</v>
      </c>
      <c r="M20" s="515">
        <v>161.3</v>
      </c>
      <c r="N20" s="99"/>
      <c r="O20" s="99"/>
      <c r="P20" s="99"/>
      <c r="Q20" s="511"/>
      <c r="R20" s="99">
        <v>2</v>
      </c>
      <c r="S20" s="99">
        <v>510.3</v>
      </c>
      <c r="T20" s="99"/>
      <c r="U20" s="99"/>
      <c r="V20" s="99"/>
      <c r="W20" s="99"/>
      <c r="X20" s="99"/>
      <c r="Y20" s="99"/>
      <c r="Z20" s="99"/>
      <c r="AA20" s="99"/>
      <c r="AB20" s="100">
        <f t="shared" si="2"/>
        <v>2</v>
      </c>
      <c r="AC20" s="507">
        <f t="shared" si="2"/>
        <v>671.6</v>
      </c>
      <c r="AD20"/>
      <c r="AE20"/>
      <c r="AF20"/>
      <c r="AG20"/>
      <c r="AH20"/>
      <c r="AI20"/>
      <c r="AJ20"/>
      <c r="AK20"/>
      <c r="AL20"/>
      <c r="AM20"/>
      <c r="AN20"/>
      <c r="AO20"/>
      <c r="AP20"/>
      <c r="AQ20"/>
      <c r="AR20"/>
      <c r="AS20"/>
      <c r="AT20"/>
      <c r="AU20"/>
      <c r="AV20"/>
      <c r="AW20"/>
      <c r="AX20"/>
      <c r="AY20"/>
      <c r="AZ20"/>
    </row>
    <row r="21" spans="1:52" s="512" customFormat="1" ht="23.25" customHeight="1">
      <c r="A21" s="125" t="s">
        <v>101</v>
      </c>
      <c r="B21" s="99">
        <v>1</v>
      </c>
      <c r="C21" s="511">
        <v>214</v>
      </c>
      <c r="D21" s="846">
        <v>0</v>
      </c>
      <c r="E21" s="515">
        <v>103.6</v>
      </c>
      <c r="F21" s="99"/>
      <c r="G21" s="515"/>
      <c r="H21" s="99"/>
      <c r="I21" s="515"/>
      <c r="J21" s="99"/>
      <c r="K21" s="515"/>
      <c r="L21" s="99"/>
      <c r="M21" s="515"/>
      <c r="N21" s="99">
        <v>2</v>
      </c>
      <c r="O21" s="99">
        <v>300.1</v>
      </c>
      <c r="P21" s="846">
        <v>0</v>
      </c>
      <c r="Q21" s="511">
        <v>297.4</v>
      </c>
      <c r="R21" s="99"/>
      <c r="S21" s="99">
        <v>358.9</v>
      </c>
      <c r="T21" s="846">
        <v>0</v>
      </c>
      <c r="U21" s="99">
        <v>18.2</v>
      </c>
      <c r="V21" s="99"/>
      <c r="W21" s="99"/>
      <c r="X21" s="846">
        <v>0</v>
      </c>
      <c r="Y21" s="99">
        <v>267</v>
      </c>
      <c r="Z21" s="99"/>
      <c r="AA21" s="99"/>
      <c r="AB21" s="100">
        <f t="shared" si="2"/>
        <v>3</v>
      </c>
      <c r="AC21" s="507">
        <f t="shared" si="2"/>
        <v>1559.2</v>
      </c>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row>
    <row r="22" spans="1:52" s="523" customFormat="1" ht="23.25" customHeight="1">
      <c r="A22" s="16" t="s">
        <v>219</v>
      </c>
      <c r="B22" s="96"/>
      <c r="C22" s="524"/>
      <c r="D22" s="96"/>
      <c r="E22" s="525"/>
      <c r="F22" s="96"/>
      <c r="G22" s="525"/>
      <c r="H22" s="96"/>
      <c r="I22" s="525"/>
      <c r="J22" s="96"/>
      <c r="K22" s="525"/>
      <c r="L22" s="96"/>
      <c r="M22" s="525"/>
      <c r="N22" s="96"/>
      <c r="O22" s="526"/>
      <c r="P22" s="96"/>
      <c r="Q22" s="524"/>
      <c r="R22" s="96"/>
      <c r="S22" s="526"/>
      <c r="T22" s="96"/>
      <c r="U22" s="526"/>
      <c r="V22" s="96"/>
      <c r="W22" s="526"/>
      <c r="X22" s="96"/>
      <c r="Y22" s="526"/>
      <c r="Z22" s="96"/>
      <c r="AA22" s="526"/>
      <c r="AB22" s="98"/>
      <c r="AC22" s="506"/>
      <c r="AD22" s="520"/>
      <c r="AE22" s="520"/>
      <c r="AF22" s="520"/>
      <c r="AG22" s="520"/>
      <c r="AH22" s="520"/>
      <c r="AI22" s="520"/>
      <c r="AJ22" s="520"/>
      <c r="AK22" s="520"/>
      <c r="AL22" s="520"/>
      <c r="AM22" s="520"/>
      <c r="AN22" s="520"/>
      <c r="AO22" s="520"/>
      <c r="AP22" s="520"/>
      <c r="AQ22" s="520"/>
      <c r="AR22" s="520"/>
      <c r="AS22" s="520"/>
      <c r="AT22" s="520"/>
      <c r="AU22" s="520"/>
      <c r="AV22" s="520"/>
      <c r="AW22" s="520"/>
      <c r="AX22" s="520"/>
      <c r="AY22" s="520"/>
      <c r="AZ22" s="520"/>
    </row>
    <row r="23" spans="1:52" s="326" customFormat="1" ht="23.25" customHeight="1">
      <c r="A23" s="199" t="s">
        <v>164</v>
      </c>
      <c r="B23" s="202"/>
      <c r="C23" s="848">
        <v>268.4</v>
      </c>
      <c r="D23" s="202"/>
      <c r="E23" s="659"/>
      <c r="F23" s="202"/>
      <c r="G23" s="659"/>
      <c r="H23" s="202"/>
      <c r="I23" s="659"/>
      <c r="J23" s="202"/>
      <c r="K23" s="659"/>
      <c r="L23" s="202"/>
      <c r="M23" s="659"/>
      <c r="N23" s="202">
        <v>1</v>
      </c>
      <c r="O23" s="848">
        <v>70</v>
      </c>
      <c r="P23" s="202"/>
      <c r="Q23" s="849"/>
      <c r="R23" s="202">
        <v>1</v>
      </c>
      <c r="S23" s="848">
        <v>396.4</v>
      </c>
      <c r="T23" s="202"/>
      <c r="U23" s="849"/>
      <c r="V23" s="202"/>
      <c r="W23" s="849"/>
      <c r="X23" s="202"/>
      <c r="Y23" s="849"/>
      <c r="Z23" s="202"/>
      <c r="AA23" s="849"/>
      <c r="AB23" s="192">
        <f>SUM(B23,D23,F23,H23,L23,J23,N23,P23,R23,T23,V23,X23,Z23)</f>
        <v>2</v>
      </c>
      <c r="AC23" s="559">
        <f>SUM(C23,E23,G23,I23,M23,K23,O23,Q23,S23,U23,W23,Y23,AA23)</f>
        <v>734.8</v>
      </c>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row>
    <row r="24" ht="21.75">
      <c r="A24" s="10" t="s">
        <v>150</v>
      </c>
    </row>
    <row r="25" spans="1:29" ht="20.25" customHeight="1">
      <c r="A25" s="125" t="s">
        <v>346</v>
      </c>
      <c r="H25" s="842">
        <v>1</v>
      </c>
      <c r="I25" s="843">
        <v>101.9</v>
      </c>
      <c r="P25" s="71">
        <v>1</v>
      </c>
      <c r="Q25" s="844">
        <v>72</v>
      </c>
      <c r="AB25" s="100">
        <f>SUM(B25,D25,F25,H25,L25,J25,N25,P25,R25,T25,V25,X25,Z25)</f>
        <v>2</v>
      </c>
      <c r="AC25" s="507">
        <f>SUM(C25,E25,G25,I25,M25,K25,O25,Q25,S25,U25,W25,Y25,AA25)</f>
        <v>173.9</v>
      </c>
    </row>
    <row r="26" spans="1:29" ht="18.75" customHeight="1" thickBot="1">
      <c r="A26" s="125" t="s">
        <v>131</v>
      </c>
      <c r="H26" s="842">
        <v>1</v>
      </c>
      <c r="I26" s="843">
        <v>168</v>
      </c>
      <c r="P26" s="71"/>
      <c r="Q26" s="844"/>
      <c r="R26" s="845">
        <v>2</v>
      </c>
      <c r="S26" s="847">
        <v>345.3</v>
      </c>
      <c r="AB26" s="100">
        <f>SUM(B26,D26,F26,H26,L26,J26,N26,P26,R26,T26,V26,X26,Z26)</f>
        <v>3</v>
      </c>
      <c r="AC26" s="507">
        <f>SUM(C26,E26,G26,I26,M26,K26,O26,Q26,S26,U26,W26,Y26,AA26)</f>
        <v>513.3</v>
      </c>
    </row>
    <row r="27" spans="1:52" s="42" customFormat="1" ht="22.5" customHeight="1" thickBot="1">
      <c r="A27" s="325" t="s">
        <v>61</v>
      </c>
      <c r="B27" s="189">
        <f aca="true" t="shared" si="3" ref="B27:G27">SUM(B5:B23)</f>
        <v>7</v>
      </c>
      <c r="C27" s="498">
        <f t="shared" si="3"/>
        <v>2403.3</v>
      </c>
      <c r="D27" s="189">
        <f t="shared" si="3"/>
        <v>0</v>
      </c>
      <c r="E27" s="513">
        <f t="shared" si="3"/>
        <v>308.4</v>
      </c>
      <c r="F27" s="189">
        <f t="shared" si="3"/>
        <v>0</v>
      </c>
      <c r="G27" s="513">
        <f t="shared" si="3"/>
        <v>72.2</v>
      </c>
      <c r="H27" s="189">
        <f aca="true" t="shared" si="4" ref="H27:AC27">SUM(H5:H26)</f>
        <v>4</v>
      </c>
      <c r="I27" s="513">
        <f t="shared" si="4"/>
        <v>1122.5</v>
      </c>
      <c r="J27" s="189">
        <f t="shared" si="4"/>
        <v>0</v>
      </c>
      <c r="K27" s="513">
        <f t="shared" si="4"/>
        <v>566.9</v>
      </c>
      <c r="L27" s="189">
        <f t="shared" si="4"/>
        <v>0</v>
      </c>
      <c r="M27" s="513">
        <f t="shared" si="4"/>
        <v>583.5</v>
      </c>
      <c r="N27" s="189">
        <f t="shared" si="4"/>
        <v>8</v>
      </c>
      <c r="O27" s="513">
        <f t="shared" si="4"/>
        <v>1897.5</v>
      </c>
      <c r="P27" s="189">
        <f t="shared" si="4"/>
        <v>2</v>
      </c>
      <c r="Q27" s="513">
        <f t="shared" si="4"/>
        <v>3033.8</v>
      </c>
      <c r="R27" s="189">
        <f t="shared" si="4"/>
        <v>16</v>
      </c>
      <c r="S27" s="513">
        <f t="shared" si="4"/>
        <v>5485</v>
      </c>
      <c r="T27" s="189">
        <f t="shared" si="4"/>
        <v>3</v>
      </c>
      <c r="U27" s="513">
        <f t="shared" si="4"/>
        <v>1642.4</v>
      </c>
      <c r="V27" s="189">
        <f t="shared" si="4"/>
        <v>3</v>
      </c>
      <c r="W27" s="513">
        <f t="shared" si="4"/>
        <v>1216.3</v>
      </c>
      <c r="X27" s="189">
        <f t="shared" si="4"/>
        <v>0</v>
      </c>
      <c r="Y27" s="513">
        <f t="shared" si="4"/>
        <v>556.7</v>
      </c>
      <c r="Z27" s="189">
        <f t="shared" si="4"/>
        <v>0</v>
      </c>
      <c r="AA27" s="513">
        <f t="shared" si="4"/>
        <v>1237.3999999999999</v>
      </c>
      <c r="AB27" s="189">
        <f t="shared" si="4"/>
        <v>43</v>
      </c>
      <c r="AC27" s="513">
        <f t="shared" si="4"/>
        <v>20125.899999999998</v>
      </c>
      <c r="AD27"/>
      <c r="AE27"/>
      <c r="AF27"/>
      <c r="AG27"/>
      <c r="AH27"/>
      <c r="AI27"/>
      <c r="AJ27"/>
      <c r="AK27"/>
      <c r="AL27"/>
      <c r="AM27"/>
      <c r="AN27"/>
      <c r="AO27"/>
      <c r="AP27"/>
      <c r="AQ27"/>
      <c r="AR27"/>
      <c r="AS27"/>
      <c r="AT27"/>
      <c r="AU27"/>
      <c r="AV27"/>
      <c r="AW27"/>
      <c r="AX27"/>
      <c r="AY27"/>
      <c r="AZ27"/>
    </row>
    <row r="28" spans="1:52" s="61" customFormat="1" ht="18.75" customHeight="1">
      <c r="A28" s="74"/>
      <c r="B28" s="72"/>
      <c r="C28" s="502"/>
      <c r="D28" s="72"/>
      <c r="E28" s="519"/>
      <c r="F28" s="26"/>
      <c r="G28" s="517"/>
      <c r="H28" s="73"/>
      <c r="I28" s="517"/>
      <c r="K28" s="509"/>
      <c r="M28" s="509"/>
      <c r="N28" s="33"/>
      <c r="Q28" s="499"/>
      <c r="R28" s="33"/>
      <c r="S28" s="26"/>
      <c r="T28" s="26"/>
      <c r="U28" s="26"/>
      <c r="V28" s="33"/>
      <c r="Z28" s="33"/>
      <c r="AB28" s="33"/>
      <c r="AC28" s="509"/>
      <c r="AD28"/>
      <c r="AE28"/>
      <c r="AF28"/>
      <c r="AG28"/>
      <c r="AH28"/>
      <c r="AI28"/>
      <c r="AJ28"/>
      <c r="AK28"/>
      <c r="AL28"/>
      <c r="AM28"/>
      <c r="AN28"/>
      <c r="AO28"/>
      <c r="AP28"/>
      <c r="AQ28"/>
      <c r="AR28"/>
      <c r="AS28"/>
      <c r="AT28"/>
      <c r="AU28"/>
      <c r="AV28"/>
      <c r="AW28"/>
      <c r="AX28"/>
      <c r="AY28"/>
      <c r="AZ28"/>
    </row>
    <row r="29" spans="3:29" ht="18" customHeight="1">
      <c r="C29" s="500"/>
      <c r="E29" s="476"/>
      <c r="G29" s="476"/>
      <c r="I29" s="476"/>
      <c r="K29" s="476"/>
      <c r="M29" s="476"/>
      <c r="Q29" s="500"/>
      <c r="AC29" s="476"/>
    </row>
    <row r="30" spans="3:29" ht="20.25" customHeight="1">
      <c r="C30" s="500"/>
      <c r="E30" s="476"/>
      <c r="G30" s="476"/>
      <c r="I30" s="476"/>
      <c r="K30" s="476"/>
      <c r="M30" s="476"/>
      <c r="Q30" s="500"/>
      <c r="AC30" s="476"/>
    </row>
    <row r="31" spans="3:29" ht="21" customHeight="1">
      <c r="C31" s="500"/>
      <c r="E31" s="476"/>
      <c r="G31" s="476"/>
      <c r="I31" s="476"/>
      <c r="K31" s="476"/>
      <c r="M31" s="476"/>
      <c r="Q31" s="500"/>
      <c r="AC31" s="476"/>
    </row>
    <row r="32" spans="3:29" ht="21" customHeight="1">
      <c r="C32" s="500"/>
      <c r="E32" s="476"/>
      <c r="G32" s="476"/>
      <c r="I32" s="476"/>
      <c r="K32" s="476"/>
      <c r="M32" s="476"/>
      <c r="Q32" s="500"/>
      <c r="AC32" s="476"/>
    </row>
    <row r="33" spans="3:29" ht="21" customHeight="1">
      <c r="C33" s="500"/>
      <c r="E33" s="476"/>
      <c r="G33" s="476"/>
      <c r="I33" s="476"/>
      <c r="K33" s="476"/>
      <c r="M33" s="476"/>
      <c r="Q33" s="500"/>
      <c r="AC33" s="476"/>
    </row>
    <row r="34" spans="3:29" ht="21" customHeight="1">
      <c r="C34" s="500"/>
      <c r="E34" s="476"/>
      <c r="G34" s="476"/>
      <c r="I34" s="476"/>
      <c r="K34" s="476"/>
      <c r="M34" s="476"/>
      <c r="Q34" s="500"/>
      <c r="AC34" s="476"/>
    </row>
    <row r="35" spans="3:29" ht="21" customHeight="1">
      <c r="C35" s="500"/>
      <c r="E35" s="476"/>
      <c r="G35" s="476"/>
      <c r="I35" s="476"/>
      <c r="K35" s="476"/>
      <c r="M35" s="476"/>
      <c r="Q35" s="500"/>
      <c r="AC35" s="476"/>
    </row>
    <row r="36" spans="3:29" ht="21" customHeight="1">
      <c r="C36" s="500"/>
      <c r="E36" s="476"/>
      <c r="G36" s="476"/>
      <c r="I36" s="476"/>
      <c r="K36" s="476"/>
      <c r="M36" s="476"/>
      <c r="Q36" s="500"/>
      <c r="AC36" s="476"/>
    </row>
    <row r="37" spans="3:29" ht="21" customHeight="1">
      <c r="C37" s="500"/>
      <c r="E37" s="476"/>
      <c r="G37" s="476"/>
      <c r="I37" s="476"/>
      <c r="K37" s="476"/>
      <c r="M37" s="476"/>
      <c r="Q37" s="500"/>
      <c r="AC37" s="476"/>
    </row>
    <row r="38" spans="3:29" ht="21" customHeight="1">
      <c r="C38" s="500"/>
      <c r="E38" s="476"/>
      <c r="G38" s="476"/>
      <c r="I38" s="476"/>
      <c r="K38" s="476"/>
      <c r="M38" s="476"/>
      <c r="Q38" s="500"/>
      <c r="AC38" s="476"/>
    </row>
    <row r="39" spans="3:29" ht="21" customHeight="1">
      <c r="C39" s="500"/>
      <c r="E39" s="476"/>
      <c r="G39" s="476"/>
      <c r="I39" s="476"/>
      <c r="K39" s="476"/>
      <c r="M39" s="476"/>
      <c r="Q39" s="500"/>
      <c r="AC39" s="476"/>
    </row>
    <row r="40" spans="3:29" ht="21" customHeight="1">
      <c r="C40" s="500"/>
      <c r="E40" s="476"/>
      <c r="G40" s="476"/>
      <c r="I40" s="476"/>
      <c r="K40" s="476"/>
      <c r="M40" s="476"/>
      <c r="Q40" s="500"/>
      <c r="AC40" s="476"/>
    </row>
    <row r="41" spans="3:29" ht="21" customHeight="1">
      <c r="C41" s="500"/>
      <c r="E41" s="476"/>
      <c r="G41" s="476"/>
      <c r="I41" s="476"/>
      <c r="K41" s="476"/>
      <c r="M41" s="476"/>
      <c r="Q41" s="500"/>
      <c r="AC41" s="476"/>
    </row>
    <row r="42" spans="3:29" ht="21" customHeight="1">
      <c r="C42" s="500"/>
      <c r="E42" s="476"/>
      <c r="G42" s="476"/>
      <c r="I42" s="476"/>
      <c r="K42" s="476"/>
      <c r="M42" s="476"/>
      <c r="Q42" s="500"/>
      <c r="AC42" s="476"/>
    </row>
    <row r="43" spans="3:29" ht="21" customHeight="1">
      <c r="C43" s="500"/>
      <c r="E43" s="476"/>
      <c r="G43" s="476"/>
      <c r="I43" s="476"/>
      <c r="K43" s="476"/>
      <c r="M43" s="476"/>
      <c r="Q43" s="500"/>
      <c r="AC43" s="476"/>
    </row>
    <row r="44" spans="3:29" ht="21" customHeight="1">
      <c r="C44" s="500"/>
      <c r="E44" s="476"/>
      <c r="G44" s="476"/>
      <c r="I44" s="476"/>
      <c r="K44" s="476"/>
      <c r="M44" s="476"/>
      <c r="Q44" s="500"/>
      <c r="AC44" s="476"/>
    </row>
    <row r="45" spans="3:29" ht="21" customHeight="1">
      <c r="C45" s="500"/>
      <c r="E45" s="476"/>
      <c r="G45" s="476"/>
      <c r="I45" s="476"/>
      <c r="K45" s="476"/>
      <c r="M45" s="476"/>
      <c r="Q45" s="500"/>
      <c r="AC45" s="476"/>
    </row>
    <row r="46" spans="3:29" ht="21" customHeight="1">
      <c r="C46" s="500"/>
      <c r="E46" s="476"/>
      <c r="G46" s="476"/>
      <c r="I46" s="476"/>
      <c r="K46" s="476"/>
      <c r="M46" s="476"/>
      <c r="Q46" s="500"/>
      <c r="AC46" s="476"/>
    </row>
    <row r="47" spans="3:29" ht="21" customHeight="1">
      <c r="C47" s="500"/>
      <c r="E47" s="476"/>
      <c r="G47" s="476"/>
      <c r="I47" s="476"/>
      <c r="K47" s="476"/>
      <c r="M47" s="476"/>
      <c r="Q47" s="500"/>
      <c r="AC47" s="476"/>
    </row>
    <row r="48" spans="3:29" ht="21" customHeight="1">
      <c r="C48" s="500"/>
      <c r="E48" s="476"/>
      <c r="G48" s="476"/>
      <c r="I48" s="476"/>
      <c r="K48" s="476"/>
      <c r="M48" s="476"/>
      <c r="Q48" s="500"/>
      <c r="AC48" s="476"/>
    </row>
    <row r="49" spans="3:29" ht="21" customHeight="1">
      <c r="C49" s="500"/>
      <c r="E49" s="476"/>
      <c r="G49" s="476"/>
      <c r="I49" s="476"/>
      <c r="K49" s="476"/>
      <c r="M49" s="476"/>
      <c r="Q49" s="500"/>
      <c r="AC49" s="476"/>
    </row>
    <row r="50" spans="3:29" ht="21" customHeight="1">
      <c r="C50" s="500"/>
      <c r="E50" s="476"/>
      <c r="G50" s="476"/>
      <c r="I50" s="476"/>
      <c r="K50" s="476"/>
      <c r="M50" s="476"/>
      <c r="Q50" s="500"/>
      <c r="AC50" s="476"/>
    </row>
    <row r="51" spans="3:29" ht="21" customHeight="1">
      <c r="C51" s="500"/>
      <c r="E51" s="476"/>
      <c r="G51" s="476"/>
      <c r="I51" s="476"/>
      <c r="K51" s="476"/>
      <c r="M51" s="476"/>
      <c r="Q51" s="500"/>
      <c r="AC51" s="476"/>
    </row>
    <row r="52" spans="3:29" ht="21" customHeight="1">
      <c r="C52" s="500"/>
      <c r="E52" s="476"/>
      <c r="G52" s="476"/>
      <c r="I52" s="476"/>
      <c r="K52" s="476"/>
      <c r="M52" s="476"/>
      <c r="Q52" s="500"/>
      <c r="AC52" s="476"/>
    </row>
    <row r="53" spans="3:29" ht="21" customHeight="1">
      <c r="C53" s="500"/>
      <c r="E53" s="476"/>
      <c r="G53" s="476"/>
      <c r="I53" s="476"/>
      <c r="K53" s="476"/>
      <c r="M53" s="476"/>
      <c r="Q53" s="500"/>
      <c r="AC53" s="476"/>
    </row>
    <row r="54" spans="3:29" ht="21" customHeight="1">
      <c r="C54" s="500"/>
      <c r="E54" s="476"/>
      <c r="G54" s="476"/>
      <c r="I54" s="476"/>
      <c r="K54" s="476"/>
      <c r="M54" s="476"/>
      <c r="Q54" s="500"/>
      <c r="AC54" s="476"/>
    </row>
    <row r="55" spans="3:29" ht="21" customHeight="1">
      <c r="C55" s="500"/>
      <c r="E55" s="476"/>
      <c r="G55" s="476"/>
      <c r="I55" s="476"/>
      <c r="K55" s="476"/>
      <c r="M55" s="476"/>
      <c r="Q55" s="500"/>
      <c r="AC55" s="476"/>
    </row>
    <row r="56" spans="3:29" ht="21" customHeight="1">
      <c r="C56" s="500"/>
      <c r="E56" s="476"/>
      <c r="G56" s="476"/>
      <c r="I56" s="476"/>
      <c r="K56" s="476"/>
      <c r="M56" s="476"/>
      <c r="Q56" s="500"/>
      <c r="AC56" s="476"/>
    </row>
  </sheetData>
  <sheetProtection/>
  <mergeCells count="15">
    <mergeCell ref="J2:K2"/>
    <mergeCell ref="N2:O2"/>
    <mergeCell ref="A2:A3"/>
    <mergeCell ref="B2:C2"/>
    <mergeCell ref="D2:E2"/>
    <mergeCell ref="F2:G2"/>
    <mergeCell ref="H2:I2"/>
    <mergeCell ref="L2:M2"/>
    <mergeCell ref="Z2:AA2"/>
    <mergeCell ref="AB2:AC2"/>
    <mergeCell ref="P2:Q2"/>
    <mergeCell ref="R2:S2"/>
    <mergeCell ref="T2:U2"/>
    <mergeCell ref="V2:W2"/>
    <mergeCell ref="X2:Y2"/>
  </mergeCells>
  <printOptions horizontalCentered="1"/>
  <pageMargins left="0" right="0" top="0.06" bottom="0" header="0.42" footer="0.43"/>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tabColor indexed="13"/>
  </sheetPr>
  <dimension ref="A1:AS33"/>
  <sheetViews>
    <sheetView zoomScalePageLayoutView="0" workbookViewId="0" topLeftCell="A1">
      <selection activeCell="S16" sqref="S16"/>
    </sheetView>
  </sheetViews>
  <sheetFormatPr defaultColWidth="9.140625" defaultRowHeight="12.75"/>
  <cols>
    <col min="1" max="1" width="18.7109375" style="130" customWidth="1"/>
    <col min="2" max="2" width="4.57421875" style="160" customWidth="1"/>
    <col min="3" max="3" width="7.00390625" style="514" customWidth="1"/>
    <col min="4" max="4" width="4.7109375" style="161" customWidth="1"/>
    <col min="5" max="5" width="7.7109375" style="514" customWidth="1"/>
    <col min="6" max="6" width="7.7109375" style="161" customWidth="1"/>
    <col min="7" max="7" width="7.7109375" style="514" customWidth="1"/>
    <col min="8" max="8" width="4.8515625" style="161" customWidth="1"/>
    <col min="9" max="9" width="7.00390625" style="161" customWidth="1"/>
    <col min="10" max="10" width="4.7109375" style="161" customWidth="1"/>
    <col min="11" max="11" width="7.00390625" style="514" customWidth="1"/>
    <col min="12" max="12" width="4.57421875" style="161" customWidth="1"/>
    <col min="13" max="13" width="6.421875" style="514" customWidth="1"/>
    <col min="14" max="14" width="5.28125" style="162" customWidth="1"/>
    <col min="15" max="15" width="7.421875" style="514" customWidth="1"/>
    <col min="16" max="16" width="4.421875" style="161" customWidth="1"/>
    <col min="17" max="17" width="7.57421875" style="161" customWidth="1"/>
    <col min="18" max="18" width="4.8515625" style="161" customWidth="1"/>
    <col min="19" max="19" width="8.00390625" style="514" customWidth="1"/>
    <col min="20" max="20" width="5.28125" style="130" customWidth="1"/>
    <col min="21" max="21" width="10.00390625" style="0" customWidth="1"/>
    <col min="22" max="22" width="20.28125" style="0" customWidth="1"/>
    <col min="23" max="23" width="6.140625" style="0" customWidth="1"/>
    <col min="24" max="24" width="8.28125" style="0" customWidth="1"/>
    <col min="25" max="25" width="5.28125" style="0" customWidth="1"/>
    <col min="26" max="26" width="8.421875" style="0" customWidth="1"/>
    <col min="27" max="27" width="5.57421875" style="0" customWidth="1"/>
    <col min="28" max="28" width="7.140625" style="0" customWidth="1"/>
    <col min="29" max="29" width="5.00390625" style="0" customWidth="1"/>
    <col min="30" max="30" width="8.00390625" style="0" customWidth="1"/>
    <col min="31" max="31" width="5.00390625" style="0" customWidth="1"/>
    <col min="32" max="32" width="8.28125" style="0" customWidth="1"/>
    <col min="33" max="33" width="5.28125" style="0" customWidth="1"/>
    <col min="35" max="35" width="5.7109375" style="0" customWidth="1"/>
    <col min="36" max="36" width="7.140625" style="0" customWidth="1"/>
    <col min="37" max="37" width="5.8515625" style="0" customWidth="1"/>
    <col min="39" max="39" width="5.57421875" style="0" customWidth="1"/>
    <col min="40" max="40" width="8.7109375" style="0" customWidth="1"/>
    <col min="41" max="41" width="6.140625" style="0" customWidth="1"/>
    <col min="46" max="16384" width="9.140625" style="130" customWidth="1"/>
  </cols>
  <sheetData>
    <row r="1" spans="1:45" s="61" customFormat="1" ht="25.5" customHeight="1">
      <c r="A1" s="222" t="s">
        <v>504</v>
      </c>
      <c r="B1" s="160"/>
      <c r="C1" s="514"/>
      <c r="D1" s="161"/>
      <c r="E1" s="514"/>
      <c r="F1" s="161"/>
      <c r="G1" s="514"/>
      <c r="H1" s="161"/>
      <c r="I1" s="161"/>
      <c r="J1" s="161"/>
      <c r="K1" s="514"/>
      <c r="L1" s="161"/>
      <c r="M1" s="514"/>
      <c r="O1" s="535"/>
      <c r="P1" s="71"/>
      <c r="Q1" s="71"/>
      <c r="S1" s="509"/>
      <c r="T1" s="130"/>
      <c r="U1"/>
      <c r="V1"/>
      <c r="W1"/>
      <c r="X1"/>
      <c r="Y1"/>
      <c r="Z1"/>
      <c r="AA1"/>
      <c r="AB1"/>
      <c r="AC1"/>
      <c r="AD1"/>
      <c r="AE1"/>
      <c r="AF1"/>
      <c r="AG1"/>
      <c r="AH1"/>
      <c r="AI1"/>
      <c r="AJ1"/>
      <c r="AK1"/>
      <c r="AL1"/>
      <c r="AM1"/>
      <c r="AN1"/>
      <c r="AO1"/>
      <c r="AP1"/>
      <c r="AQ1"/>
      <c r="AR1"/>
      <c r="AS1"/>
    </row>
    <row r="2" spans="1:45" s="61" customFormat="1" ht="21" customHeight="1" thickBot="1">
      <c r="A2" s="182" t="s">
        <v>67</v>
      </c>
      <c r="B2" s="160"/>
      <c r="C2" s="514"/>
      <c r="D2" s="161"/>
      <c r="E2" s="514"/>
      <c r="F2" s="161"/>
      <c r="G2" s="514"/>
      <c r="H2" s="161"/>
      <c r="I2" s="161"/>
      <c r="J2" s="161"/>
      <c r="K2" s="514"/>
      <c r="L2" s="161"/>
      <c r="M2" s="514"/>
      <c r="O2" s="535"/>
      <c r="P2" s="71"/>
      <c r="Q2" s="71"/>
      <c r="S2" s="503" t="s">
        <v>0</v>
      </c>
      <c r="T2" s="130"/>
      <c r="U2"/>
      <c r="V2"/>
      <c r="W2"/>
      <c r="X2"/>
      <c r="Y2"/>
      <c r="Z2"/>
      <c r="AA2"/>
      <c r="AB2"/>
      <c r="AC2"/>
      <c r="AD2"/>
      <c r="AE2"/>
      <c r="AF2"/>
      <c r="AG2"/>
      <c r="AH2"/>
      <c r="AI2"/>
      <c r="AJ2"/>
      <c r="AK2"/>
      <c r="AL2"/>
      <c r="AM2"/>
      <c r="AN2"/>
      <c r="AO2"/>
      <c r="AP2"/>
      <c r="AQ2"/>
      <c r="AR2"/>
      <c r="AS2"/>
    </row>
    <row r="3" spans="1:43" s="61" customFormat="1" ht="74.25" customHeight="1" thickBot="1">
      <c r="A3" s="1248" t="s">
        <v>1</v>
      </c>
      <c r="B3" s="1274" t="s">
        <v>71</v>
      </c>
      <c r="C3" s="1274"/>
      <c r="D3" s="1274" t="s">
        <v>73</v>
      </c>
      <c r="E3" s="1274"/>
      <c r="F3" s="1274" t="s">
        <v>222</v>
      </c>
      <c r="G3" s="1274"/>
      <c r="H3" s="1274" t="s">
        <v>77</v>
      </c>
      <c r="I3" s="1274"/>
      <c r="J3" s="1274" t="s">
        <v>78</v>
      </c>
      <c r="K3" s="1274"/>
      <c r="L3" s="1273" t="s">
        <v>79</v>
      </c>
      <c r="M3" s="1273"/>
      <c r="N3" s="1273" t="s">
        <v>80</v>
      </c>
      <c r="O3" s="1273"/>
      <c r="P3" s="1273" t="s">
        <v>93</v>
      </c>
      <c r="Q3" s="1273"/>
      <c r="R3" s="1252" t="s">
        <v>66</v>
      </c>
      <c r="S3" s="1252"/>
      <c r="T3"/>
      <c r="U3"/>
      <c r="V3"/>
      <c r="W3"/>
      <c r="X3"/>
      <c r="Y3"/>
      <c r="Z3"/>
      <c r="AA3"/>
      <c r="AB3"/>
      <c r="AC3"/>
      <c r="AD3"/>
      <c r="AE3"/>
      <c r="AF3"/>
      <c r="AG3"/>
      <c r="AH3"/>
      <c r="AI3"/>
      <c r="AJ3"/>
      <c r="AK3"/>
      <c r="AL3"/>
      <c r="AM3"/>
      <c r="AN3"/>
      <c r="AO3"/>
      <c r="AP3"/>
      <c r="AQ3"/>
    </row>
    <row r="4" spans="1:43" s="61" customFormat="1" ht="24.75" customHeight="1" thickBot="1">
      <c r="A4" s="1249"/>
      <c r="B4" s="122" t="s">
        <v>10</v>
      </c>
      <c r="C4" s="530" t="s">
        <v>9</v>
      </c>
      <c r="D4" s="122" t="s">
        <v>10</v>
      </c>
      <c r="E4" s="530" t="s">
        <v>9</v>
      </c>
      <c r="F4" s="122" t="s">
        <v>10</v>
      </c>
      <c r="G4" s="530" t="s">
        <v>9</v>
      </c>
      <c r="H4" s="122" t="s">
        <v>10</v>
      </c>
      <c r="I4" s="123" t="s">
        <v>9</v>
      </c>
      <c r="J4" s="122" t="s">
        <v>10</v>
      </c>
      <c r="K4" s="530" t="s">
        <v>9</v>
      </c>
      <c r="L4" s="122" t="s">
        <v>10</v>
      </c>
      <c r="M4" s="530" t="s">
        <v>9</v>
      </c>
      <c r="N4" s="122" t="s">
        <v>10</v>
      </c>
      <c r="O4" s="530" t="s">
        <v>9</v>
      </c>
      <c r="P4" s="122" t="s">
        <v>10</v>
      </c>
      <c r="Q4" s="123" t="s">
        <v>9</v>
      </c>
      <c r="R4" s="122" t="s">
        <v>10</v>
      </c>
      <c r="S4" s="530" t="s">
        <v>9</v>
      </c>
      <c r="T4"/>
      <c r="U4"/>
      <c r="V4"/>
      <c r="W4"/>
      <c r="X4"/>
      <c r="Y4"/>
      <c r="Z4"/>
      <c r="AA4"/>
      <c r="AB4"/>
      <c r="AC4"/>
      <c r="AD4"/>
      <c r="AE4"/>
      <c r="AF4"/>
      <c r="AG4"/>
      <c r="AH4"/>
      <c r="AI4"/>
      <c r="AJ4"/>
      <c r="AK4"/>
      <c r="AL4"/>
      <c r="AM4"/>
      <c r="AN4"/>
      <c r="AO4"/>
      <c r="AP4"/>
      <c r="AQ4"/>
    </row>
    <row r="5" spans="1:43" s="61" customFormat="1" ht="22.5" customHeight="1">
      <c r="A5" s="84" t="s">
        <v>119</v>
      </c>
      <c r="B5" s="92"/>
      <c r="C5" s="531"/>
      <c r="D5" s="93"/>
      <c r="E5" s="531"/>
      <c r="F5" s="93"/>
      <c r="G5" s="531"/>
      <c r="H5" s="93"/>
      <c r="I5" s="93"/>
      <c r="J5" s="93"/>
      <c r="K5" s="531"/>
      <c r="L5" s="94"/>
      <c r="M5" s="531"/>
      <c r="N5" s="93"/>
      <c r="O5" s="531"/>
      <c r="P5" s="93"/>
      <c r="Q5" s="93"/>
      <c r="R5" s="80"/>
      <c r="S5" s="536"/>
      <c r="T5"/>
      <c r="U5"/>
      <c r="V5"/>
      <c r="W5"/>
      <c r="X5"/>
      <c r="Y5"/>
      <c r="Z5"/>
      <c r="AA5"/>
      <c r="AB5"/>
      <c r="AC5"/>
      <c r="AD5"/>
      <c r="AE5"/>
      <c r="AF5"/>
      <c r="AG5"/>
      <c r="AH5"/>
      <c r="AI5"/>
      <c r="AJ5"/>
      <c r="AK5"/>
      <c r="AL5"/>
      <c r="AM5"/>
      <c r="AN5"/>
      <c r="AO5"/>
      <c r="AP5"/>
      <c r="AQ5"/>
    </row>
    <row r="6" spans="1:43" s="42" customFormat="1" ht="22.5" customHeight="1">
      <c r="A6" s="78" t="s">
        <v>95</v>
      </c>
      <c r="B6" s="184" t="s">
        <v>12</v>
      </c>
      <c r="C6" s="532" t="s">
        <v>12</v>
      </c>
      <c r="D6" s="184">
        <v>1</v>
      </c>
      <c r="E6" s="532">
        <v>1295.2</v>
      </c>
      <c r="F6" s="184"/>
      <c r="G6" s="532"/>
      <c r="H6" s="184"/>
      <c r="I6" s="184"/>
      <c r="J6" s="184"/>
      <c r="K6" s="532"/>
      <c r="L6" s="184"/>
      <c r="M6" s="532"/>
      <c r="N6" s="184"/>
      <c r="O6" s="532"/>
      <c r="P6" s="184" t="s">
        <v>12</v>
      </c>
      <c r="Q6" s="13" t="s">
        <v>12</v>
      </c>
      <c r="R6" s="100">
        <f>SUM(B6,D6,F6,H6,J6,L6,N6,P6)</f>
        <v>1</v>
      </c>
      <c r="S6" s="507">
        <f>SUM(C6,E6,G6,I6,K6,M6,O6,Q6)</f>
        <v>1295.2</v>
      </c>
      <c r="T6"/>
      <c r="U6"/>
      <c r="V6"/>
      <c r="W6"/>
      <c r="X6"/>
      <c r="Y6"/>
      <c r="Z6"/>
      <c r="AA6"/>
      <c r="AB6"/>
      <c r="AC6"/>
      <c r="AD6"/>
      <c r="AE6"/>
      <c r="AF6"/>
      <c r="AG6"/>
      <c r="AH6"/>
      <c r="AI6"/>
      <c r="AJ6"/>
      <c r="AK6"/>
      <c r="AL6"/>
      <c r="AM6"/>
      <c r="AN6"/>
      <c r="AO6"/>
      <c r="AP6"/>
      <c r="AQ6"/>
    </row>
    <row r="7" spans="1:43" s="61" customFormat="1" ht="22.5" customHeight="1">
      <c r="A7" s="84" t="s">
        <v>149</v>
      </c>
      <c r="B7" s="124"/>
      <c r="C7" s="527"/>
      <c r="D7" s="85"/>
      <c r="E7" s="527"/>
      <c r="F7" s="85"/>
      <c r="G7" s="527"/>
      <c r="H7" s="85"/>
      <c r="I7" s="85"/>
      <c r="J7" s="85"/>
      <c r="K7" s="527"/>
      <c r="L7" s="86"/>
      <c r="M7" s="527"/>
      <c r="N7" s="85"/>
      <c r="O7" s="527"/>
      <c r="P7" s="85"/>
      <c r="Q7" s="85"/>
      <c r="R7" s="191"/>
      <c r="S7" s="537"/>
      <c r="T7"/>
      <c r="U7"/>
      <c r="V7"/>
      <c r="W7"/>
      <c r="X7"/>
      <c r="Y7"/>
      <c r="Z7"/>
      <c r="AA7"/>
      <c r="AB7"/>
      <c r="AC7"/>
      <c r="AD7"/>
      <c r="AE7"/>
      <c r="AF7"/>
      <c r="AG7"/>
      <c r="AH7"/>
      <c r="AI7"/>
      <c r="AJ7"/>
      <c r="AK7"/>
      <c r="AL7"/>
      <c r="AM7"/>
      <c r="AN7"/>
      <c r="AO7"/>
      <c r="AP7"/>
      <c r="AQ7"/>
    </row>
    <row r="8" spans="1:43" s="42" customFormat="1" ht="22.5" customHeight="1" thickBot="1">
      <c r="A8" s="78" t="s">
        <v>120</v>
      </c>
      <c r="B8" s="184" t="s">
        <v>12</v>
      </c>
      <c r="C8" s="533">
        <v>215.5</v>
      </c>
      <c r="D8" s="184"/>
      <c r="E8" s="533">
        <v>341.5</v>
      </c>
      <c r="F8" s="184"/>
      <c r="G8" s="533">
        <v>323.4</v>
      </c>
      <c r="H8" s="17"/>
      <c r="I8" s="13"/>
      <c r="J8" s="184"/>
      <c r="K8" s="533">
        <v>176</v>
      </c>
      <c r="L8" s="184"/>
      <c r="M8" s="533">
        <v>186.4</v>
      </c>
      <c r="N8" s="184"/>
      <c r="O8" s="533">
        <v>339.8</v>
      </c>
      <c r="P8" s="184" t="s">
        <v>12</v>
      </c>
      <c r="Q8" s="13" t="s">
        <v>12</v>
      </c>
      <c r="R8" s="100">
        <f>SUM(B8,D8,F8,H8,J8,L8,N8,P8)</f>
        <v>0</v>
      </c>
      <c r="S8" s="507">
        <f>SUM(C8,E8,G8,I8,K8,M8,O8,Q8)</f>
        <v>1582.6000000000001</v>
      </c>
      <c r="T8"/>
      <c r="U8"/>
      <c r="V8"/>
      <c r="W8"/>
      <c r="X8"/>
      <c r="Y8"/>
      <c r="Z8"/>
      <c r="AA8"/>
      <c r="AB8"/>
      <c r="AC8"/>
      <c r="AD8"/>
      <c r="AE8"/>
      <c r="AF8"/>
      <c r="AG8"/>
      <c r="AH8"/>
      <c r="AI8"/>
      <c r="AJ8"/>
      <c r="AK8"/>
      <c r="AL8"/>
      <c r="AM8"/>
      <c r="AN8"/>
      <c r="AO8"/>
      <c r="AP8"/>
      <c r="AQ8"/>
    </row>
    <row r="9" spans="1:43" s="42" customFormat="1" ht="22.5" customHeight="1" thickBot="1">
      <c r="A9" s="267" t="s">
        <v>66</v>
      </c>
      <c r="B9" s="189">
        <f aca="true" t="shared" si="0" ref="B9:S9">SUM(B5:B8)</f>
        <v>0</v>
      </c>
      <c r="C9" s="498">
        <f t="shared" si="0"/>
        <v>215.5</v>
      </c>
      <c r="D9" s="189">
        <f t="shared" si="0"/>
        <v>1</v>
      </c>
      <c r="E9" s="513">
        <f t="shared" si="0"/>
        <v>1636.7</v>
      </c>
      <c r="F9" s="189">
        <f t="shared" si="0"/>
        <v>0</v>
      </c>
      <c r="G9" s="498">
        <f t="shared" si="0"/>
        <v>323.4</v>
      </c>
      <c r="H9" s="189">
        <f t="shared" si="0"/>
        <v>0</v>
      </c>
      <c r="I9" s="189">
        <f t="shared" si="0"/>
        <v>0</v>
      </c>
      <c r="J9" s="189">
        <f t="shared" si="0"/>
        <v>0</v>
      </c>
      <c r="K9" s="498">
        <f t="shared" si="0"/>
        <v>176</v>
      </c>
      <c r="L9" s="189">
        <f t="shared" si="0"/>
        <v>0</v>
      </c>
      <c r="M9" s="498">
        <f t="shared" si="0"/>
        <v>186.4</v>
      </c>
      <c r="N9" s="189">
        <f t="shared" si="0"/>
        <v>0</v>
      </c>
      <c r="O9" s="498">
        <f t="shared" si="0"/>
        <v>339.8</v>
      </c>
      <c r="P9" s="189">
        <f t="shared" si="0"/>
        <v>0</v>
      </c>
      <c r="Q9" s="189">
        <f t="shared" si="0"/>
        <v>0</v>
      </c>
      <c r="R9" s="190">
        <f t="shared" si="0"/>
        <v>1</v>
      </c>
      <c r="S9" s="508">
        <f t="shared" si="0"/>
        <v>2877.8</v>
      </c>
      <c r="T9"/>
      <c r="U9"/>
      <c r="V9"/>
      <c r="W9"/>
      <c r="X9"/>
      <c r="Y9"/>
      <c r="Z9"/>
      <c r="AA9"/>
      <c r="AB9"/>
      <c r="AC9"/>
      <c r="AD9"/>
      <c r="AE9"/>
      <c r="AF9"/>
      <c r="AG9"/>
      <c r="AH9"/>
      <c r="AI9"/>
      <c r="AJ9"/>
      <c r="AK9"/>
      <c r="AL9"/>
      <c r="AM9"/>
      <c r="AN9"/>
      <c r="AO9"/>
      <c r="AP9"/>
      <c r="AQ9"/>
    </row>
    <row r="10" spans="1:45" s="61" customFormat="1" ht="15" customHeight="1">
      <c r="A10" s="104"/>
      <c r="B10" s="63"/>
      <c r="C10" s="505"/>
      <c r="D10" s="64"/>
      <c r="E10" s="505"/>
      <c r="F10" s="64"/>
      <c r="G10" s="505"/>
      <c r="H10" s="64"/>
      <c r="I10" s="64"/>
      <c r="J10" s="64"/>
      <c r="K10" s="505"/>
      <c r="L10" s="64"/>
      <c r="M10" s="505"/>
      <c r="N10" s="65"/>
      <c r="O10" s="505"/>
      <c r="P10" s="64"/>
      <c r="Q10" s="64"/>
      <c r="R10" s="64"/>
      <c r="S10" s="505"/>
      <c r="U10"/>
      <c r="V10"/>
      <c r="W10"/>
      <c r="X10"/>
      <c r="Y10"/>
      <c r="Z10"/>
      <c r="AA10"/>
      <c r="AB10"/>
      <c r="AC10"/>
      <c r="AD10"/>
      <c r="AE10"/>
      <c r="AF10"/>
      <c r="AG10"/>
      <c r="AH10"/>
      <c r="AI10"/>
      <c r="AJ10"/>
      <c r="AK10"/>
      <c r="AL10"/>
      <c r="AM10"/>
      <c r="AN10"/>
      <c r="AO10"/>
      <c r="AP10"/>
      <c r="AQ10"/>
      <c r="AR10"/>
      <c r="AS10"/>
    </row>
    <row r="11" spans="3:45" s="156" customFormat="1" ht="23.25" customHeight="1">
      <c r="C11" s="528"/>
      <c r="E11" s="528"/>
      <c r="G11" s="528"/>
      <c r="K11" s="528"/>
      <c r="M11" s="528"/>
      <c r="O11" s="528"/>
      <c r="S11" s="528"/>
      <c r="U11"/>
      <c r="V11"/>
      <c r="W11"/>
      <c r="X11"/>
      <c r="Y11"/>
      <c r="Z11"/>
      <c r="AA11"/>
      <c r="AB11"/>
      <c r="AC11"/>
      <c r="AD11"/>
      <c r="AE11"/>
      <c r="AF11"/>
      <c r="AG11"/>
      <c r="AH11"/>
      <c r="AI11"/>
      <c r="AJ11"/>
      <c r="AK11"/>
      <c r="AL11"/>
      <c r="AM11"/>
      <c r="AN11"/>
      <c r="AO11"/>
      <c r="AP11"/>
      <c r="AQ11"/>
      <c r="AR11"/>
      <c r="AS11"/>
    </row>
    <row r="12" spans="3:19" ht="21" customHeight="1">
      <c r="C12" s="476"/>
      <c r="E12" s="476"/>
      <c r="G12" s="476"/>
      <c r="K12" s="476"/>
      <c r="M12" s="476"/>
      <c r="O12" s="476"/>
      <c r="S12" s="476"/>
    </row>
    <row r="13" spans="3:19" ht="21" customHeight="1">
      <c r="C13" s="476"/>
      <c r="E13" s="476"/>
      <c r="G13" s="476"/>
      <c r="K13" s="476"/>
      <c r="M13" s="476"/>
      <c r="O13" s="476"/>
      <c r="S13" s="476"/>
    </row>
    <row r="14" spans="3:19" ht="21" customHeight="1">
      <c r="C14" s="476"/>
      <c r="E14" s="476"/>
      <c r="G14" s="476"/>
      <c r="K14" s="476"/>
      <c r="M14" s="476"/>
      <c r="O14" s="476"/>
      <c r="S14" s="476"/>
    </row>
    <row r="15" spans="3:19" ht="21" customHeight="1">
      <c r="C15" s="476"/>
      <c r="E15" s="476"/>
      <c r="G15" s="476"/>
      <c r="K15" s="476"/>
      <c r="M15" s="476"/>
      <c r="O15" s="476"/>
      <c r="S15" s="476"/>
    </row>
    <row r="16" spans="3:19" ht="21" customHeight="1">
      <c r="C16" s="476"/>
      <c r="E16" s="476"/>
      <c r="G16" s="476"/>
      <c r="K16" s="476"/>
      <c r="M16" s="476"/>
      <c r="O16" s="476"/>
      <c r="S16" s="476"/>
    </row>
    <row r="17" spans="3:19" ht="21" customHeight="1">
      <c r="C17" s="476"/>
      <c r="E17" s="476"/>
      <c r="G17" s="476"/>
      <c r="K17" s="476"/>
      <c r="M17" s="476"/>
      <c r="O17" s="476"/>
      <c r="S17" s="476"/>
    </row>
    <row r="18" spans="3:19" ht="21" customHeight="1">
      <c r="C18" s="476"/>
      <c r="E18" s="476"/>
      <c r="G18" s="476"/>
      <c r="K18" s="476"/>
      <c r="M18" s="476"/>
      <c r="O18" s="476"/>
      <c r="S18" s="476"/>
    </row>
    <row r="19" spans="3:19" ht="21" customHeight="1">
      <c r="C19" s="476"/>
      <c r="E19" s="476"/>
      <c r="G19" s="476"/>
      <c r="K19" s="476"/>
      <c r="M19" s="476"/>
      <c r="O19" s="476"/>
      <c r="S19" s="476"/>
    </row>
    <row r="20" spans="3:19" ht="18.75" customHeight="1">
      <c r="C20" s="476"/>
      <c r="E20" s="534">
        <f>SUM(E14:E19)</f>
        <v>0</v>
      </c>
      <c r="F20" s="275"/>
      <c r="G20" s="534"/>
      <c r="K20" s="476"/>
      <c r="M20" s="476"/>
      <c r="O20" s="476"/>
      <c r="S20" s="476"/>
    </row>
    <row r="21" spans="3:19" ht="18.75" customHeight="1">
      <c r="C21" s="476"/>
      <c r="E21" s="476"/>
      <c r="G21" s="476"/>
      <c r="K21" s="476"/>
      <c r="M21" s="476"/>
      <c r="O21" s="476"/>
      <c r="S21" s="476"/>
    </row>
    <row r="22" spans="3:19" ht="18.75" customHeight="1">
      <c r="C22" s="476"/>
      <c r="E22" s="476"/>
      <c r="G22" s="476"/>
      <c r="K22" s="476"/>
      <c r="M22" s="476"/>
      <c r="O22" s="476"/>
      <c r="S22" s="476"/>
    </row>
    <row r="23" spans="3:19" ht="18.75" customHeight="1">
      <c r="C23" s="476"/>
      <c r="E23" s="476"/>
      <c r="G23" s="476"/>
      <c r="K23" s="476"/>
      <c r="M23" s="476"/>
      <c r="O23" s="476"/>
      <c r="S23" s="476"/>
    </row>
    <row r="24" spans="3:19" ht="18.75" customHeight="1">
      <c r="C24" s="476"/>
      <c r="E24" s="476"/>
      <c r="G24" s="476"/>
      <c r="K24" s="476"/>
      <c r="M24" s="476"/>
      <c r="O24" s="476"/>
      <c r="S24" s="476"/>
    </row>
    <row r="25" spans="3:19" ht="18.75" customHeight="1">
      <c r="C25" s="476"/>
      <c r="E25" s="476"/>
      <c r="G25" s="476"/>
      <c r="K25" s="476"/>
      <c r="M25" s="476"/>
      <c r="O25" s="476"/>
      <c r="S25" s="476"/>
    </row>
    <row r="26" spans="3:19" ht="18.75" customHeight="1">
      <c r="C26" s="476"/>
      <c r="E26" s="476"/>
      <c r="G26" s="476"/>
      <c r="K26" s="476"/>
      <c r="M26" s="476"/>
      <c r="O26" s="476"/>
      <c r="S26" s="476"/>
    </row>
    <row r="27" spans="3:19" ht="18.75" customHeight="1">
      <c r="C27" s="476"/>
      <c r="E27" s="476"/>
      <c r="G27" s="476"/>
      <c r="K27" s="476"/>
      <c r="M27" s="476"/>
      <c r="O27" s="476"/>
      <c r="S27" s="476"/>
    </row>
    <row r="28" spans="3:19" ht="18.75" customHeight="1">
      <c r="C28" s="476"/>
      <c r="E28" s="476"/>
      <c r="G28" s="476"/>
      <c r="K28" s="476"/>
      <c r="M28" s="476"/>
      <c r="O28" s="476"/>
      <c r="S28" s="476"/>
    </row>
    <row r="29" spans="3:19" ht="18.75" customHeight="1">
      <c r="C29" s="476"/>
      <c r="E29" s="476"/>
      <c r="G29" s="476"/>
      <c r="K29" s="476"/>
      <c r="M29" s="476"/>
      <c r="O29" s="476"/>
      <c r="S29" s="476"/>
    </row>
    <row r="30" spans="3:19" ht="18.75" customHeight="1">
      <c r="C30" s="476"/>
      <c r="E30" s="476"/>
      <c r="G30" s="476"/>
      <c r="K30" s="476"/>
      <c r="M30" s="476"/>
      <c r="O30" s="476"/>
      <c r="S30" s="476"/>
    </row>
    <row r="31" spans="3:19" ht="18.75" customHeight="1">
      <c r="C31" s="476"/>
      <c r="E31" s="476"/>
      <c r="G31" s="476"/>
      <c r="K31" s="476"/>
      <c r="M31" s="476"/>
      <c r="O31" s="476"/>
      <c r="S31" s="476"/>
    </row>
    <row r="32" spans="3:19" ht="18.75" customHeight="1">
      <c r="C32" s="476"/>
      <c r="E32" s="476"/>
      <c r="G32" s="476"/>
      <c r="K32" s="476"/>
      <c r="M32" s="476"/>
      <c r="O32" s="476"/>
      <c r="S32" s="476"/>
    </row>
    <row r="33" spans="3:19" ht="18.75" customHeight="1">
      <c r="C33" s="476"/>
      <c r="E33" s="476"/>
      <c r="G33" s="476"/>
      <c r="K33" s="476"/>
      <c r="M33" s="476"/>
      <c r="O33" s="476"/>
      <c r="S33" s="476"/>
    </row>
  </sheetData>
  <sheetProtection/>
  <mergeCells count="10">
    <mergeCell ref="D3:E3"/>
    <mergeCell ref="A3:A4"/>
    <mergeCell ref="B3:C3"/>
    <mergeCell ref="F3:G3"/>
    <mergeCell ref="P3:Q3"/>
    <mergeCell ref="R3:S3"/>
    <mergeCell ref="N3:O3"/>
    <mergeCell ref="L3:M3"/>
    <mergeCell ref="H3:I3"/>
    <mergeCell ref="J3:K3"/>
  </mergeCells>
  <printOptions horizontalCentered="1"/>
  <pageMargins left="0.25" right="0.15" top="0.5" bottom="0.35" header="0.511811023622047" footer="0.511811023622047"/>
  <pageSetup horizontalDpi="600" verticalDpi="600" orientation="landscape" paperSize="9" scale="105" r:id="rId1"/>
</worksheet>
</file>

<file path=xl/worksheets/sheet9.xml><?xml version="1.0" encoding="utf-8"?>
<worksheet xmlns="http://schemas.openxmlformats.org/spreadsheetml/2006/main" xmlns:r="http://schemas.openxmlformats.org/officeDocument/2006/relationships">
  <sheetPr>
    <tabColor indexed="13"/>
  </sheetPr>
  <dimension ref="A1:AK23"/>
  <sheetViews>
    <sheetView zoomScalePageLayoutView="0" workbookViewId="0" topLeftCell="D9">
      <selection activeCell="D9" sqref="A1:IV16384"/>
    </sheetView>
  </sheetViews>
  <sheetFormatPr defaultColWidth="9.140625" defaultRowHeight="12.75"/>
  <cols>
    <col min="1" max="1" width="22.8515625" style="130" customWidth="1"/>
    <col min="2" max="2" width="4.28125" style="255" customWidth="1"/>
    <col min="3" max="3" width="69.8515625" style="161" customWidth="1"/>
    <col min="4" max="4" width="5.140625" style="162" customWidth="1"/>
    <col min="5" max="5" width="6.57421875" style="514" customWidth="1"/>
    <col min="6" max="6" width="4.8515625" style="590" customWidth="1"/>
    <col min="7" max="7" width="7.57421875" style="591" customWidth="1"/>
    <col min="8" max="8" width="5.28125" style="590" customWidth="1"/>
    <col min="9" max="9" width="4.7109375" style="590" customWidth="1"/>
    <col min="10" max="10" width="4.7109375" style="586" customWidth="1"/>
    <col min="11" max="11" width="6.57421875" style="596" customWidth="1"/>
    <col min="12" max="12" width="5.28125" style="130" customWidth="1"/>
    <col min="13" max="13" width="10.00390625" style="0" customWidth="1"/>
    <col min="14" max="14" width="20.28125" style="0" customWidth="1"/>
    <col min="15" max="15" width="6.140625" style="0" customWidth="1"/>
    <col min="16" max="16" width="8.28125" style="0" customWidth="1"/>
    <col min="17" max="17" width="4.7109375" style="0" customWidth="1"/>
    <col min="18" max="18" width="7.8515625" style="0" customWidth="1"/>
    <col min="19" max="19" width="4.8515625" style="0" customWidth="1"/>
    <col min="20" max="20" width="8.421875" style="0" customWidth="1"/>
    <col min="21" max="21" width="5.28125" style="0" customWidth="1"/>
    <col min="22" max="22" width="6.57421875" style="0" customWidth="1"/>
    <col min="23" max="23" width="4.7109375" style="0" customWidth="1"/>
    <col min="24" max="24" width="8.421875" style="0" customWidth="1"/>
    <col min="25" max="25" width="5.28125" style="0" customWidth="1"/>
    <col min="27" max="27" width="5.7109375" style="0" customWidth="1"/>
    <col min="28" max="28" width="7.140625" style="0" customWidth="1"/>
    <col min="29" max="29" width="5.8515625" style="0" customWidth="1"/>
    <col min="31" max="31" width="5.57421875" style="0" customWidth="1"/>
    <col min="32" max="32" width="8.7109375" style="0" customWidth="1"/>
    <col min="33" max="33" width="6.140625" style="0" customWidth="1"/>
    <col min="38" max="16384" width="9.140625" style="130" customWidth="1"/>
  </cols>
  <sheetData>
    <row r="1" spans="1:37" s="61" customFormat="1" ht="25.5" customHeight="1">
      <c r="A1" s="222" t="s">
        <v>505</v>
      </c>
      <c r="B1" s="255"/>
      <c r="C1" s="161"/>
      <c r="E1" s="535"/>
      <c r="F1" s="583"/>
      <c r="G1" s="584"/>
      <c r="H1" s="585"/>
      <c r="I1" s="585"/>
      <c r="J1" s="586"/>
      <c r="K1" s="596"/>
      <c r="L1" s="130"/>
      <c r="M1"/>
      <c r="N1"/>
      <c r="O1"/>
      <c r="P1"/>
      <c r="Q1"/>
      <c r="R1"/>
      <c r="S1"/>
      <c r="T1"/>
      <c r="U1"/>
      <c r="V1"/>
      <c r="W1"/>
      <c r="X1"/>
      <c r="Y1"/>
      <c r="Z1"/>
      <c r="AA1"/>
      <c r="AB1"/>
      <c r="AC1"/>
      <c r="AD1"/>
      <c r="AE1"/>
      <c r="AF1"/>
      <c r="AG1"/>
      <c r="AH1"/>
      <c r="AI1"/>
      <c r="AJ1"/>
      <c r="AK1"/>
    </row>
    <row r="2" spans="1:12" ht="16.5" customHeight="1" thickBot="1">
      <c r="A2" s="223"/>
      <c r="B2" s="256"/>
      <c r="C2" s="248"/>
      <c r="D2" s="248"/>
      <c r="E2" s="582"/>
      <c r="F2" s="587"/>
      <c r="G2" s="588"/>
      <c r="H2" s="587"/>
      <c r="I2" s="587"/>
      <c r="J2" s="587"/>
      <c r="K2" s="597" t="s">
        <v>0</v>
      </c>
      <c r="L2" s="67"/>
    </row>
    <row r="3" spans="1:37" s="67" customFormat="1" ht="33.75" customHeight="1">
      <c r="A3" s="1275" t="s">
        <v>140</v>
      </c>
      <c r="B3" s="1275" t="s">
        <v>148</v>
      </c>
      <c r="C3" s="1277"/>
      <c r="D3" s="1283" t="s">
        <v>121</v>
      </c>
      <c r="E3" s="1283"/>
      <c r="F3" s="1283" t="s">
        <v>68</v>
      </c>
      <c r="G3" s="1284"/>
      <c r="H3" s="1280" t="s">
        <v>64</v>
      </c>
      <c r="I3" s="1280" t="s">
        <v>65</v>
      </c>
      <c r="J3" s="1278" t="s">
        <v>122</v>
      </c>
      <c r="K3" s="1279"/>
      <c r="M3"/>
      <c r="N3"/>
      <c r="O3"/>
      <c r="P3"/>
      <c r="Q3"/>
      <c r="R3"/>
      <c r="S3"/>
      <c r="T3"/>
      <c r="U3"/>
      <c r="V3"/>
      <c r="W3"/>
      <c r="X3"/>
      <c r="Y3"/>
      <c r="Z3"/>
      <c r="AA3"/>
      <c r="AB3"/>
      <c r="AC3"/>
      <c r="AD3"/>
      <c r="AE3"/>
      <c r="AF3"/>
      <c r="AG3"/>
      <c r="AH3"/>
      <c r="AI3"/>
      <c r="AJ3"/>
      <c r="AK3"/>
    </row>
    <row r="4" spans="1:37" s="67" customFormat="1" ht="27.75" customHeight="1" thickBot="1">
      <c r="A4" s="1276"/>
      <c r="B4" s="1276"/>
      <c r="C4" s="1276"/>
      <c r="D4" s="1109" t="s">
        <v>10</v>
      </c>
      <c r="E4" s="1110" t="s">
        <v>9</v>
      </c>
      <c r="F4" s="1109" t="s">
        <v>10</v>
      </c>
      <c r="G4" s="1111" t="s">
        <v>9</v>
      </c>
      <c r="H4" s="1281"/>
      <c r="I4" s="1282"/>
      <c r="J4" s="1112" t="s">
        <v>10</v>
      </c>
      <c r="K4" s="1111" t="s">
        <v>9</v>
      </c>
      <c r="M4"/>
      <c r="N4"/>
      <c r="O4"/>
      <c r="P4"/>
      <c r="Q4"/>
      <c r="R4"/>
      <c r="S4"/>
      <c r="T4"/>
      <c r="U4"/>
      <c r="V4"/>
      <c r="W4"/>
      <c r="X4"/>
      <c r="Y4"/>
      <c r="Z4"/>
      <c r="AA4"/>
      <c r="AB4"/>
      <c r="AC4"/>
      <c r="AD4"/>
      <c r="AE4"/>
      <c r="AF4"/>
      <c r="AG4"/>
      <c r="AH4"/>
      <c r="AI4"/>
      <c r="AJ4"/>
      <c r="AK4"/>
    </row>
    <row r="5" spans="1:37" s="67" customFormat="1" ht="22.5" customHeight="1">
      <c r="A5" s="77" t="s">
        <v>111</v>
      </c>
      <c r="B5" s="321">
        <v>1</v>
      </c>
      <c r="C5" s="257" t="s">
        <v>302</v>
      </c>
      <c r="D5" s="983">
        <v>8</v>
      </c>
      <c r="E5" s="984">
        <f>(86.9+87.6)*1.1</f>
        <v>191.95000000000002</v>
      </c>
      <c r="F5" s="983">
        <v>5</v>
      </c>
      <c r="G5" s="984">
        <v>74</v>
      </c>
      <c r="H5" s="320" t="s">
        <v>12</v>
      </c>
      <c r="I5" s="320" t="s">
        <v>12</v>
      </c>
      <c r="J5" s="589">
        <f>D5</f>
        <v>8</v>
      </c>
      <c r="K5" s="598">
        <f aca="true" t="shared" si="0" ref="K5:K19">E5+G5</f>
        <v>265.95000000000005</v>
      </c>
      <c r="M5"/>
      <c r="N5"/>
      <c r="O5"/>
      <c r="P5"/>
      <c r="Q5"/>
      <c r="R5"/>
      <c r="S5"/>
      <c r="T5"/>
      <c r="U5"/>
      <c r="V5"/>
      <c r="W5"/>
      <c r="X5"/>
      <c r="Y5"/>
      <c r="Z5"/>
      <c r="AA5"/>
      <c r="AB5"/>
      <c r="AC5"/>
      <c r="AD5"/>
      <c r="AE5"/>
      <c r="AF5"/>
      <c r="AG5"/>
      <c r="AH5"/>
      <c r="AI5"/>
      <c r="AJ5"/>
      <c r="AK5"/>
    </row>
    <row r="6" spans="1:37" s="67" customFormat="1" ht="22.5" customHeight="1">
      <c r="A6" s="77"/>
      <c r="B6" s="321">
        <v>2</v>
      </c>
      <c r="C6" s="529" t="s">
        <v>304</v>
      </c>
      <c r="D6" s="983">
        <v>4</v>
      </c>
      <c r="E6" s="984">
        <f>77.2*1.1</f>
        <v>84.92000000000002</v>
      </c>
      <c r="F6" s="320"/>
      <c r="G6" s="320"/>
      <c r="H6" s="320" t="s">
        <v>12</v>
      </c>
      <c r="I6" s="320" t="s">
        <v>12</v>
      </c>
      <c r="J6" s="589">
        <f aca="true" t="shared" si="1" ref="J6:J19">D6</f>
        <v>4</v>
      </c>
      <c r="K6" s="598">
        <f t="shared" si="0"/>
        <v>84.92000000000002</v>
      </c>
      <c r="M6"/>
      <c r="N6"/>
      <c r="O6"/>
      <c r="P6"/>
      <c r="Q6"/>
      <c r="R6"/>
      <c r="S6"/>
      <c r="T6"/>
      <c r="U6"/>
      <c r="V6"/>
      <c r="W6"/>
      <c r="X6"/>
      <c r="Y6"/>
      <c r="Z6"/>
      <c r="AA6"/>
      <c r="AB6"/>
      <c r="AC6"/>
      <c r="AD6"/>
      <c r="AE6"/>
      <c r="AF6"/>
      <c r="AG6"/>
      <c r="AH6"/>
      <c r="AI6"/>
      <c r="AJ6"/>
      <c r="AK6"/>
    </row>
    <row r="7" spans="1:37" s="67" customFormat="1" ht="21.75">
      <c r="A7" s="77"/>
      <c r="B7" s="321">
        <v>3</v>
      </c>
      <c r="C7" s="529" t="s">
        <v>305</v>
      </c>
      <c r="D7" s="985">
        <v>4</v>
      </c>
      <c r="E7" s="986">
        <f>186.7*1.1</f>
        <v>205.37</v>
      </c>
      <c r="F7" s="983">
        <v>8</v>
      </c>
      <c r="G7" s="984">
        <f>102+121</f>
        <v>223</v>
      </c>
      <c r="H7" s="320" t="s">
        <v>12</v>
      </c>
      <c r="I7" s="320" t="s">
        <v>12</v>
      </c>
      <c r="J7" s="589">
        <f t="shared" si="1"/>
        <v>4</v>
      </c>
      <c r="K7" s="598">
        <f t="shared" si="0"/>
        <v>428.37</v>
      </c>
      <c r="M7"/>
      <c r="N7"/>
      <c r="O7"/>
      <c r="P7"/>
      <c r="Q7"/>
      <c r="R7"/>
      <c r="S7"/>
      <c r="T7"/>
      <c r="U7"/>
      <c r="V7"/>
      <c r="W7"/>
      <c r="X7"/>
      <c r="Y7"/>
      <c r="Z7"/>
      <c r="AA7"/>
      <c r="AB7"/>
      <c r="AC7"/>
      <c r="AD7"/>
      <c r="AE7"/>
      <c r="AF7"/>
      <c r="AG7"/>
      <c r="AH7"/>
      <c r="AI7"/>
      <c r="AJ7"/>
      <c r="AK7"/>
    </row>
    <row r="8" spans="1:37" s="67" customFormat="1" ht="21.75">
      <c r="A8" s="77"/>
      <c r="B8" s="321">
        <v>4</v>
      </c>
      <c r="C8" s="529" t="s">
        <v>306</v>
      </c>
      <c r="D8" s="400">
        <v>7</v>
      </c>
      <c r="E8" s="400">
        <f>168.5*1.1</f>
        <v>185.35000000000002</v>
      </c>
      <c r="F8" s="400">
        <v>7</v>
      </c>
      <c r="G8" s="877">
        <v>200</v>
      </c>
      <c r="H8" s="320" t="s">
        <v>12</v>
      </c>
      <c r="I8" s="320" t="s">
        <v>12</v>
      </c>
      <c r="J8" s="589">
        <f t="shared" si="1"/>
        <v>7</v>
      </c>
      <c r="K8" s="598">
        <f t="shared" si="0"/>
        <v>385.35</v>
      </c>
      <c r="M8"/>
      <c r="N8"/>
      <c r="O8"/>
      <c r="P8"/>
      <c r="Q8"/>
      <c r="R8"/>
      <c r="S8"/>
      <c r="T8"/>
      <c r="U8"/>
      <c r="V8"/>
      <c r="W8"/>
      <c r="X8"/>
      <c r="Y8"/>
      <c r="Z8"/>
      <c r="AA8"/>
      <c r="AB8"/>
      <c r="AC8"/>
      <c r="AD8"/>
      <c r="AE8"/>
      <c r="AF8"/>
      <c r="AG8"/>
      <c r="AH8"/>
      <c r="AI8"/>
      <c r="AJ8"/>
      <c r="AK8"/>
    </row>
    <row r="9" spans="1:37" s="67" customFormat="1" ht="21">
      <c r="A9" s="77"/>
      <c r="B9" s="321">
        <v>5</v>
      </c>
      <c r="C9" s="529" t="s">
        <v>312</v>
      </c>
      <c r="D9" s="320" t="s">
        <v>12</v>
      </c>
      <c r="E9" s="320"/>
      <c r="F9" s="983">
        <v>2</v>
      </c>
      <c r="G9" s="984">
        <v>69.1</v>
      </c>
      <c r="H9" s="320" t="s">
        <v>12</v>
      </c>
      <c r="I9" s="320" t="s">
        <v>12</v>
      </c>
      <c r="J9" s="589" t="str">
        <f t="shared" si="1"/>
        <v>-</v>
      </c>
      <c r="K9" s="598">
        <f t="shared" si="0"/>
        <v>69.1</v>
      </c>
      <c r="M9"/>
      <c r="N9"/>
      <c r="O9"/>
      <c r="P9"/>
      <c r="Q9"/>
      <c r="R9"/>
      <c r="S9"/>
      <c r="T9"/>
      <c r="U9"/>
      <c r="V9"/>
      <c r="W9"/>
      <c r="X9"/>
      <c r="Y9"/>
      <c r="Z9"/>
      <c r="AA9"/>
      <c r="AB9"/>
      <c r="AC9"/>
      <c r="AD9"/>
      <c r="AE9"/>
      <c r="AF9"/>
      <c r="AG9"/>
      <c r="AH9"/>
      <c r="AI9"/>
      <c r="AJ9"/>
      <c r="AK9"/>
    </row>
    <row r="10" spans="1:37" s="594" customFormat="1" ht="40.5">
      <c r="A10" s="319"/>
      <c r="B10" s="321">
        <v>6</v>
      </c>
      <c r="C10" s="529" t="s">
        <v>313</v>
      </c>
      <c r="D10" s="983">
        <v>5</v>
      </c>
      <c r="E10" s="984">
        <f>139.3*1.1</f>
        <v>153.23000000000002</v>
      </c>
      <c r="F10" s="320" t="s">
        <v>12</v>
      </c>
      <c r="G10" s="320"/>
      <c r="H10" s="320" t="s">
        <v>12</v>
      </c>
      <c r="I10" s="320" t="s">
        <v>12</v>
      </c>
      <c r="J10" s="589">
        <f t="shared" si="1"/>
        <v>5</v>
      </c>
      <c r="K10" s="598">
        <f t="shared" si="0"/>
        <v>153.23000000000002</v>
      </c>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0"/>
    </row>
    <row r="11" spans="1:37" s="67" customFormat="1" ht="44.25" customHeight="1">
      <c r="A11" s="319" t="s">
        <v>220</v>
      </c>
      <c r="B11" s="321">
        <v>7</v>
      </c>
      <c r="C11" s="529" t="s">
        <v>301</v>
      </c>
      <c r="D11" s="983">
        <v>6</v>
      </c>
      <c r="E11" s="984">
        <f>113.2*1.1</f>
        <v>124.52000000000001</v>
      </c>
      <c r="F11" s="983">
        <v>6</v>
      </c>
      <c r="G11" s="984">
        <v>105.1</v>
      </c>
      <c r="H11" s="320" t="s">
        <v>12</v>
      </c>
      <c r="I11" s="320" t="s">
        <v>12</v>
      </c>
      <c r="J11" s="589">
        <f t="shared" si="1"/>
        <v>6</v>
      </c>
      <c r="K11" s="598">
        <f t="shared" si="0"/>
        <v>229.62</v>
      </c>
      <c r="M11"/>
      <c r="N11"/>
      <c r="O11"/>
      <c r="P11"/>
      <c r="Q11"/>
      <c r="R11"/>
      <c r="S11"/>
      <c r="T11"/>
      <c r="U11"/>
      <c r="V11"/>
      <c r="W11"/>
      <c r="X11"/>
      <c r="Y11"/>
      <c r="Z11"/>
      <c r="AA11"/>
      <c r="AB11"/>
      <c r="AC11"/>
      <c r="AD11"/>
      <c r="AE11"/>
      <c r="AF11"/>
      <c r="AG11"/>
      <c r="AH11"/>
      <c r="AI11"/>
      <c r="AJ11"/>
      <c r="AK11"/>
    </row>
    <row r="12" spans="1:37" s="67" customFormat="1" ht="45" customHeight="1">
      <c r="A12" s="319" t="s">
        <v>109</v>
      </c>
      <c r="B12" s="321">
        <v>8</v>
      </c>
      <c r="C12" s="529" t="s">
        <v>303</v>
      </c>
      <c r="D12" s="983">
        <v>5</v>
      </c>
      <c r="E12" s="984">
        <f>187.7*1.1</f>
        <v>206.47</v>
      </c>
      <c r="F12" s="983">
        <v>5</v>
      </c>
      <c r="G12" s="984">
        <v>128.7</v>
      </c>
      <c r="H12" s="320" t="s">
        <v>12</v>
      </c>
      <c r="I12" s="320" t="s">
        <v>12</v>
      </c>
      <c r="J12" s="589">
        <f t="shared" si="1"/>
        <v>5</v>
      </c>
      <c r="K12" s="598">
        <f t="shared" si="0"/>
        <v>335.16999999999996</v>
      </c>
      <c r="M12"/>
      <c r="N12"/>
      <c r="O12"/>
      <c r="P12"/>
      <c r="Q12"/>
      <c r="R12"/>
      <c r="S12"/>
      <c r="T12"/>
      <c r="U12"/>
      <c r="V12"/>
      <c r="W12"/>
      <c r="X12"/>
      <c r="Y12"/>
      <c r="Z12"/>
      <c r="AA12"/>
      <c r="AB12"/>
      <c r="AC12"/>
      <c r="AD12"/>
      <c r="AE12"/>
      <c r="AF12"/>
      <c r="AG12"/>
      <c r="AH12"/>
      <c r="AI12"/>
      <c r="AJ12"/>
      <c r="AK12"/>
    </row>
    <row r="13" spans="1:37" s="67" customFormat="1" ht="21">
      <c r="A13" s="319"/>
      <c r="B13" s="321">
        <v>9</v>
      </c>
      <c r="C13" s="529" t="s">
        <v>307</v>
      </c>
      <c r="D13" s="983">
        <v>5</v>
      </c>
      <c r="E13" s="984">
        <f>85.6*1.1</f>
        <v>94.16</v>
      </c>
      <c r="F13" s="983">
        <v>5</v>
      </c>
      <c r="G13" s="984">
        <v>89.4</v>
      </c>
      <c r="H13" s="320" t="s">
        <v>12</v>
      </c>
      <c r="I13" s="320" t="s">
        <v>12</v>
      </c>
      <c r="J13" s="589">
        <f t="shared" si="1"/>
        <v>5</v>
      </c>
      <c r="K13" s="598">
        <f t="shared" si="0"/>
        <v>183.56</v>
      </c>
      <c r="M13"/>
      <c r="N13"/>
      <c r="O13"/>
      <c r="P13"/>
      <c r="Q13"/>
      <c r="R13"/>
      <c r="S13"/>
      <c r="T13"/>
      <c r="U13"/>
      <c r="V13"/>
      <c r="W13"/>
      <c r="X13"/>
      <c r="Y13"/>
      <c r="Z13"/>
      <c r="AA13"/>
      <c r="AB13"/>
      <c r="AC13"/>
      <c r="AD13"/>
      <c r="AE13"/>
      <c r="AF13"/>
      <c r="AG13"/>
      <c r="AH13"/>
      <c r="AI13"/>
      <c r="AJ13"/>
      <c r="AK13"/>
    </row>
    <row r="14" spans="1:37" s="67" customFormat="1" ht="45" customHeight="1">
      <c r="A14" s="319"/>
      <c r="B14" s="321">
        <v>10</v>
      </c>
      <c r="C14" s="529" t="s">
        <v>308</v>
      </c>
      <c r="D14" s="983">
        <v>5</v>
      </c>
      <c r="E14" s="984">
        <f>180.8*1.1</f>
        <v>198.88000000000002</v>
      </c>
      <c r="F14" s="983">
        <v>4</v>
      </c>
      <c r="G14" s="984">
        <v>96.7</v>
      </c>
      <c r="H14" s="320" t="s">
        <v>12</v>
      </c>
      <c r="I14" s="320" t="s">
        <v>12</v>
      </c>
      <c r="J14" s="589">
        <f t="shared" si="1"/>
        <v>5</v>
      </c>
      <c r="K14" s="598">
        <f t="shared" si="0"/>
        <v>295.58000000000004</v>
      </c>
      <c r="M14"/>
      <c r="N14"/>
      <c r="O14"/>
      <c r="P14"/>
      <c r="Q14"/>
      <c r="R14"/>
      <c r="S14"/>
      <c r="T14"/>
      <c r="U14"/>
      <c r="V14"/>
      <c r="W14"/>
      <c r="X14"/>
      <c r="Y14"/>
      <c r="Z14"/>
      <c r="AA14"/>
      <c r="AB14"/>
      <c r="AC14"/>
      <c r="AD14"/>
      <c r="AE14"/>
      <c r="AF14"/>
      <c r="AG14"/>
      <c r="AH14"/>
      <c r="AI14"/>
      <c r="AJ14"/>
      <c r="AK14"/>
    </row>
    <row r="15" spans="1:37" s="67" customFormat="1" ht="45" customHeight="1">
      <c r="A15" s="319"/>
      <c r="B15" s="321">
        <v>11</v>
      </c>
      <c r="C15" s="529" t="s">
        <v>309</v>
      </c>
      <c r="D15" s="983">
        <v>8</v>
      </c>
      <c r="E15" s="984">
        <f>188*1.1</f>
        <v>206.8</v>
      </c>
      <c r="F15" s="983">
        <v>7</v>
      </c>
      <c r="G15" s="984">
        <v>151.6</v>
      </c>
      <c r="H15" s="320" t="s">
        <v>12</v>
      </c>
      <c r="I15" s="320" t="s">
        <v>12</v>
      </c>
      <c r="J15" s="589">
        <f t="shared" si="1"/>
        <v>8</v>
      </c>
      <c r="K15" s="598">
        <f t="shared" si="0"/>
        <v>358.4</v>
      </c>
      <c r="M15"/>
      <c r="N15"/>
      <c r="O15"/>
      <c r="P15"/>
      <c r="Q15"/>
      <c r="R15"/>
      <c r="S15"/>
      <c r="T15"/>
      <c r="U15"/>
      <c r="V15"/>
      <c r="W15"/>
      <c r="X15"/>
      <c r="Y15"/>
      <c r="Z15"/>
      <c r="AA15"/>
      <c r="AB15"/>
      <c r="AC15"/>
      <c r="AD15"/>
      <c r="AE15"/>
      <c r="AF15"/>
      <c r="AG15"/>
      <c r="AH15"/>
      <c r="AI15"/>
      <c r="AJ15"/>
      <c r="AK15"/>
    </row>
    <row r="16" spans="1:37" s="67" customFormat="1" ht="21">
      <c r="A16" s="319"/>
      <c r="B16" s="321">
        <v>12</v>
      </c>
      <c r="C16" s="529" t="s">
        <v>311</v>
      </c>
      <c r="D16" s="320" t="s">
        <v>12</v>
      </c>
      <c r="E16" s="320"/>
      <c r="F16" s="983">
        <v>5</v>
      </c>
      <c r="G16" s="984">
        <v>129.6</v>
      </c>
      <c r="H16" s="320" t="s">
        <v>12</v>
      </c>
      <c r="I16" s="320" t="s">
        <v>12</v>
      </c>
      <c r="J16" s="589" t="str">
        <f t="shared" si="1"/>
        <v>-</v>
      </c>
      <c r="K16" s="598">
        <f t="shared" si="0"/>
        <v>129.6</v>
      </c>
      <c r="M16"/>
      <c r="N16"/>
      <c r="O16"/>
      <c r="P16"/>
      <c r="Q16"/>
      <c r="R16"/>
      <c r="S16"/>
      <c r="T16"/>
      <c r="U16"/>
      <c r="V16"/>
      <c r="W16"/>
      <c r="X16"/>
      <c r="Y16"/>
      <c r="Z16"/>
      <c r="AA16"/>
      <c r="AB16"/>
      <c r="AC16"/>
      <c r="AD16"/>
      <c r="AE16"/>
      <c r="AF16"/>
      <c r="AG16"/>
      <c r="AH16"/>
      <c r="AI16"/>
      <c r="AJ16"/>
      <c r="AK16"/>
    </row>
    <row r="17" spans="1:37" s="67" customFormat="1" ht="40.5">
      <c r="A17" s="319" t="s">
        <v>264</v>
      </c>
      <c r="B17" s="321">
        <v>13</v>
      </c>
      <c r="C17" s="529" t="s">
        <v>310</v>
      </c>
      <c r="D17" s="320" t="s">
        <v>12</v>
      </c>
      <c r="E17" s="320"/>
      <c r="F17" s="983">
        <v>5</v>
      </c>
      <c r="G17" s="984">
        <v>126</v>
      </c>
      <c r="H17" s="320" t="s">
        <v>12</v>
      </c>
      <c r="I17" s="320" t="s">
        <v>12</v>
      </c>
      <c r="J17" s="589" t="str">
        <f t="shared" si="1"/>
        <v>-</v>
      </c>
      <c r="K17" s="598">
        <f t="shared" si="0"/>
        <v>126</v>
      </c>
      <c r="M17"/>
      <c r="N17"/>
      <c r="O17"/>
      <c r="P17"/>
      <c r="Q17"/>
      <c r="R17"/>
      <c r="S17"/>
      <c r="T17"/>
      <c r="U17"/>
      <c r="V17"/>
      <c r="W17"/>
      <c r="X17"/>
      <c r="Y17"/>
      <c r="Z17"/>
      <c r="AA17"/>
      <c r="AB17"/>
      <c r="AC17"/>
      <c r="AD17"/>
      <c r="AE17"/>
      <c r="AF17"/>
      <c r="AG17"/>
      <c r="AH17"/>
      <c r="AI17"/>
      <c r="AJ17"/>
      <c r="AK17"/>
    </row>
    <row r="18" spans="2:11" ht="42">
      <c r="B18" s="321">
        <v>14</v>
      </c>
      <c r="C18" s="580" t="s">
        <v>265</v>
      </c>
      <c r="D18" s="983">
        <v>1</v>
      </c>
      <c r="E18" s="984">
        <f>67.2*1.1</f>
        <v>73.92000000000002</v>
      </c>
      <c r="F18" s="817">
        <v>1</v>
      </c>
      <c r="G18" s="818">
        <v>26</v>
      </c>
      <c r="H18" s="320" t="s">
        <v>12</v>
      </c>
      <c r="I18" s="320" t="s">
        <v>12</v>
      </c>
      <c r="J18" s="589">
        <f t="shared" si="1"/>
        <v>1</v>
      </c>
      <c r="K18" s="598">
        <f t="shared" si="0"/>
        <v>99.92000000000002</v>
      </c>
    </row>
    <row r="19" spans="2:11" ht="22.5" thickBot="1">
      <c r="B19" s="321">
        <v>15</v>
      </c>
      <c r="C19" s="581" t="s">
        <v>266</v>
      </c>
      <c r="D19" s="983">
        <v>6</v>
      </c>
      <c r="E19" s="984">
        <f>125*1.1</f>
        <v>137.5</v>
      </c>
      <c r="F19" s="817">
        <v>6</v>
      </c>
      <c r="G19" s="818">
        <v>147.8</v>
      </c>
      <c r="H19" s="320" t="s">
        <v>12</v>
      </c>
      <c r="I19" s="320" t="s">
        <v>12</v>
      </c>
      <c r="J19" s="589">
        <f t="shared" si="1"/>
        <v>6</v>
      </c>
      <c r="K19" s="598">
        <f t="shared" si="0"/>
        <v>285.3</v>
      </c>
    </row>
    <row r="20" spans="1:37" s="594" customFormat="1" ht="21.75" thickBot="1">
      <c r="A20" s="599"/>
      <c r="B20" s="600"/>
      <c r="C20" s="601" t="s">
        <v>122</v>
      </c>
      <c r="D20" s="592">
        <f>SUM(D5:D19)</f>
        <v>64</v>
      </c>
      <c r="E20" s="1108">
        <f>SUM(E5:E19)</f>
        <v>1863.0700000000002</v>
      </c>
      <c r="F20" s="592">
        <f>SUM(F5:F19)</f>
        <v>66</v>
      </c>
      <c r="G20" s="1107">
        <f>SUM(G5:G19)</f>
        <v>1567</v>
      </c>
      <c r="H20" s="592">
        <f>SUM(H5:H17)</f>
        <v>0</v>
      </c>
      <c r="I20" s="592">
        <f>SUM(I5:I17)</f>
        <v>0</v>
      </c>
      <c r="J20" s="592">
        <f>SUM(J5:J19)</f>
        <v>64</v>
      </c>
      <c r="K20" s="593">
        <f>SUM(K5:K19)</f>
        <v>3430.07</v>
      </c>
      <c r="M20" s="560"/>
      <c r="N20" s="560"/>
      <c r="O20" s="560"/>
      <c r="P20" s="560"/>
      <c r="Q20" s="560"/>
      <c r="R20" s="560"/>
      <c r="S20" s="560"/>
      <c r="T20" s="560"/>
      <c r="U20" s="560"/>
      <c r="V20" s="560"/>
      <c r="W20" s="560"/>
      <c r="X20" s="560"/>
      <c r="Y20" s="560"/>
      <c r="Z20" s="560"/>
      <c r="AA20" s="560"/>
      <c r="AB20" s="560"/>
      <c r="AC20" s="560"/>
      <c r="AD20" s="560"/>
      <c r="AE20" s="560"/>
      <c r="AF20" s="560"/>
      <c r="AG20" s="560"/>
      <c r="AH20" s="560"/>
      <c r="AI20" s="560"/>
      <c r="AJ20" s="560"/>
      <c r="AK20" s="560"/>
    </row>
    <row r="21" spans="2:37" s="67" customFormat="1" ht="23.25" customHeight="1">
      <c r="B21" s="107"/>
      <c r="E21" s="484"/>
      <c r="F21" s="594"/>
      <c r="G21" s="595"/>
      <c r="H21" s="594"/>
      <c r="I21" s="594"/>
      <c r="J21" s="594"/>
      <c r="K21" s="595"/>
      <c r="M21"/>
      <c r="N21"/>
      <c r="O21"/>
      <c r="P21"/>
      <c r="Q21"/>
      <c r="R21"/>
      <c r="S21"/>
      <c r="T21"/>
      <c r="U21"/>
      <c r="V21"/>
      <c r="W21"/>
      <c r="X21"/>
      <c r="Y21"/>
      <c r="Z21"/>
      <c r="AA21"/>
      <c r="AB21"/>
      <c r="AC21"/>
      <c r="AD21"/>
      <c r="AE21"/>
      <c r="AF21"/>
      <c r="AG21"/>
      <c r="AH21"/>
      <c r="AI21"/>
      <c r="AJ21"/>
      <c r="AK21"/>
    </row>
    <row r="22" spans="2:37" s="67" customFormat="1" ht="23.25" customHeight="1">
      <c r="B22" s="107"/>
      <c r="E22" s="484"/>
      <c r="F22" s="594"/>
      <c r="G22" s="595"/>
      <c r="H22" s="594"/>
      <c r="I22" s="594"/>
      <c r="J22" s="594"/>
      <c r="K22" s="595"/>
      <c r="M22"/>
      <c r="N22"/>
      <c r="O22"/>
      <c r="P22"/>
      <c r="Q22"/>
      <c r="R22"/>
      <c r="S22"/>
      <c r="T22"/>
      <c r="U22"/>
      <c r="V22"/>
      <c r="W22"/>
      <c r="X22"/>
      <c r="Y22"/>
      <c r="Z22"/>
      <c r="AA22"/>
      <c r="AB22"/>
      <c r="AC22"/>
      <c r="AD22"/>
      <c r="AE22"/>
      <c r="AF22"/>
      <c r="AG22"/>
      <c r="AH22"/>
      <c r="AI22"/>
      <c r="AJ22"/>
      <c r="AK22"/>
    </row>
    <row r="23" spans="2:37" s="67" customFormat="1" ht="23.25" customHeight="1">
      <c r="B23" s="107"/>
      <c r="E23" s="484"/>
      <c r="F23" s="594"/>
      <c r="G23" s="595"/>
      <c r="H23" s="594"/>
      <c r="I23" s="594"/>
      <c r="J23" s="594"/>
      <c r="K23" s="595"/>
      <c r="M23"/>
      <c r="N23"/>
      <c r="O23"/>
      <c r="P23"/>
      <c r="Q23"/>
      <c r="R23"/>
      <c r="S23"/>
      <c r="T23"/>
      <c r="U23"/>
      <c r="V23"/>
      <c r="W23"/>
      <c r="X23"/>
      <c r="Y23"/>
      <c r="Z23"/>
      <c r="AA23"/>
      <c r="AB23"/>
      <c r="AC23"/>
      <c r="AD23"/>
      <c r="AE23"/>
      <c r="AF23"/>
      <c r="AG23"/>
      <c r="AH23"/>
      <c r="AI23"/>
      <c r="AJ23"/>
      <c r="AK23"/>
    </row>
  </sheetData>
  <sheetProtection/>
  <mergeCells count="7">
    <mergeCell ref="A3:A4"/>
    <mergeCell ref="B3:C4"/>
    <mergeCell ref="J3:K3"/>
    <mergeCell ref="H3:H4"/>
    <mergeCell ref="I3:I4"/>
    <mergeCell ref="F3:G3"/>
    <mergeCell ref="D3:E3"/>
  </mergeCells>
  <printOptions horizontalCentered="1"/>
  <pageMargins left="0.25" right="0.15" top="0.3" bottom="0.16" header="0.3" footer="0.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u_sar</dc:creator>
  <cp:keywords/>
  <dc:description/>
  <cp:lastModifiedBy>DELL</cp:lastModifiedBy>
  <cp:lastPrinted>2012-07-31T05:04:46Z</cp:lastPrinted>
  <dcterms:created xsi:type="dcterms:W3CDTF">2007-10-09T07:28:46Z</dcterms:created>
  <dcterms:modified xsi:type="dcterms:W3CDTF">2016-06-07T08:00:13Z</dcterms:modified>
  <cp:category/>
  <cp:version/>
  <cp:contentType/>
  <cp:contentStatus/>
</cp:coreProperties>
</file>