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840" windowWidth="19320" windowHeight="9420" tabRatio="934" activeTab="0"/>
  </bookViews>
  <sheets>
    <sheet name="ApI" sheetId="1" r:id="rId1"/>
    <sheet name="AnII" sheetId="2" r:id="rId2"/>
    <sheet name="ApIII" sheetId="3" r:id="rId3"/>
    <sheet name="ApIV" sheetId="4" r:id="rId4"/>
    <sheet name="ApV" sheetId="5" r:id="rId5"/>
    <sheet name="AnVI" sheetId="6" r:id="rId6"/>
    <sheet name="ApVII" sheetId="7" r:id="rId7"/>
    <sheet name="ApVIII" sheetId="8" r:id="rId8"/>
    <sheet name="ApIX" sheetId="9" r:id="rId9"/>
    <sheet name="ApX" sheetId="10" r:id="rId10"/>
    <sheet name="AnXI" sheetId="11" r:id="rId11"/>
    <sheet name="ApXII" sheetId="12" r:id="rId12"/>
    <sheet name="ApXIII" sheetId="13" r:id="rId13"/>
    <sheet name="Framework" sheetId="14" r:id="rId14"/>
    <sheet name="ApXV" sheetId="15" r:id="rId15"/>
  </sheets>
  <definedNames>
    <definedName name="country">#REF!</definedName>
    <definedName name="_xlnm.Print_Area" localSheetId="5">'AnVI'!$A$1:$K$10</definedName>
    <definedName name="_xlnm.Print_Area" localSheetId="10">'AnXI'!$A$3:$F$24</definedName>
    <definedName name="_xlnm.Print_Area" localSheetId="0">'ApI'!$A$4:$O$84</definedName>
    <definedName name="_xlnm.Print_Area" localSheetId="2">'ApIII'!$A$1:$S$57</definedName>
    <definedName name="_xlnm.Print_Area" localSheetId="3">'ApIV'!$A$1:$AQ$54</definedName>
    <definedName name="_xlnm.Print_Area" localSheetId="8">'ApIX'!$A$1:$K$30</definedName>
    <definedName name="_xlnm.Print_Area" localSheetId="6">'ApVII'!$A$1:$S$33</definedName>
    <definedName name="_xlnm.Print_Area" localSheetId="7">'ApVIII'!$A$1:$S$10</definedName>
    <definedName name="_xlnm.Print_Area" localSheetId="9">'ApX'!$A$4:$S$55</definedName>
    <definedName name="_xlnm.Print_Area" localSheetId="11">'ApXII'!$A$1:$W$25</definedName>
    <definedName name="_xlnm.Print_Area" localSheetId="12">'ApXIII'!$A$4:$N$32</definedName>
    <definedName name="_xlnm.Print_Area" localSheetId="14">'ApXV'!$A$1:$W$20</definedName>
    <definedName name="_xlnm.Print_Area" localSheetId="13">'Framework'!$A$4:$N$14</definedName>
    <definedName name="_xlnm.Print_Titles" localSheetId="1">'AnII'!$A:$A,'AnII'!$1:$2</definedName>
    <definedName name="_xlnm.Print_Titles" localSheetId="10">'AnXI'!$1:$2</definedName>
    <definedName name="_xlnm.Print_Titles" localSheetId="0">'ApI'!$1:$3</definedName>
    <definedName name="_xlnm.Print_Titles" localSheetId="2">'ApIII'!$1:$4</definedName>
    <definedName name="_xlnm.Print_Titles" localSheetId="3">'ApIV'!$A:$A,'ApIV'!$2:$3</definedName>
    <definedName name="_xlnm.Print_Titles" localSheetId="8">'ApIX'!$1:$4</definedName>
    <definedName name="_xlnm.Print_Titles" localSheetId="4">'ApV'!$1:$3</definedName>
    <definedName name="_xlnm.Print_Titles" localSheetId="6">'ApVII'!$1:$3</definedName>
    <definedName name="_xlnm.Print_Titles" localSheetId="9">'ApX'!$1:$3</definedName>
    <definedName name="_xlnm.Print_Titles" localSheetId="11">'ApXII'!$A:$A,'ApXII'!$1:$3</definedName>
    <definedName name="_xlnm.Print_Titles" localSheetId="12">'ApXIII'!$1:$3</definedName>
    <definedName name="_xlnm.Print_Titles" localSheetId="14">'ApXV'!$1:$1</definedName>
    <definedName name="_xlnm.Print_Titles" localSheetId="13">'Framework'!$1:$3</definedName>
  </definedNames>
  <calcPr fullCalcOnLoad="1"/>
</workbook>
</file>

<file path=xl/sharedStrings.xml><?xml version="1.0" encoding="utf-8"?>
<sst xmlns="http://schemas.openxmlformats.org/spreadsheetml/2006/main" count="1168" uniqueCount="468">
  <si>
    <t>(No. : Persons, Value : '000 Baht)</t>
  </si>
  <si>
    <t>Country</t>
  </si>
  <si>
    <t>Bilateral</t>
  </si>
  <si>
    <t>TIPP</t>
  </si>
  <si>
    <t>AITC</t>
  </si>
  <si>
    <t>TCDC</t>
  </si>
  <si>
    <t>Trilateral</t>
  </si>
  <si>
    <t>Total TICP</t>
  </si>
  <si>
    <t>No.*</t>
  </si>
  <si>
    <t>Value</t>
  </si>
  <si>
    <t>No.</t>
  </si>
  <si>
    <t xml:space="preserve">   - Cambodia</t>
  </si>
  <si>
    <t xml:space="preserve">   - Lao PDR</t>
  </si>
  <si>
    <t xml:space="preserve">   - Myanmar</t>
  </si>
  <si>
    <t xml:space="preserve">   - Vietnam</t>
  </si>
  <si>
    <t>2. SOUTHEAST ASIA</t>
  </si>
  <si>
    <t xml:space="preserve">   - Indonesia</t>
  </si>
  <si>
    <t xml:space="preserve">   - Malaysia</t>
  </si>
  <si>
    <t xml:space="preserve">   - Philippines</t>
  </si>
  <si>
    <t xml:space="preserve">   - Timor Leste</t>
  </si>
  <si>
    <t>3. EAST ASIA</t>
  </si>
  <si>
    <t xml:space="preserve">   - China</t>
  </si>
  <si>
    <t xml:space="preserve">   - Mongolia</t>
  </si>
  <si>
    <t>4. SOUTH ASIA AND MIDDLE EAST</t>
  </si>
  <si>
    <t xml:space="preserve">   - Bangladesh</t>
  </si>
  <si>
    <t xml:space="preserve">   - Bhutan</t>
  </si>
  <si>
    <t xml:space="preserve">   - India</t>
  </si>
  <si>
    <t xml:space="preserve">   - Iran</t>
  </si>
  <si>
    <t xml:space="preserve">   - Jordan</t>
  </si>
  <si>
    <t xml:space="preserve">   - Maldives</t>
  </si>
  <si>
    <t xml:space="preserve">   - Nepal</t>
  </si>
  <si>
    <t xml:space="preserve">   - Pakistan</t>
  </si>
  <si>
    <t xml:space="preserve">   - Sri Lanka</t>
  </si>
  <si>
    <t>5. THE PACIFIC</t>
  </si>
  <si>
    <t xml:space="preserve">   - Tajikistan</t>
  </si>
  <si>
    <t xml:space="preserve">   - Uzbekistan</t>
  </si>
  <si>
    <t xml:space="preserve">   - Burundi</t>
  </si>
  <si>
    <t xml:space="preserve">   - Egypt</t>
  </si>
  <si>
    <t xml:space="preserve">   - Gambia</t>
  </si>
  <si>
    <t xml:space="preserve">   - Kenya</t>
  </si>
  <si>
    <t xml:space="preserve">   - Madagascar</t>
  </si>
  <si>
    <t xml:space="preserve">   - Malawi</t>
  </si>
  <si>
    <t xml:space="preserve">   - Mauritius</t>
  </si>
  <si>
    <t xml:space="preserve">   - Morocco</t>
  </si>
  <si>
    <t xml:space="preserve">   - Mozambique</t>
  </si>
  <si>
    <t xml:space="preserve">   - Nigeria</t>
  </si>
  <si>
    <t xml:space="preserve">   - Senegal</t>
  </si>
  <si>
    <t xml:space="preserve">   - Sudan</t>
  </si>
  <si>
    <t xml:space="preserve">   - Tanzania</t>
  </si>
  <si>
    <t xml:space="preserve">   - Uganda</t>
  </si>
  <si>
    <t xml:space="preserve">   - Zambia</t>
  </si>
  <si>
    <t xml:space="preserve">   - Chile</t>
  </si>
  <si>
    <t xml:space="preserve">   - Colombia</t>
  </si>
  <si>
    <t xml:space="preserve">   - Ecuador</t>
  </si>
  <si>
    <t xml:space="preserve">   - Mexico</t>
  </si>
  <si>
    <t xml:space="preserve">   - Peru</t>
  </si>
  <si>
    <t>GRAND TOTAL</t>
  </si>
  <si>
    <t>Development Project</t>
  </si>
  <si>
    <t xml:space="preserve">Expert/ Mission </t>
  </si>
  <si>
    <t>Equipment</t>
  </si>
  <si>
    <t>Others</t>
  </si>
  <si>
    <t>TOTAL</t>
  </si>
  <si>
    <t>Study</t>
  </si>
  <si>
    <t>Expert/Mission</t>
  </si>
  <si>
    <t>1. THE FOUR NEIGHBOURING COUNTRIES</t>
  </si>
  <si>
    <t>6. AFRICA</t>
  </si>
  <si>
    <t>Agriculture</t>
  </si>
  <si>
    <t>Communications</t>
  </si>
  <si>
    <t>Education</t>
  </si>
  <si>
    <t>Information Technology</t>
  </si>
  <si>
    <t>Infrastructure &amp; Public Utilities</t>
  </si>
  <si>
    <t>Labour &amp; Employment</t>
  </si>
  <si>
    <t>Natural Resources &amp; Environment</t>
  </si>
  <si>
    <t>Public Administration</t>
  </si>
  <si>
    <t>Public Health</t>
  </si>
  <si>
    <t>Science &amp; Technology</t>
  </si>
  <si>
    <t>Social Development &amp; Welfare</t>
  </si>
  <si>
    <t>Tourism</t>
  </si>
  <si>
    <t>Economics</t>
  </si>
  <si>
    <t>Energy</t>
  </si>
  <si>
    <t>1. THE FOUR NEIGHBOURING COUNTRIES :</t>
  </si>
  <si>
    <t xml:space="preserve">    - Cambodia</t>
  </si>
  <si>
    <t xml:space="preserve">    - Lao PDR</t>
  </si>
  <si>
    <t xml:space="preserve">    - Myanmar</t>
  </si>
  <si>
    <t xml:space="preserve">    - Vietnam</t>
  </si>
  <si>
    <t xml:space="preserve">    - Mongolia</t>
  </si>
  <si>
    <t xml:space="preserve">    - Timor Leste</t>
  </si>
  <si>
    <t>Trade, Services &amp; Investment</t>
  </si>
  <si>
    <t xml:space="preserve">    - Bhutan</t>
  </si>
  <si>
    <t xml:space="preserve">    - China</t>
  </si>
  <si>
    <t xml:space="preserve">    - Indonesia</t>
  </si>
  <si>
    <t xml:space="preserve">    - Philippines</t>
  </si>
  <si>
    <t xml:space="preserve">    - Bangladesh</t>
  </si>
  <si>
    <t xml:space="preserve">    - Nepal</t>
  </si>
  <si>
    <t xml:space="preserve">    - Sri Lanka</t>
  </si>
  <si>
    <t xml:space="preserve">  (No. : Persons, Value : '000 Baht)</t>
  </si>
  <si>
    <t>Project</t>
  </si>
  <si>
    <t>Cambodia</t>
  </si>
  <si>
    <t xml:space="preserve"> - Special Project</t>
  </si>
  <si>
    <t xml:space="preserve"> - Development Project</t>
  </si>
  <si>
    <t>Sub-Total</t>
  </si>
  <si>
    <t>Lao PDR</t>
  </si>
  <si>
    <t xml:space="preserve">  - Development Project</t>
  </si>
  <si>
    <t>Vietnam</t>
  </si>
  <si>
    <t xml:space="preserve">   - Education</t>
  </si>
  <si>
    <t>The Teaching Thai Language at the University of Danang</t>
  </si>
  <si>
    <t>Natural Resources and Environment</t>
  </si>
  <si>
    <t xml:space="preserve"> </t>
  </si>
  <si>
    <t>1. EAST ASIA</t>
  </si>
  <si>
    <t xml:space="preserve">   - Thai to China</t>
  </si>
  <si>
    <t>Training</t>
  </si>
  <si>
    <t>Total</t>
  </si>
  <si>
    <t xml:space="preserve">    (No. : Persons, Value : '000 Baht)</t>
  </si>
  <si>
    <t xml:space="preserve">    - Malaysia</t>
  </si>
  <si>
    <t xml:space="preserve">    - Iran</t>
  </si>
  <si>
    <t xml:space="preserve">    - Jordan</t>
  </si>
  <si>
    <t xml:space="preserve">    - Maldives</t>
  </si>
  <si>
    <t xml:space="preserve">    - Pakistan</t>
  </si>
  <si>
    <t xml:space="preserve">    - Egypt</t>
  </si>
  <si>
    <t xml:space="preserve">    - Kenya</t>
  </si>
  <si>
    <t xml:space="preserve">    - Madagascar</t>
  </si>
  <si>
    <t xml:space="preserve">    - Sudan</t>
  </si>
  <si>
    <t xml:space="preserve">    - Uganda</t>
  </si>
  <si>
    <t>Cooperation Partner</t>
  </si>
  <si>
    <t>Project/Course</t>
  </si>
  <si>
    <t>Sector</t>
  </si>
  <si>
    <t>Beneficiary</t>
  </si>
  <si>
    <t>JICA</t>
  </si>
  <si>
    <t>UNFPA</t>
  </si>
  <si>
    <t xml:space="preserve"> (No. : Persons, Value : '000 Baht)</t>
  </si>
  <si>
    <t>1. THE FOUR NEIGHBORING COUNTRIES :</t>
  </si>
  <si>
    <t xml:space="preserve">    - Tanzania</t>
  </si>
  <si>
    <t>Project Name</t>
  </si>
  <si>
    <t>2. OTHERS</t>
  </si>
  <si>
    <t xml:space="preserve">      (No. : Person, Value : '000 Baht)</t>
  </si>
  <si>
    <t>Cooperation Framework**</t>
  </si>
  <si>
    <t>7. CIS</t>
  </si>
  <si>
    <t>8. LATIN AMERICA</t>
  </si>
  <si>
    <t>*  :  Only Fellowships</t>
  </si>
  <si>
    <t xml:space="preserve"> *  :  Only Fellowship</t>
  </si>
  <si>
    <t xml:space="preserve"> ****  :  DC &amp; LDC Meeting, Study and Research, Thai Participants</t>
  </si>
  <si>
    <t xml:space="preserve"> ***  :  No. of Participants facilitated by TICA</t>
  </si>
  <si>
    <t xml:space="preserve">1. THE FOUR NEIGHBOURING COUNTRIES </t>
  </si>
  <si>
    <t xml:space="preserve">   - Fiji</t>
  </si>
  <si>
    <t>Industry</t>
  </si>
  <si>
    <t xml:space="preserve">    - Fiji</t>
  </si>
  <si>
    <t>9. OTHERS*</t>
  </si>
  <si>
    <t>France</t>
  </si>
  <si>
    <t>Justice</t>
  </si>
  <si>
    <t xml:space="preserve">  - Education</t>
  </si>
  <si>
    <t xml:space="preserve">  - Public Health</t>
  </si>
  <si>
    <t xml:space="preserve">  - Agriculture</t>
  </si>
  <si>
    <t xml:space="preserve">   - Swaziland</t>
  </si>
  <si>
    <t>Communication</t>
  </si>
  <si>
    <t>Senegal</t>
  </si>
  <si>
    <t>Bhutan</t>
  </si>
  <si>
    <t xml:space="preserve">   - Botswana</t>
  </si>
  <si>
    <t>Science and Technology</t>
  </si>
  <si>
    <t>The Teaching Thai Language at the College of Foreign Languages, VNU, Hanoi</t>
  </si>
  <si>
    <t xml:space="preserve">   - Argentina</t>
  </si>
  <si>
    <t xml:space="preserve">** :  DC &amp; LDC Meeting, Study and Research, Thai Participants </t>
  </si>
  <si>
    <t>10. OTHERS****</t>
  </si>
  <si>
    <t>ACMECS</t>
  </si>
  <si>
    <t>GMS</t>
  </si>
  <si>
    <t>**  :  ACMECS, BIMSTEC, GMS</t>
  </si>
  <si>
    <t>Sub Total</t>
  </si>
  <si>
    <t xml:space="preserve">Energy </t>
  </si>
  <si>
    <t>โครงการพัฒนาหลักสูตรนานาชาติระดับปริญญาโท สาขาการศึกษาทางด้านการพัฒนาของมหาวิทยาลัยแห่งชาติลาว</t>
  </si>
  <si>
    <t>The Project on Training Program in Technology of Medicine &amp; Public Health Personnel from Lao PDR initiated by HRH Princess Maha Chakri Sirindhorn Phrase II</t>
  </si>
  <si>
    <t>Curriculum Development in Teaching Thai Language at Yangon University of Foreign Language</t>
  </si>
  <si>
    <t xml:space="preserve">   - Costa Rica</t>
  </si>
  <si>
    <t xml:space="preserve">    - Chile</t>
  </si>
  <si>
    <t>GTZ</t>
  </si>
  <si>
    <t xml:space="preserve">    - Zambia</t>
  </si>
  <si>
    <t>โครงการพัฒนาศักยภาพในด้านการเกษตรของมหาวิทยาลัยจำปาสัก</t>
  </si>
  <si>
    <t>โครงการพัฒนาบุคลากรคณะเกษตรนาบง มหาวิทยาลัยแห่งชาติลาว</t>
  </si>
  <si>
    <t xml:space="preserve">  - Social Development &amp; Welfare</t>
  </si>
  <si>
    <t xml:space="preserve">   - El Salvador</t>
  </si>
  <si>
    <t xml:space="preserve">   - Paraguay</t>
  </si>
  <si>
    <t>* Unclassified Recipient Country</t>
  </si>
  <si>
    <t>Studies on the Correlation between the Nanocomplex / Nanoparticles Structure and Intestinal Absorption of Macromolecules</t>
  </si>
  <si>
    <t>Community Health Management and Community Empowerment towards Healthy Community</t>
  </si>
  <si>
    <t xml:space="preserve">    - Argentina</t>
  </si>
  <si>
    <t xml:space="preserve">   - Cook Islands</t>
  </si>
  <si>
    <t xml:space="preserve">    - Cook Islands</t>
  </si>
  <si>
    <t xml:space="preserve">   - Ethiopia</t>
  </si>
  <si>
    <t>โครงการพัฒนาคณะพยาบาลศาสตร์ มหาวิทยาลัยวิทยาศาสตร์ สุขภาพ</t>
  </si>
  <si>
    <t>โครงการพัฒนาหลักสูตรการสอนภาษาไทย ณ ม. พนมเปญ</t>
  </si>
  <si>
    <t xml:space="preserve">     - Argentina</t>
  </si>
  <si>
    <t xml:space="preserve">     - Chile</t>
  </si>
  <si>
    <t xml:space="preserve">     - El Salvador</t>
  </si>
  <si>
    <t xml:space="preserve">     -  Kenya</t>
  </si>
  <si>
    <t xml:space="preserve">     -  Madagascar</t>
  </si>
  <si>
    <t xml:space="preserve">     -  Peru</t>
  </si>
  <si>
    <t xml:space="preserve">     - Senegal</t>
  </si>
  <si>
    <t xml:space="preserve">     - Swaziland</t>
  </si>
  <si>
    <t xml:space="preserve">2. SOUTHEAST ASIA </t>
  </si>
  <si>
    <t xml:space="preserve">    - Seychelles</t>
  </si>
  <si>
    <t>Fellowship (IR)</t>
  </si>
  <si>
    <r>
      <t>No.</t>
    </r>
    <r>
      <rPr>
        <b/>
        <vertAlign val="superscript"/>
        <sz val="14"/>
        <rFont val="Cordia New"/>
        <family val="2"/>
      </rPr>
      <t>***</t>
    </r>
  </si>
  <si>
    <t xml:space="preserve">   - Seychelles</t>
  </si>
  <si>
    <t>๑. ประเทศเพื่อนบ้าน ๔ ประเทศ</t>
  </si>
  <si>
    <t xml:space="preserve">    - Burundi</t>
  </si>
  <si>
    <t xml:space="preserve">    - Eritrea</t>
  </si>
  <si>
    <t>Capacity Development of the College of Natural Resources</t>
  </si>
  <si>
    <t xml:space="preserve">  - Natural Resources &amp; Environment</t>
  </si>
  <si>
    <t>โครงการอาสาสมัครเพื่อนไทย</t>
  </si>
  <si>
    <t xml:space="preserve">  - Public Adminisdtration</t>
  </si>
  <si>
    <t>The Joint Fellowship Programme for Doctoral Students under the Royal Golden Jubilee Programme/ Biotechnology
Beneficiary : Myanmar (0)</t>
  </si>
  <si>
    <t>The Joint Fellowship Programme for Doctoral Students under the Royal Golden Jubilee Programme/ Tropical Agriculture / Agronomy
Beneficiary : Myanmar (0)</t>
  </si>
  <si>
    <t>แผนงานโครงการความร่วมมือมหาวิทยาลัยเชียงใหม่ กับ มหาวิทยาลัยสุพานุวง</t>
  </si>
  <si>
    <t>- โครงการพัฒนาหลักสูตรปรุงแต่งกสิกรรม (Agro- Processing) มหาวิทยาลัยสุพานุวง</t>
  </si>
  <si>
    <t>- โครงการพัฒนาบุคลากรมหาวิทยาลัยสุพานุวง</t>
  </si>
  <si>
    <t>โครงการพัฒนาวิทยาลัยพลศึกษา สาขาการจัดการกีฬา และการสอนกีฬา</t>
  </si>
  <si>
    <t>โครงการพัฒนาวิทยาลัยศิลปศึกษา</t>
  </si>
  <si>
    <t>โครงการพัฒนาห้องปฎิบัติการวิจัยโรคปลา</t>
  </si>
  <si>
    <t>โครงการตามแผนงานความร่วมมือระยะยาวด้านอาชีวศึกษา</t>
  </si>
  <si>
    <t>โครงการพัฒนาห้องปฏิบัติการวิเคราะห์คุณภาพอาหารสัตว์</t>
  </si>
  <si>
    <t>โครงการความร่วมมือไทย-ลาว เพื่อพัฒนาทรัพยากรธรณีอย่างยั่งยืน</t>
  </si>
  <si>
    <t>โครงการนำร่องการพัฒนาระบบ ICT เพื่อพัฒนาระบบฐานข้อมูลด้านการค้าอุตสาหกรรม และวิสาหกิจขนาดกลางและเล็กใน  5 แขวงของ สปป ลาว</t>
  </si>
  <si>
    <t>โครงการพระราชทานความช่วยเหลือแก่กัมพูชาด้านสาธารณสุข (มาเลเรีย)</t>
  </si>
  <si>
    <t>Cooperation Framework</t>
  </si>
  <si>
    <t xml:space="preserve"> - Education</t>
  </si>
  <si>
    <t xml:space="preserve"> - Agriculture</t>
  </si>
  <si>
    <t xml:space="preserve"> - Energy</t>
  </si>
  <si>
    <t xml:space="preserve"> - Public Health</t>
  </si>
  <si>
    <t xml:space="preserve"> - Sciences &amp; Technology</t>
  </si>
  <si>
    <t xml:space="preserve">    - Gambia</t>
  </si>
  <si>
    <t xml:space="preserve">    - Malawi</t>
  </si>
  <si>
    <t xml:space="preserve">   - Eritrea</t>
  </si>
  <si>
    <t xml:space="preserve">    - Mozambique</t>
  </si>
  <si>
    <t xml:space="preserve">   - Guinea</t>
  </si>
  <si>
    <t>Other *</t>
  </si>
  <si>
    <t xml:space="preserve">   - Palestine</t>
  </si>
  <si>
    <t xml:space="preserve">   - South Africa</t>
  </si>
  <si>
    <t xml:space="preserve">   - Turkey</t>
  </si>
  <si>
    <t xml:space="preserve">     - Jordan</t>
  </si>
  <si>
    <t xml:space="preserve">     -  Morocco</t>
  </si>
  <si>
    <t xml:space="preserve">     - Pakistan</t>
  </si>
  <si>
    <t xml:space="preserve"> *  :   Thai Participants</t>
  </si>
  <si>
    <t xml:space="preserve">     - Uganda</t>
  </si>
  <si>
    <t xml:space="preserve">     - Maldives</t>
  </si>
  <si>
    <t xml:space="preserve">Scholarship : Myanmar </t>
  </si>
  <si>
    <t>8. EASTERN EUROPE</t>
  </si>
  <si>
    <t>9. LATIN AMERICA</t>
  </si>
  <si>
    <t>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</t>
  </si>
  <si>
    <t>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</t>
  </si>
  <si>
    <t>\\\\\\\\\\\\\\\\\\\\\\\\\\\\\\\\\\\\\\\\\\\\\\\\\\\\\\\\\</t>
  </si>
  <si>
    <t>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</t>
  </si>
  <si>
    <t>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\</t>
  </si>
  <si>
    <t>Crop Simulation Modeling and Impacts of Climate Change on Agricultural Production Systems : a Training Programme on DSSAT</t>
  </si>
  <si>
    <t>Food Security-Postharvest, Processing and Quality Assurance of Selected Agro-Industrial Products</t>
  </si>
  <si>
    <t>Modern Technology for Sustainable Agricultural Systems</t>
  </si>
  <si>
    <t>Utilizing Indigenous Food Resources for Food Security</t>
  </si>
  <si>
    <t>Grassroots Economic Development Following Suffiency Economy Philosophy</t>
  </si>
  <si>
    <t xml:space="preserve">   - Cuba</t>
  </si>
  <si>
    <t xml:space="preserve">    - Ethiopia</t>
  </si>
  <si>
    <t xml:space="preserve">    - Mauritius</t>
  </si>
  <si>
    <t xml:space="preserve">   - Samoa</t>
  </si>
  <si>
    <t xml:space="preserve">    - Samoa</t>
  </si>
  <si>
    <t>โครงการพัฒนาสื่ออิเล็กทรอนิกส์เพื่อการเรียนการสอนระดับมัธยมศึกษาตอนปลาย</t>
  </si>
  <si>
    <t>โครงการพัฒนาโรงพยาบาลเมืองปากซอง</t>
  </si>
  <si>
    <t>โครงการพัฒนาศักยภาพบุคคลากรด้านการบำบัดรักษาและฟื้นฟูสมรรถภาพผู้ติดยาเสพติด</t>
  </si>
  <si>
    <t xml:space="preserve">   - Economic</t>
  </si>
  <si>
    <t>โครงการพัฒนาเขตเศรษฐกิจพิเศษทวายและพื้นที่โครงการที่เกี่ยวข้อง</t>
  </si>
  <si>
    <t>- แผนงานสนับสนุนการเป็นเจ้าภาพการแข่งขันกีฬาซีเกมส์ ปี 56</t>
  </si>
  <si>
    <t xml:space="preserve">The Plastic Forming Line Based on Robotic and Profi-Bus Technology </t>
  </si>
  <si>
    <t>Application of Ion Beam Biotechnology for Crop Improvement</t>
  </si>
  <si>
    <t xml:space="preserve">Co-authoring Quality Control Standards of Commonly Used Chiness Material and Chinese Patent Medicine </t>
  </si>
  <si>
    <t>Hybrid Rice Technology</t>
  </si>
  <si>
    <t>Resistant and Superior Quality Mulberry and Silkworm Varieties Selection and the Demonstration of China - Thailand</t>
  </si>
  <si>
    <t>Development of PVDF Hollow Fiber Membrane with Uniform Large Pores and Its Application Technology</t>
  </si>
  <si>
    <t xml:space="preserve">Comparative Study between Chinese and Thai Traditional Medicines : Pilot Study of Neuro-Protecttive Activities Based </t>
  </si>
  <si>
    <t>Strategic Feeding Schemes to Minimize the Heat Stress Effect on Milk Production Energy Balance and Reproduction in Dairy Cattle</t>
  </si>
  <si>
    <t>Knowledge Management of Acupuncture Treatment of Cerebrovascular Disease in Thailand</t>
  </si>
  <si>
    <t xml:space="preserve">A Development on Chinese - Thai Automatic Machine Translation </t>
  </si>
  <si>
    <t xml:space="preserve">Channel Building for China - Thailand Eco- Energy Technology Transfer and Innovation Cooperation </t>
  </si>
  <si>
    <t xml:space="preserve">Studying of Thai Ancient Glasses Using Synchrotron Radiation </t>
  </si>
  <si>
    <t>Observation and Studies of Low Mass Ratio, Deep Over-contact Binary Stars</t>
  </si>
  <si>
    <t>Mozambique</t>
  </si>
  <si>
    <t>โครงการเพาะเลี้ยงปลานิลแดง</t>
  </si>
  <si>
    <t xml:space="preserve">   - Public Administration</t>
  </si>
  <si>
    <t xml:space="preserve">  - Public Administration</t>
  </si>
  <si>
    <t>Tanzania</t>
  </si>
  <si>
    <t>Bangladesh</t>
  </si>
  <si>
    <t>Argentina</t>
  </si>
  <si>
    <t>- Agriculture</t>
  </si>
  <si>
    <t>others</t>
  </si>
  <si>
    <t>Strengthening National Good Agricultural Practices (GAP) \in Lao PDR
Beneficiary :  Lao PDR</t>
  </si>
  <si>
    <t xml:space="preserve">- Consultation with Expert to Revise existing LCB Organization </t>
  </si>
  <si>
    <t>NORAD</t>
  </si>
  <si>
    <t>Strengthening Cooperative and SMEs in Central Vietnam 
Beneficiary : Vietnam</t>
  </si>
  <si>
    <t>Harmonization of Power Distribution System in ASEAN Countries ครั้งที่ 2
Beneficiary : Cambodia (5), Lao PDR (5), Myanmar (5), Vietnam (4)</t>
  </si>
  <si>
    <t xml:space="preserve">    - Oman</t>
  </si>
  <si>
    <t>Transportation</t>
  </si>
  <si>
    <t>CSEP</t>
  </si>
  <si>
    <t>School under Her Royal Highness Princess Maha Chakri Sirindhorn Sponsorship to Contribute to Education for the Kingdom of Cambodia  (วิทยาลัยกำปงเฌอเตียล)</t>
  </si>
  <si>
    <t>โครงการพระราชดำริเพื่อร่วมมือและแลกเปลี่ยนประสบการณ์ด้านวิชาการกับต่างประเทศของสถาบันวิจัยจุฬาภรณ์</t>
  </si>
  <si>
    <t xml:space="preserve">   - Oman</t>
  </si>
  <si>
    <t xml:space="preserve">Scholarship : Lao PDR </t>
  </si>
  <si>
    <t>Scholarship : Myanmar</t>
  </si>
  <si>
    <t>Scholarship : Lao PDR, Myanmar</t>
  </si>
  <si>
    <t>Myanmar</t>
  </si>
  <si>
    <t xml:space="preserve">   - Afganistan</t>
  </si>
  <si>
    <t xml:space="preserve">   - Eritea</t>
  </si>
  <si>
    <t xml:space="preserve">    - Turkey</t>
  </si>
  <si>
    <t xml:space="preserve">     - Tanzania</t>
  </si>
  <si>
    <t>Other</t>
  </si>
  <si>
    <t xml:space="preserve">     - Sri Lanka</t>
  </si>
  <si>
    <t xml:space="preserve">      - Eritea</t>
  </si>
  <si>
    <t xml:space="preserve">      - Egypt</t>
  </si>
  <si>
    <t xml:space="preserve">      - Botswana</t>
  </si>
  <si>
    <t xml:space="preserve">     - Colombia</t>
  </si>
  <si>
    <t xml:space="preserve">     -  Mexico</t>
  </si>
  <si>
    <t xml:space="preserve">     -  Paraguay</t>
  </si>
  <si>
    <t>-  Agricuture</t>
  </si>
  <si>
    <t>Others * : DC LDC Meeting, Study and Research , Thai Participants</t>
  </si>
  <si>
    <t>10. OTHERS</t>
  </si>
  <si>
    <t>Appendix XV : Fellowship/Expert under Cooperation Framework (TICP FY 2013)</t>
  </si>
  <si>
    <t xml:space="preserve">Appendix I : Total Value of Thai International Cooperation Programme by type of Programme (TICP FY 2014)      </t>
  </si>
  <si>
    <t xml:space="preserve">Appendix III : Bilateral Programme (TICP FY 2014)                                                                                                                                              </t>
  </si>
  <si>
    <t xml:space="preserve">Appendix V : Project under Bilateral Programme (TICP FY 2014)                                                                                                                            </t>
  </si>
  <si>
    <t xml:space="preserve">Appendix VI : Expert/Mission under Non - Project (TICP FY 2014)                                                                     </t>
  </si>
  <si>
    <t xml:space="preserve">Appendix VII : Fellowship under TIPP Programme (TICP FY 2014)                                                                                                                                    </t>
  </si>
  <si>
    <t xml:space="preserve">Appendix VIII : Technical Cooperation among Developing Countries Programmes by Sector (TICP FY 2014)                                                                                                                                    </t>
  </si>
  <si>
    <t xml:space="preserve">Appendix IX  : Technical Cooperation among Developing Countries Programmes for Joint Research Projects (TICP FY 2014)                                                                                                                                    </t>
  </si>
  <si>
    <t xml:space="preserve">Appendix X : Annual International Training Courses Programme (TICP FY 2014)                                                                                                                                     </t>
  </si>
  <si>
    <t>Appendix XI : Annual International Training Courses (TICP FY 2014)</t>
  </si>
  <si>
    <t>Appendix XII : Trilateral and Regional Cooperation Programme (TICP FY 2014)</t>
  </si>
  <si>
    <t>Appendix XIII : Trilateral and Regional Cooperation Programme (TICP FY 2014 )</t>
  </si>
  <si>
    <t>Appendix XIV : Project / Course under Cooperation Framework (TICP FY 2014 )</t>
  </si>
  <si>
    <t>Antimicrobial Resistance and Foodborne Diseases Associated with Livestock : Mechanism, Diagnosis and Control</t>
  </si>
  <si>
    <t>Bangladesh (2), Gambia (1), Georgia (1), Indonesia (2), Mexico (1), Nepal (2), Peru (1), Philippines (1), Thailand (1), Timor -leste (1), Vanuatu (1)</t>
  </si>
  <si>
    <t>Efypt (2), El Salvador (1), Jordan (1), Madaguscar (1), Nepal (2), Sri Lanka (1)</t>
  </si>
  <si>
    <t>Bangladesh (2), Costa Rica (1), Gambia (1), Indonesia (2), Maldives (1), Mexico (1), Nepal (2), Pakistan (2), Samoa (2), Sri Lanka (3), Thailand (2), Timor -Leste (1)</t>
  </si>
  <si>
    <t>Angola (1), Bahamas (1), Bangladesh (2),Fiji (1), Gambia (5), Maldives (1), Mexico (1), Pakistan (1), Peru (2), Tajikistan (1), Thailand (2), Timor-Leste (1), Zambia (1)</t>
  </si>
  <si>
    <t xml:space="preserve">Sufficiency Economy in the Context of Agricultural Development </t>
  </si>
  <si>
    <t>Cambodia (2), Indonesia (2), Lao PDR (2), Philippines (1), Thailand (2), Vietnam (2)</t>
  </si>
  <si>
    <t>Sufficiency Economy : Learning Organic Agriculture by Doing</t>
  </si>
  <si>
    <t>Bangladesh (1), Chile (2), Maldives (1), Philippines (1), Samoa (1), Sri Lanka (2),  Thailand (4)</t>
  </si>
  <si>
    <t>Global Warming Mitigation and Adaptation by Balancing Sustainable Energy Management (GSEM)</t>
  </si>
  <si>
    <t xml:space="preserve">Towards Green Growth with Waste Utilization </t>
  </si>
  <si>
    <t>Chile (1), Costa Rica (2), El Salvador (1), Ethiopia (1), Fiji (1), Georgia (1), Iran (1), Jordan (1), Mexico (2), Palestine (1), Peru (1), Thailand (1), Zambia (1)</t>
  </si>
  <si>
    <t xml:space="preserve">Sufficiency Economy to Wealthiness of the Nation </t>
  </si>
  <si>
    <t>Bahamas (1), Bangladesh (2), El Salvador (1), Jordan (1), Malawi (2), Nepal (2), Pakistan (1), Palestine (1), Samoa (2), Sri Lanka (2), Thailand (2), Uzbekistan (1)</t>
  </si>
  <si>
    <t>Household Food Security for Nutrition Well-being</t>
  </si>
  <si>
    <t>Bahamas (1), Cook Island (1), El Salvador (2), Ethiopia (1), Jordan (1), Maldives (1), Mauritius (1), Mexico (2), Pakistan (1), Samoa (1), Sri Lanka (2), Thailand (1), Timor-leste (1)</t>
  </si>
  <si>
    <t>Bangladesh(2), Chile (1), Ecuador (1), El Salvador (1), Fiji (1), Jordan (1), Maldives (1), Mauritius (1), Nepal (1), Pakistan (3), Paraguay (1), Sri Lanka (3), Thailand (2)</t>
  </si>
  <si>
    <t xml:space="preserve">    - Angola</t>
  </si>
  <si>
    <t xml:space="preserve">    - Bahamas</t>
  </si>
  <si>
    <t xml:space="preserve">   - Georgia</t>
  </si>
  <si>
    <t>Bangladesh (2), Cook Island (1), Gambia (2), Jordan (1), Maldives (1), Samoa (2), Sri Lanka (5), Thailand (2), Timor-Leste (2)</t>
  </si>
  <si>
    <t xml:space="preserve">    - Palestine</t>
  </si>
  <si>
    <t xml:space="preserve">   -Tajikistan</t>
  </si>
  <si>
    <t xml:space="preserve">   -Uzbekistan</t>
  </si>
  <si>
    <t xml:space="preserve">    - Vanuatu</t>
  </si>
  <si>
    <t>3. SOUTH ASIA AND MIDDLE EAST</t>
  </si>
  <si>
    <t>4. The Pacific</t>
  </si>
  <si>
    <t>5. AFRICA</t>
  </si>
  <si>
    <t>6. CIS</t>
  </si>
  <si>
    <t>7. EASTERN EUROPE</t>
  </si>
  <si>
    <t xml:space="preserve">    - El Salvador</t>
  </si>
  <si>
    <t xml:space="preserve">    - Guinea</t>
  </si>
  <si>
    <t>4. THE PACIFIC</t>
  </si>
  <si>
    <t>Cloning and Functional Characterization of Rice Os1 BGlu4 Beta-Glucosidase</t>
  </si>
  <si>
    <t>The Formulationof TCM Information  Standard in Thailand</t>
  </si>
  <si>
    <t>Genetic Analysis and Molecular Mapping of Bitter Ground Powdery Mildew Resistance Genes</t>
  </si>
  <si>
    <t xml:space="preserve">Mechanism of Biofertilizer and Biocontrol via Molecular and HPLC Technique to Increase Crop Production </t>
  </si>
  <si>
    <t xml:space="preserve">Study Visit on the Production, Logistics and Usage of Dimethy Ether (DME) as Alternatives for Household Cooking LPG and Diesel Fuel </t>
  </si>
  <si>
    <t>Biodiversity Impact and Control of Parasitism in Thailand and Chinese Honey Bees and Bumble Bees</t>
  </si>
  <si>
    <t>Molecular Mechanism of Plant Pathogenic Fungi Bio - Control by Trichoderma spp</t>
  </si>
  <si>
    <t xml:space="preserve">Quality Control of Silkworm Eggs Production </t>
  </si>
  <si>
    <t>Research and Development of Indigenous Pesticidal Plants with High Efficacy in Thailand</t>
  </si>
  <si>
    <t xml:space="preserve"> - Public Administration</t>
  </si>
  <si>
    <t>ประชุมคณะกรรมการร่วมระดับรัฐมนตรีว่าด้วยความร่วมมือทางวิทยาศาสตร์ละวิชาการไทย-จีน สมัยที่ 21</t>
  </si>
  <si>
    <t>Collaboration Project for Selection of Camelia Oil Tea in Thailand and China</t>
  </si>
  <si>
    <t>โครงการพัฒนาโรงพยาบาลแขวงบ่อแก้ว</t>
  </si>
  <si>
    <t>โครงการโรงเรียนมัธยมสมบูรณ์เมืองเวียงไช แขวงหัวพัน</t>
  </si>
  <si>
    <t>โครงการพัฒนาโรงพยาบาลเมืองโพนโฮง</t>
  </si>
  <si>
    <t xml:space="preserve">  - Information Technology</t>
  </si>
  <si>
    <t>โครงการปรับปรุงระบบสื่อสารข้อมูลข่าวสารอุตุนิยมวิทยาด้วยเทคนิค Web-Base และระบบพื้นฐานโครงร่าง IT</t>
  </si>
  <si>
    <t>โครงการพัฒนาสถาบันผู้บริหารการพัฒนาการศึกษา</t>
  </si>
  <si>
    <t>โครงการพัฒนาโรงเรียนเทคนิควิชาชีพแขวงสะหวันนะเขต</t>
  </si>
  <si>
    <t>โครงการส่งเสริมการศึกษาด้านโภชนาการชุมชนของ สปป. ลาว</t>
  </si>
  <si>
    <t xml:space="preserve">  - Communication</t>
  </si>
  <si>
    <t>โครงการใช้เทคโนโลยีข่าวสารและการสื่อสารสำหรับการศึกษาทางไกลผ่านโทรทัศน์และ CD-DVD-VCD</t>
  </si>
  <si>
    <t>แผนงานสร้างความเข้มแข็งด้านการจัดการทรัพยากรธรรมชาติและสิ่งแวดล้อม</t>
  </si>
  <si>
    <t xml:space="preserve"> -   Social Development &amp; Welfare</t>
  </si>
  <si>
    <t>โครงการพัฒนากลุ่มเกษตรกรปลูกผักและผลไม้เพื่อยกระดับมาตรฐานการผลิตสินค้าเกษตรของอาณาจักรกัมพูชา</t>
  </si>
  <si>
    <t>โครงการสอนภาษาไทย ณ ม. เมียนเจย</t>
  </si>
  <si>
    <t>โครงการFarmer Group Development for Improving Vegetable and Fruit Production Standard in Cambodia</t>
  </si>
  <si>
    <t>โครงการหมู่บ้านปศุสัตว์พัฒนาตามแนวชายแดนไทย-เมียนมาร์</t>
  </si>
  <si>
    <t>โครงการ Buffalo Development in Myanmar</t>
  </si>
  <si>
    <t>โครงการ Foot and Mouth Disease (FMD) Vaccine</t>
  </si>
  <si>
    <t>The Teaching Thai Language at the University of Hojiminh</t>
  </si>
  <si>
    <t xml:space="preserve">- ค่าใช้จ่ายในการหารือการจัดตั้ง Thai Center </t>
  </si>
  <si>
    <t xml:space="preserve">   - Public Health</t>
  </si>
  <si>
    <t>โครงการส่งเสริมความร่วมมือด้านสาธารณสุขไทย-เวียดนาม</t>
  </si>
  <si>
    <t xml:space="preserve">   - Trade, Services &amp; Investment</t>
  </si>
  <si>
    <t>โครงการความร่วมมือระหว่างสภาหอการค้าเมียนมาร์และไทย</t>
  </si>
  <si>
    <t xml:space="preserve">  -  Agriculture</t>
  </si>
  <si>
    <t>โครงการส่งเสริมด้านการเกษตร โดยเน้นพัฒนาผลิตภัณฑ์ OTOP</t>
  </si>
  <si>
    <t xml:space="preserve">Jordan </t>
  </si>
  <si>
    <t>- Social Development &amp; Welfare</t>
  </si>
  <si>
    <t>โครงการทำฝนหลวง</t>
  </si>
  <si>
    <t>โครงการจัดตั้งโรงเพาะพันธ์ปลาในเซเนกัล</t>
  </si>
  <si>
    <t>Colombia</t>
  </si>
  <si>
    <t xml:space="preserve">  - Tourism</t>
  </si>
  <si>
    <t>โครงการความร่วมมือด้านการท่องเที่ยวไทย - โคลอมเบีย</t>
  </si>
  <si>
    <t xml:space="preserve"> โครงการด้านการเลี้ยงผึ้ง ผลิตภัณฑ์ผึ้งและการตลาด</t>
  </si>
  <si>
    <t>โครงการช่วยเหลือผู้ประสบเหตุ ตึกถล่มที่บังคลาเทศ</t>
  </si>
  <si>
    <t>จัดซื้อ Walkie Talkie สำหรับใช้ในการติดต่อสื่อสารในอุทยานแห่งชาติ</t>
  </si>
  <si>
    <t>โครงการจัดทำแผนแม่บท (Master Plan) ระบบประปาในเมืองหลวงพระบาง</t>
  </si>
  <si>
    <t>โครงการพัฒนาบุคลากรศูนย์เทคโนโลยีข่าวสารการศึกษาและกีฬา</t>
  </si>
  <si>
    <t>โครงการปรับปรุงพัฒนาหน่วยจัดทำขาเทียม ณ ร.พ. National Institute of Traumatology and Orthopedic Rehabilitation</t>
  </si>
  <si>
    <t>คณะทำงานศึกษาและจัดทำแนวทางการให้ความช่วยเหลือทางการเงินและวิชาการแก่ประเทศภูฏาน</t>
  </si>
  <si>
    <t>Timor-Leste</t>
  </si>
  <si>
    <t xml:space="preserve">โครงการจัดตั้งหมู่บ้านต้นแบบตามหลักปรัชญาเศรษฐกิจพอเพียง ณ เมืองเฮร่า </t>
  </si>
  <si>
    <t>โครงการการจัดทำโรงเรียนต้นแบบการพัฒนาคุณภาพชีวิตเด็กและเยาวชนสำหรับครูจากเมียนมาร์ ในการพัฒนาเด็กและเยาวชนตามพระราชดำริฯ</t>
  </si>
  <si>
    <t>โครงการศึกษาดูงานการพัฒนาเด็กและเยาวชนสำหรับคณะผู้บริหารและครูจากติมอร์-เลสเต</t>
  </si>
  <si>
    <t xml:space="preserve">  -  Eduaction</t>
  </si>
  <si>
    <t>โครงการพัฒนาคุณภาพชีวิตเด็กและเยาวชนสำหรับครูภูฏานตามพระราชดำริฯ</t>
  </si>
  <si>
    <t>Operation on HIV/AIDs Prevention and Control 
Beneficiary : Cambodia (11), Lao PDR (6), Myanmar(5), Vietnam (6)</t>
  </si>
  <si>
    <t>Tourism Management Study Visit 
Beneficiary : Palestine (7)</t>
  </si>
  <si>
    <t>Policy Makers Conference 
Beneficiary : Thai (2)</t>
  </si>
  <si>
    <t>Validation Workshop on Thailand Reproductive Health and Maternal Pakage
Beneficiary : Thai (2)</t>
  </si>
  <si>
    <t>Strengthening of Measurement Standards Institutes of CLMV Countries Towards ASEAN Integration
Beneficiary : Cambodia (4), Lao PDR (1), Vietnam (5)</t>
  </si>
  <si>
    <t>Malaria Prevention and Control in Myanmar - Thailand border Areas
Beneficiary : Myanmar (47)</t>
  </si>
  <si>
    <t>Finland</t>
  </si>
  <si>
    <t>หารือกับหน่วยงานต่าง ๆ ภายใต้กรอบไตรภาคี
Beneficiary : Myanmar</t>
  </si>
  <si>
    <t>- คณะผู้แทนหารือเพื่อจัดทำแผนงานความร่วมมือระยะกลาง สาขาการพัฒนาชุมชน</t>
  </si>
  <si>
    <t>- คณะผู้แทนหารือเพื่อจัดทำรายละเอียดความต้องการพื้นที่สำหรับการพัฒนาโรงพยาบาลทวาย</t>
  </si>
  <si>
    <t>- คณะผู้แทนหารือเพื่อพัฒนา Technological University of Dawei และ Technical High Chool of Dawei</t>
  </si>
  <si>
    <t>Be</t>
  </si>
  <si>
    <t>Food Safety Management
Beneficiary : Cambodia (2), Malaysia (2), Myanmar (1), Vietnam (2)</t>
  </si>
  <si>
    <t>Logistic Management
Beneficiary : Lao PDR (1), Myanmar (2), Philippines (1), Timor Leste (2), Vietnam (1)</t>
  </si>
  <si>
    <t>- ประชุม Project Steering Committee</t>
  </si>
  <si>
    <t xml:space="preserve">   - Dominican Republic</t>
  </si>
  <si>
    <t xml:space="preserve">   - Guatemala</t>
  </si>
  <si>
    <t xml:space="preserve">   - Panama</t>
  </si>
  <si>
    <t xml:space="preserve">     - India</t>
  </si>
  <si>
    <t xml:space="preserve">     -  Mozambique</t>
  </si>
  <si>
    <t xml:space="preserve">     - Costa Rica</t>
  </si>
  <si>
    <t xml:space="preserve">     - Dominican Republic</t>
  </si>
  <si>
    <t xml:space="preserve">      - Ethiopia</t>
  </si>
  <si>
    <t xml:space="preserve">      - Gambia</t>
  </si>
  <si>
    <t xml:space="preserve">     - Guatemala</t>
  </si>
  <si>
    <t xml:space="preserve">     - Panama</t>
  </si>
  <si>
    <t xml:space="preserve">     - Zambia</t>
  </si>
  <si>
    <t>Study Visit on Promotion of Mechanization in Rice Sector for CARD Countries
Beneficiary : Gambia (1), Kenya (1), Nigeria (1), Tanzania (1)</t>
  </si>
  <si>
    <t>Training of Trainers on Promotion of Mechanization in Rice Sector for CARD Countries
Beneficiary : Ethiopia (2), Gambia (4), Kenya (4), Mozambique (1), Nigeria (3), Tanzania (3), Uganda (3)</t>
  </si>
  <si>
    <t>โครงการดูแลสิ่งแวดล้อมและการท่องเที่ยวบริเวณทะเลสาบอินเลของเมียนมาร์
Beneficiary : Myanmar (4)</t>
  </si>
  <si>
    <t xml:space="preserve">    - Nigeria</t>
  </si>
  <si>
    <t>โครงการ Energy and Environment Partnership - Mekong ภายใต้กรอบความร่วมมือไทย-ฟินแลนด์-เมียนมาร์
Beneficiary : Myanmar</t>
  </si>
  <si>
    <t>4. AFRICA</t>
  </si>
  <si>
    <t>5. OTHERS*</t>
  </si>
  <si>
    <t xml:space="preserve">   - South Africa </t>
  </si>
  <si>
    <t xml:space="preserve">    - South Africa</t>
  </si>
  <si>
    <t>GMS Follow-Up Workshop for Jint Standard Setting on Trafficking-in-person Victim Identification Guidelines and Standard Operating Procedures
Beneficiary : Cambodia (6), Lao PDR (6), Myanmar (7), Vietnam (2)</t>
  </si>
  <si>
    <t>6. LATIN AMERICA</t>
  </si>
  <si>
    <t>7. OTHERS**</t>
  </si>
  <si>
    <t>7. OTHERS*</t>
  </si>
  <si>
    <t xml:space="preserve">  -  Eritea</t>
  </si>
  <si>
    <t xml:space="preserve">   - Angola</t>
  </si>
  <si>
    <t xml:space="preserve">   - Vanuatu</t>
  </si>
  <si>
    <t xml:space="preserve">   - Bahamas</t>
  </si>
  <si>
    <t>Argentina (1), Bangladesh (2), Cuba (2), Pakistan (2), Samoa (2),Thailand (2),  Uzbekistan (1)</t>
  </si>
  <si>
    <t>Burundi (1), Chile (1), Indonesia (2), Jordan (3), Malawi (1), Mauritius (1), Mexico (1), Nepal (1), Oman (1), Philippines (1), Sri Lanka (4), Thailand (2)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</si>
</sst>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0.0"/>
    <numFmt numFmtId="206" formatCode="#,##0.0"/>
    <numFmt numFmtId="207" formatCode="_(* #,##0.000_);_(* \(#,##0.000\);_(* &quot;-&quot;??_);_(@_)"/>
    <numFmt numFmtId="208" formatCode="_(* #,##0.0_);_(* \(#,##0.0\);_(* &quot;-&quot;??_);_(@_)"/>
    <numFmt numFmtId="209" formatCode="_(* #,##0_);_(* \(#,##0\);_(* &quot;-&quot;??_);_(@_)"/>
    <numFmt numFmtId="210" formatCode="[$-409]dddd\,\ mmmm\ dd\,\ yyyy"/>
    <numFmt numFmtId="211" formatCode="[$-409]h:mm:ss\ AM/PM"/>
    <numFmt numFmtId="212" formatCode="_-* #,##0.000_-;\-* #,##0.000_-;_-* &quot;-&quot;??_-;_-@_-"/>
    <numFmt numFmtId="213" formatCode="_(* #,##0.0_);_(* \(#,##0.0\);_(* &quot;-&quot;?_);_(@_)"/>
    <numFmt numFmtId="214" formatCode="_-* #,##0.0000_-;\-* #,##0.0000_-;_-* &quot;-&quot;??_-;_-@_-"/>
    <numFmt numFmtId="215" formatCode="_-* #,##0.00000_-;\-* #,##0.00000_-;_-* &quot;-&quot;??_-;_-@_-"/>
    <numFmt numFmtId="216" formatCode="_-* #,##0.0_-;\-* #,##0.0_-;_-* &quot;-&quot;?_-;_-@_-"/>
    <numFmt numFmtId="217" formatCode="0.00000"/>
    <numFmt numFmtId="218" formatCode="0.0000"/>
    <numFmt numFmtId="219" formatCode="0.000"/>
    <numFmt numFmtId="220" formatCode="#,##0.0_ ;\-#,##0.0\ 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b/>
      <sz val="10"/>
      <name val="Cordia New"/>
      <family val="2"/>
    </font>
    <font>
      <b/>
      <sz val="12"/>
      <name val="Cordia New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Cordia New"/>
      <family val="2"/>
    </font>
    <font>
      <b/>
      <sz val="13.5"/>
      <name val="Cordia New"/>
      <family val="2"/>
    </font>
    <font>
      <sz val="10"/>
      <name val="Cordia New"/>
      <family val="2"/>
    </font>
    <font>
      <sz val="13"/>
      <name val="Cordia New"/>
      <family val="2"/>
    </font>
    <font>
      <b/>
      <sz val="11"/>
      <name val="Cordia New"/>
      <family val="2"/>
    </font>
    <font>
      <sz val="14"/>
      <name val="Arial"/>
      <family val="2"/>
    </font>
    <font>
      <b/>
      <sz val="13"/>
      <name val="Cordia New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16"/>
      <name val="Cordia Ne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color indexed="10"/>
      <name val="Cordia New"/>
      <family val="2"/>
    </font>
    <font>
      <sz val="12"/>
      <name val="Arial"/>
      <family val="2"/>
    </font>
    <font>
      <sz val="13.5"/>
      <name val="Cordia New"/>
      <family val="2"/>
    </font>
    <font>
      <sz val="13.5"/>
      <name val="Arial"/>
      <family val="2"/>
    </font>
    <font>
      <b/>
      <sz val="8"/>
      <name val="Arial"/>
      <family val="2"/>
    </font>
    <font>
      <b/>
      <sz val="15"/>
      <name val="Cordia New"/>
      <family val="2"/>
    </font>
    <font>
      <sz val="16"/>
      <name val="Arial"/>
      <family val="2"/>
    </font>
    <font>
      <b/>
      <sz val="13.5"/>
      <color indexed="10"/>
      <name val="Cordia New"/>
      <family val="2"/>
    </font>
    <font>
      <sz val="10"/>
      <color indexed="10"/>
      <name val="Arial"/>
      <family val="2"/>
    </font>
    <font>
      <b/>
      <sz val="13.5"/>
      <color indexed="8"/>
      <name val="Cordia New"/>
      <family val="2"/>
    </font>
    <font>
      <sz val="13.5"/>
      <color indexed="8"/>
      <name val="Cordia New"/>
      <family val="2"/>
    </font>
    <font>
      <b/>
      <sz val="14"/>
      <name val="Arial"/>
      <family val="2"/>
    </font>
    <font>
      <b/>
      <vertAlign val="superscript"/>
      <sz val="14"/>
      <name val="Cordia New"/>
      <family val="2"/>
    </font>
    <font>
      <sz val="13.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.5"/>
      <color theme="1"/>
      <name val="Cordia New"/>
      <family val="2"/>
    </font>
    <font>
      <sz val="13.5"/>
      <color theme="1"/>
      <name val="Cord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0" fillId="0" borderId="0">
      <alignment/>
      <protection/>
    </xf>
  </cellStyleXfs>
  <cellXfs count="1238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>
      <alignment/>
      <protection/>
    </xf>
    <xf numFmtId="204" fontId="6" fillId="0" borderId="0" xfId="45" applyNumberFormat="1" applyFont="1" applyAlignment="1">
      <alignment horizontal="center"/>
    </xf>
    <xf numFmtId="204" fontId="6" fillId="0" borderId="0" xfId="45" applyNumberFormat="1" applyFont="1" applyAlignment="1">
      <alignment/>
    </xf>
    <xf numFmtId="0" fontId="4" fillId="0" borderId="0" xfId="61">
      <alignment/>
      <protection/>
    </xf>
    <xf numFmtId="0" fontId="10" fillId="0" borderId="0" xfId="61" applyFont="1">
      <alignment/>
      <protection/>
    </xf>
    <xf numFmtId="0" fontId="5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11" fillId="0" borderId="0" xfId="61" applyFont="1" applyBorder="1">
      <alignment/>
      <protection/>
    </xf>
    <xf numFmtId="204" fontId="11" fillId="0" borderId="0" xfId="45" applyNumberFormat="1" applyFont="1" applyBorder="1" applyAlignment="1">
      <alignment horizontal="right"/>
    </xf>
    <xf numFmtId="204" fontId="11" fillId="0" borderId="0" xfId="45" applyNumberFormat="1" applyFont="1" applyBorder="1" applyAlignment="1">
      <alignment/>
    </xf>
    <xf numFmtId="0" fontId="11" fillId="0" borderId="0" xfId="61" applyFont="1" applyBorder="1" applyAlignment="1">
      <alignment horizontal="right"/>
      <protection/>
    </xf>
    <xf numFmtId="0" fontId="5" fillId="0" borderId="10" xfId="61" applyFont="1" applyBorder="1">
      <alignment/>
      <protection/>
    </xf>
    <xf numFmtId="204" fontId="11" fillId="0" borderId="0" xfId="45" applyNumberFormat="1" applyFont="1" applyBorder="1" applyAlignment="1">
      <alignment horizontal="center"/>
    </xf>
    <xf numFmtId="0" fontId="11" fillId="0" borderId="11" xfId="61" applyFont="1" applyBorder="1">
      <alignment/>
      <protection/>
    </xf>
    <xf numFmtId="204" fontId="11" fillId="0" borderId="11" xfId="45" applyNumberFormat="1" applyFont="1" applyBorder="1" applyAlignment="1">
      <alignment horizontal="right"/>
    </xf>
    <xf numFmtId="204" fontId="11" fillId="0" borderId="11" xfId="45" applyNumberFormat="1" applyFont="1" applyBorder="1" applyAlignment="1">
      <alignment horizontal="center"/>
    </xf>
    <xf numFmtId="0" fontId="7" fillId="0" borderId="0" xfId="61" applyFont="1" applyBorder="1" applyAlignment="1">
      <alignment horizontal="right"/>
      <protection/>
    </xf>
    <xf numFmtId="0" fontId="10" fillId="0" borderId="0" xfId="61" applyFont="1" applyBorder="1" applyAlignment="1">
      <alignment horizontal="center"/>
      <protection/>
    </xf>
    <xf numFmtId="0" fontId="10" fillId="0" borderId="0" xfId="61" applyFont="1" applyBorder="1">
      <alignment/>
      <protection/>
    </xf>
    <xf numFmtId="204" fontId="10" fillId="0" borderId="0" xfId="45" applyNumberFormat="1" applyFont="1" applyBorder="1" applyAlignment="1">
      <alignment horizontal="center"/>
    </xf>
    <xf numFmtId="204" fontId="10" fillId="0" borderId="0" xfId="45" applyNumberFormat="1" applyFont="1" applyBorder="1" applyAlignment="1">
      <alignment/>
    </xf>
    <xf numFmtId="204" fontId="12" fillId="0" borderId="0" xfId="45" applyNumberFormat="1" applyFont="1" applyAlignment="1">
      <alignment/>
    </xf>
    <xf numFmtId="0" fontId="12" fillId="0" borderId="0" xfId="61" applyFont="1" applyAlignment="1">
      <alignment horizontal="center"/>
      <protection/>
    </xf>
    <xf numFmtId="0" fontId="12" fillId="0" borderId="0" xfId="61" applyFont="1">
      <alignment/>
      <protection/>
    </xf>
    <xf numFmtId="209" fontId="5" fillId="0" borderId="0" xfId="42" applyNumberFormat="1" applyFont="1" applyAlignment="1">
      <alignment/>
    </xf>
    <xf numFmtId="209" fontId="10" fillId="0" borderId="0" xfId="42" applyNumberFormat="1" applyFont="1" applyBorder="1" applyAlignment="1">
      <alignment horizontal="center"/>
    </xf>
    <xf numFmtId="209" fontId="10" fillId="0" borderId="0" xfId="42" applyNumberFormat="1" applyFont="1" applyAlignment="1">
      <alignment/>
    </xf>
    <xf numFmtId="209" fontId="10" fillId="0" borderId="0" xfId="42" applyNumberFormat="1" applyFont="1" applyBorder="1" applyAlignment="1">
      <alignment/>
    </xf>
    <xf numFmtId="204" fontId="12" fillId="0" borderId="0" xfId="45" applyNumberFormat="1" applyFont="1" applyAlignment="1">
      <alignment horizontal="center"/>
    </xf>
    <xf numFmtId="204" fontId="10" fillId="0" borderId="0" xfId="61" applyNumberFormat="1" applyFont="1" applyBorder="1" applyAlignment="1">
      <alignment horizontal="center"/>
      <protection/>
    </xf>
    <xf numFmtId="204" fontId="12" fillId="0" borderId="0" xfId="61" applyNumberFormat="1" applyFont="1">
      <alignment/>
      <protection/>
    </xf>
    <xf numFmtId="0" fontId="5" fillId="0" borderId="0" xfId="60" applyFont="1">
      <alignment/>
      <protection/>
    </xf>
    <xf numFmtId="0" fontId="13" fillId="0" borderId="0" xfId="60" applyFont="1" applyAlignment="1">
      <alignment horizontal="center"/>
      <protection/>
    </xf>
    <xf numFmtId="204" fontId="13" fillId="0" borderId="0" xfId="45" applyNumberFormat="1" applyFont="1" applyAlignment="1">
      <alignment/>
    </xf>
    <xf numFmtId="0" fontId="13" fillId="0" borderId="0" xfId="60" applyFont="1" applyAlignment="1">
      <alignment horizontal="left"/>
      <protection/>
    </xf>
    <xf numFmtId="0" fontId="14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13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15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16" fillId="0" borderId="0" xfId="60" applyFont="1" applyBorder="1">
      <alignment/>
      <protection/>
    </xf>
    <xf numFmtId="204" fontId="7" fillId="0" borderId="0" xfId="68" applyNumberFormat="1" applyFont="1" applyBorder="1">
      <alignment/>
      <protection/>
    </xf>
    <xf numFmtId="0" fontId="16" fillId="0" borderId="11" xfId="60" applyFont="1" applyBorder="1">
      <alignment/>
      <protection/>
    </xf>
    <xf numFmtId="204" fontId="7" fillId="0" borderId="0" xfId="68" applyNumberFormat="1" applyFont="1" applyBorder="1" applyAlignment="1">
      <alignment horizontal="right"/>
      <protection/>
    </xf>
    <xf numFmtId="204" fontId="7" fillId="0" borderId="0" xfId="60" applyNumberFormat="1" applyFont="1" applyBorder="1">
      <alignment/>
      <protection/>
    </xf>
    <xf numFmtId="0" fontId="16" fillId="0" borderId="0" xfId="60" applyFont="1">
      <alignment/>
      <protection/>
    </xf>
    <xf numFmtId="0" fontId="16" fillId="0" borderId="0" xfId="60" applyFont="1">
      <alignment/>
      <protection/>
    </xf>
    <xf numFmtId="204" fontId="10" fillId="0" borderId="0" xfId="68" applyNumberFormat="1" applyFont="1">
      <alignment/>
      <protection/>
    </xf>
    <xf numFmtId="208" fontId="17" fillId="0" borderId="0" xfId="42" applyNumberFormat="1" applyFont="1" applyAlignment="1">
      <alignment/>
    </xf>
    <xf numFmtId="208" fontId="18" fillId="0" borderId="0" xfId="42" applyNumberFormat="1" applyFont="1" applyAlignment="1">
      <alignment/>
    </xf>
    <xf numFmtId="0" fontId="1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12" fillId="0" borderId="0" xfId="60" applyFont="1">
      <alignment/>
      <protection/>
    </xf>
    <xf numFmtId="0" fontId="7" fillId="0" borderId="0" xfId="60" applyFont="1" applyBorder="1">
      <alignment/>
      <protection/>
    </xf>
    <xf numFmtId="0" fontId="12" fillId="0" borderId="0" xfId="60" applyFont="1" applyBorder="1" applyAlignment="1">
      <alignment horizontal="center"/>
      <protection/>
    </xf>
    <xf numFmtId="204" fontId="12" fillId="0" borderId="0" xfId="45" applyNumberFormat="1" applyFont="1" applyBorder="1" applyAlignment="1">
      <alignment/>
    </xf>
    <xf numFmtId="204" fontId="12" fillId="0" borderId="0" xfId="45" applyNumberFormat="1" applyFont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0" fillId="0" borderId="0" xfId="0" applyFont="1" applyAlignment="1">
      <alignment/>
    </xf>
    <xf numFmtId="0" fontId="10" fillId="0" borderId="0" xfId="60" applyFont="1" applyBorder="1">
      <alignment/>
      <protection/>
    </xf>
    <xf numFmtId="0" fontId="7" fillId="0" borderId="0" xfId="60" applyFont="1" applyBorder="1">
      <alignment/>
      <protection/>
    </xf>
    <xf numFmtId="0" fontId="4" fillId="0" borderId="0" xfId="60">
      <alignment/>
      <protection/>
    </xf>
    <xf numFmtId="0" fontId="5" fillId="0" borderId="0" xfId="60" applyFont="1">
      <alignment/>
      <protection/>
    </xf>
    <xf numFmtId="0" fontId="12" fillId="0" borderId="0" xfId="60" applyFont="1" applyAlignment="1">
      <alignment horizontal="center"/>
      <protection/>
    </xf>
    <xf numFmtId="204" fontId="12" fillId="0" borderId="0" xfId="45" applyNumberFormat="1" applyFont="1" applyFill="1" applyAlignment="1">
      <alignment/>
    </xf>
    <xf numFmtId="0" fontId="10" fillId="0" borderId="0" xfId="60" applyFont="1">
      <alignment/>
      <protection/>
    </xf>
    <xf numFmtId="0" fontId="10" fillId="0" borderId="0" xfId="60" applyFont="1">
      <alignment/>
      <protection/>
    </xf>
    <xf numFmtId="0" fontId="7" fillId="0" borderId="0" xfId="60" applyFont="1">
      <alignment/>
      <protection/>
    </xf>
    <xf numFmtId="0" fontId="5" fillId="0" borderId="0" xfId="60" applyFont="1" applyBorder="1">
      <alignment/>
      <protection/>
    </xf>
    <xf numFmtId="0" fontId="11" fillId="0" borderId="0" xfId="60" applyFont="1" applyBorder="1">
      <alignment/>
      <protection/>
    </xf>
    <xf numFmtId="204" fontId="13" fillId="0" borderId="0" xfId="45" applyNumberFormat="1" applyFont="1" applyBorder="1" applyAlignment="1">
      <alignment horizontal="center"/>
    </xf>
    <xf numFmtId="0" fontId="13" fillId="0" borderId="0" xfId="60" applyFont="1" applyBorder="1">
      <alignment/>
      <protection/>
    </xf>
    <xf numFmtId="0" fontId="13" fillId="0" borderId="0" xfId="60" applyFont="1">
      <alignment/>
      <protection/>
    </xf>
    <xf numFmtId="0" fontId="5" fillId="0" borderId="10" xfId="60" applyFont="1" applyBorder="1">
      <alignment/>
      <protection/>
    </xf>
    <xf numFmtId="203" fontId="13" fillId="0" borderId="0" xfId="45" applyNumberFormat="1" applyFont="1" applyAlignment="1">
      <alignment/>
    </xf>
    <xf numFmtId="0" fontId="7" fillId="0" borderId="0" xfId="60" applyFont="1">
      <alignment/>
      <protection/>
    </xf>
    <xf numFmtId="0" fontId="14" fillId="0" borderId="0" xfId="60" applyFont="1" applyBorder="1" applyAlignment="1">
      <alignment horizontal="center"/>
      <protection/>
    </xf>
    <xf numFmtId="204" fontId="14" fillId="0" borderId="0" xfId="45" applyNumberFormat="1" applyFont="1" applyBorder="1" applyAlignment="1">
      <alignment/>
    </xf>
    <xf numFmtId="204" fontId="14" fillId="0" borderId="0" xfId="45" applyNumberFormat="1" applyFont="1" applyBorder="1" applyAlignment="1">
      <alignment horizontal="center"/>
    </xf>
    <xf numFmtId="0" fontId="23" fillId="0" borderId="0" xfId="0" applyFont="1" applyAlignment="1">
      <alignment/>
    </xf>
    <xf numFmtId="204" fontId="5" fillId="0" borderId="10" xfId="45" applyNumberFormat="1" applyFont="1" applyBorder="1" applyAlignment="1">
      <alignment horizontal="center"/>
    </xf>
    <xf numFmtId="0" fontId="5" fillId="0" borderId="0" xfId="60" applyFont="1" applyBorder="1" applyAlignment="1">
      <alignment horizontal="center"/>
      <protection/>
    </xf>
    <xf numFmtId="204" fontId="5" fillId="0" borderId="0" xfId="45" applyNumberFormat="1" applyFont="1" applyBorder="1" applyAlignment="1">
      <alignment horizontal="center"/>
    </xf>
    <xf numFmtId="0" fontId="5" fillId="0" borderId="12" xfId="60" applyFont="1" applyBorder="1" applyAlignment="1">
      <alignment horizontal="center"/>
      <protection/>
    </xf>
    <xf numFmtId="204" fontId="5" fillId="0" borderId="13" xfId="45" applyNumberFormat="1" applyFont="1" applyBorder="1" applyAlignment="1">
      <alignment horizontal="center"/>
    </xf>
    <xf numFmtId="0" fontId="12" fillId="0" borderId="0" xfId="60" applyFont="1" applyBorder="1">
      <alignment/>
      <protection/>
    </xf>
    <xf numFmtId="0" fontId="24" fillId="0" borderId="0" xfId="60" applyFont="1">
      <alignment/>
      <protection/>
    </xf>
    <xf numFmtId="0" fontId="25" fillId="0" borderId="0" xfId="0" applyFont="1" applyAlignment="1">
      <alignment/>
    </xf>
    <xf numFmtId="0" fontId="11" fillId="0" borderId="0" xfId="60" applyFont="1" applyBorder="1" applyAlignment="1">
      <alignment horizontal="left"/>
      <protection/>
    </xf>
    <xf numFmtId="0" fontId="10" fillId="0" borderId="0" xfId="60" applyFont="1" applyAlignment="1">
      <alignment horizontal="center"/>
      <protection/>
    </xf>
    <xf numFmtId="204" fontId="10" fillId="0" borderId="0" xfId="46" applyNumberFormat="1" applyFont="1" applyAlignment="1">
      <alignment/>
    </xf>
    <xf numFmtId="0" fontId="7" fillId="0" borderId="0" xfId="60" applyFont="1" applyAlignment="1">
      <alignment horizontal="right"/>
      <protection/>
    </xf>
    <xf numFmtId="204" fontId="7" fillId="0" borderId="0" xfId="46" applyNumberFormat="1" applyFont="1" applyBorder="1" applyAlignment="1">
      <alignment/>
    </xf>
    <xf numFmtId="204" fontId="7" fillId="0" borderId="0" xfId="46" applyNumberFormat="1" applyFont="1" applyBorder="1" applyAlignment="1">
      <alignment horizontal="center"/>
    </xf>
    <xf numFmtId="0" fontId="7" fillId="0" borderId="0" xfId="60" applyFont="1" applyBorder="1" applyAlignment="1">
      <alignment horizontal="center"/>
      <protection/>
    </xf>
    <xf numFmtId="0" fontId="16" fillId="0" borderId="0" xfId="60" applyFont="1" applyBorder="1" applyAlignment="1">
      <alignment horizontal="center" vertical="center"/>
      <protection/>
    </xf>
    <xf numFmtId="204" fontId="16" fillId="0" borderId="0" xfId="46" applyNumberFormat="1" applyFont="1" applyBorder="1" applyAlignment="1">
      <alignment horizontal="center" vertical="center"/>
    </xf>
    <xf numFmtId="204" fontId="16" fillId="0" borderId="0" xfId="60" applyNumberFormat="1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204" fontId="7" fillId="0" borderId="0" xfId="60" applyNumberFormat="1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right"/>
      <protection/>
    </xf>
    <xf numFmtId="204" fontId="20" fillId="0" borderId="13" xfId="45" applyNumberFormat="1" applyFont="1" applyBorder="1" applyAlignment="1">
      <alignment horizontal="right"/>
    </xf>
    <xf numFmtId="0" fontId="5" fillId="0" borderId="0" xfId="60" applyFont="1" applyBorder="1">
      <alignment/>
      <protection/>
    </xf>
    <xf numFmtId="204" fontId="12" fillId="0" borderId="0" xfId="44" applyNumberFormat="1" applyFont="1" applyAlignment="1">
      <alignment/>
    </xf>
    <xf numFmtId="0" fontId="4" fillId="0" borderId="0" xfId="60" applyFont="1">
      <alignment/>
      <protection/>
    </xf>
    <xf numFmtId="0" fontId="4" fillId="0" borderId="0" xfId="61" applyBorder="1" applyAlignment="1">
      <alignment horizontal="center" vertical="center"/>
      <protection/>
    </xf>
    <xf numFmtId="0" fontId="14" fillId="0" borderId="0" xfId="61" applyFont="1" applyBorder="1" applyAlignment="1">
      <alignment horizontal="right"/>
      <protection/>
    </xf>
    <xf numFmtId="0" fontId="7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4" fillId="0" borderId="0" xfId="61" applyAlignment="1">
      <alignment horizontal="center"/>
      <protection/>
    </xf>
    <xf numFmtId="0" fontId="4" fillId="0" borderId="0" xfId="61" applyAlignment="1">
      <alignment horizontal="center" vertical="center"/>
      <protection/>
    </xf>
    <xf numFmtId="0" fontId="7" fillId="0" borderId="0" xfId="61" applyFont="1">
      <alignment/>
      <protection/>
    </xf>
    <xf numFmtId="0" fontId="24" fillId="0" borderId="0" xfId="61" applyFont="1">
      <alignment/>
      <protection/>
    </xf>
    <xf numFmtId="0" fontId="5" fillId="0" borderId="15" xfId="61" applyFont="1" applyBorder="1" applyAlignment="1">
      <alignment vertical="center"/>
      <protection/>
    </xf>
    <xf numFmtId="0" fontId="11" fillId="0" borderId="15" xfId="61" applyFont="1" applyBorder="1" applyAlignment="1">
      <alignment vertical="center"/>
      <protection/>
    </xf>
    <xf numFmtId="204" fontId="11" fillId="0" borderId="15" xfId="46" applyNumberFormat="1" applyFont="1" applyBorder="1" applyAlignment="1">
      <alignment vertical="center"/>
    </xf>
    <xf numFmtId="0" fontId="11" fillId="0" borderId="0" xfId="61" applyFont="1" applyBorder="1" applyAlignment="1">
      <alignment vertical="center"/>
      <protection/>
    </xf>
    <xf numFmtId="0" fontId="5" fillId="0" borderId="10" xfId="61" applyFont="1" applyBorder="1" applyAlignment="1">
      <alignment vertical="center"/>
      <protection/>
    </xf>
    <xf numFmtId="0" fontId="11" fillId="0" borderId="11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" vertical="center"/>
      <protection/>
    </xf>
    <xf numFmtId="204" fontId="5" fillId="0" borderId="13" xfId="46" applyNumberFormat="1" applyFont="1" applyBorder="1" applyAlignment="1">
      <alignment vertical="center"/>
    </xf>
    <xf numFmtId="0" fontId="5" fillId="0" borderId="13" xfId="6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4" fillId="0" borderId="0" xfId="61" applyFont="1">
      <alignment/>
      <protection/>
    </xf>
    <xf numFmtId="0" fontId="4" fillId="0" borderId="0" xfId="60" applyFont="1" applyAlignment="1">
      <alignment horizontal="center"/>
      <protection/>
    </xf>
    <xf numFmtId="204" fontId="4" fillId="0" borderId="0" xfId="45" applyNumberFormat="1" applyFont="1" applyAlignment="1">
      <alignment/>
    </xf>
    <xf numFmtId="204" fontId="4" fillId="0" borderId="0" xfId="45" applyNumberFormat="1" applyFont="1" applyAlignment="1">
      <alignment horizontal="center"/>
    </xf>
    <xf numFmtId="0" fontId="11" fillId="0" borderId="0" xfId="60" applyFont="1">
      <alignment/>
      <protection/>
    </xf>
    <xf numFmtId="0" fontId="24" fillId="0" borderId="0" xfId="61" applyFont="1">
      <alignment/>
      <protection/>
    </xf>
    <xf numFmtId="0" fontId="11" fillId="0" borderId="0" xfId="61" applyFont="1" applyBorder="1" applyAlignment="1">
      <alignment horizontal="left"/>
      <protection/>
    </xf>
    <xf numFmtId="0" fontId="24" fillId="0" borderId="0" xfId="61" applyFont="1" applyBorder="1" applyAlignment="1">
      <alignment horizontal="left"/>
      <protection/>
    </xf>
    <xf numFmtId="0" fontId="11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center"/>
      <protection/>
    </xf>
    <xf numFmtId="204" fontId="5" fillId="0" borderId="14" xfId="46" applyNumberFormat="1" applyFont="1" applyBorder="1" applyAlignment="1">
      <alignment horizontal="center" vertical="center"/>
    </xf>
    <xf numFmtId="0" fontId="5" fillId="0" borderId="12" xfId="60" applyFont="1" applyBorder="1">
      <alignment/>
      <protection/>
    </xf>
    <xf numFmtId="204" fontId="4" fillId="0" borderId="0" xfId="60" applyNumberFormat="1">
      <alignment/>
      <protection/>
    </xf>
    <xf numFmtId="0" fontId="5" fillId="0" borderId="16" xfId="60" applyFont="1" applyBorder="1">
      <alignment/>
      <protection/>
    </xf>
    <xf numFmtId="0" fontId="5" fillId="0" borderId="0" xfId="60" applyFont="1" applyAlignment="1">
      <alignment horizontal="right"/>
      <protection/>
    </xf>
    <xf numFmtId="0" fontId="11" fillId="0" borderId="0" xfId="60" applyFont="1" applyBorder="1" applyAlignment="1">
      <alignment horizontal="center"/>
      <protection/>
    </xf>
    <xf numFmtId="204" fontId="24" fillId="0" borderId="0" xfId="45" applyNumberFormat="1" applyFont="1" applyBorder="1" applyAlignment="1">
      <alignment horizontal="center"/>
    </xf>
    <xf numFmtId="204" fontId="24" fillId="0" borderId="0" xfId="45" applyNumberFormat="1" applyFont="1" applyBorder="1" applyAlignment="1">
      <alignment/>
    </xf>
    <xf numFmtId="204" fontId="5" fillId="0" borderId="13" xfId="45" applyNumberFormat="1" applyFont="1" applyBorder="1" applyAlignment="1">
      <alignment horizontal="right"/>
    </xf>
    <xf numFmtId="204" fontId="5" fillId="0" borderId="13" xfId="60" applyNumberFormat="1" applyFont="1" applyBorder="1" applyAlignment="1">
      <alignment horizontal="center"/>
      <protection/>
    </xf>
    <xf numFmtId="204" fontId="5" fillId="0" borderId="13" xfId="45" applyNumberFormat="1" applyFont="1" applyBorder="1" applyAlignment="1">
      <alignment horizontal="center"/>
    </xf>
    <xf numFmtId="204" fontId="16" fillId="0" borderId="10" xfId="45" applyNumberFormat="1" applyFont="1" applyBorder="1" applyAlignment="1">
      <alignment horizontal="center"/>
    </xf>
    <xf numFmtId="204" fontId="5" fillId="0" borderId="11" xfId="45" applyNumberFormat="1" applyFont="1" applyBorder="1" applyAlignment="1">
      <alignment horizontal="center"/>
    </xf>
    <xf numFmtId="0" fontId="5" fillId="0" borderId="13" xfId="60" applyFont="1" applyBorder="1" applyAlignment="1">
      <alignment horizontal="right"/>
      <protection/>
    </xf>
    <xf numFmtId="204" fontId="5" fillId="0" borderId="0" xfId="60" applyNumberFormat="1" applyFont="1" applyBorder="1">
      <alignment/>
      <protection/>
    </xf>
    <xf numFmtId="0" fontId="4" fillId="0" borderId="0" xfId="60" applyFont="1">
      <alignment/>
      <protection/>
    </xf>
    <xf numFmtId="204" fontId="5" fillId="0" borderId="0" xfId="46" applyNumberFormat="1" applyFont="1" applyBorder="1" applyAlignment="1">
      <alignment horizontal="right"/>
    </xf>
    <xf numFmtId="204" fontId="5" fillId="0" borderId="0" xfId="46" applyNumberFormat="1" applyFont="1" applyBorder="1" applyAlignment="1">
      <alignment horizontal="center"/>
    </xf>
    <xf numFmtId="0" fontId="5" fillId="0" borderId="11" xfId="60" applyFont="1" applyBorder="1">
      <alignment/>
      <protection/>
    </xf>
    <xf numFmtId="0" fontId="5" fillId="0" borderId="12" xfId="60" applyFont="1" applyBorder="1" applyAlignment="1">
      <alignment horizontal="right" vertical="center"/>
      <protection/>
    </xf>
    <xf numFmtId="204" fontId="11" fillId="0" borderId="10" xfId="45" applyNumberFormat="1" applyFont="1" applyBorder="1" applyAlignment="1">
      <alignment horizontal="right"/>
    </xf>
    <xf numFmtId="204" fontId="11" fillId="0" borderId="0" xfId="46" applyNumberFormat="1" applyFont="1" applyBorder="1" applyAlignment="1">
      <alignment vertical="center"/>
    </xf>
    <xf numFmtId="204" fontId="11" fillId="0" borderId="0" xfId="46" applyNumberFormat="1" applyFont="1" applyBorder="1" applyAlignment="1">
      <alignment horizontal="right" vertical="center"/>
    </xf>
    <xf numFmtId="0" fontId="11" fillId="0" borderId="0" xfId="61" applyFont="1" applyBorder="1" applyAlignment="1">
      <alignment horizontal="right" vertical="center"/>
      <protection/>
    </xf>
    <xf numFmtId="204" fontId="5" fillId="0" borderId="0" xfId="61" applyNumberFormat="1" applyFont="1" applyBorder="1" applyAlignment="1">
      <alignment vertical="center"/>
      <protection/>
    </xf>
    <xf numFmtId="204" fontId="5" fillId="0" borderId="10" xfId="61" applyNumberFormat="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204" fontId="11" fillId="0" borderId="10" xfId="46" applyNumberFormat="1" applyFont="1" applyBorder="1" applyAlignment="1">
      <alignment vertical="center"/>
    </xf>
    <xf numFmtId="204" fontId="5" fillId="0" borderId="0" xfId="61" applyNumberFormat="1" applyFont="1" applyBorder="1" applyAlignment="1">
      <alignment horizontal="center"/>
      <protection/>
    </xf>
    <xf numFmtId="204" fontId="5" fillId="0" borderId="11" xfId="6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7" fillId="0" borderId="0" xfId="60" applyFont="1">
      <alignment/>
      <protection/>
    </xf>
    <xf numFmtId="0" fontId="27" fillId="0" borderId="0" xfId="60" applyFont="1" applyFill="1">
      <alignment/>
      <protection/>
    </xf>
    <xf numFmtId="0" fontId="27" fillId="0" borderId="12" xfId="0" applyFont="1" applyBorder="1" applyAlignment="1">
      <alignment horizontal="left"/>
    </xf>
    <xf numFmtId="0" fontId="27" fillId="0" borderId="0" xfId="61" applyFont="1" applyBorder="1" applyAlignment="1">
      <alignment horizontal="left"/>
      <protection/>
    </xf>
    <xf numFmtId="0" fontId="27" fillId="0" borderId="0" xfId="61" applyFont="1">
      <alignment/>
      <protection/>
    </xf>
    <xf numFmtId="194" fontId="1" fillId="0" borderId="0" xfId="42" applyFont="1" applyAlignment="1">
      <alignment/>
    </xf>
    <xf numFmtId="207" fontId="1" fillId="0" borderId="0" xfId="42" applyNumberFormat="1" applyFont="1" applyAlignment="1">
      <alignment/>
    </xf>
    <xf numFmtId="0" fontId="10" fillId="0" borderId="0" xfId="0" applyFont="1" applyAlignment="1">
      <alignment/>
    </xf>
    <xf numFmtId="0" fontId="10" fillId="0" borderId="0" xfId="61" applyFont="1">
      <alignment/>
      <protection/>
    </xf>
    <xf numFmtId="0" fontId="23" fillId="0" borderId="0" xfId="0" applyFont="1" applyBorder="1" applyAlignment="1">
      <alignment/>
    </xf>
    <xf numFmtId="0" fontId="7" fillId="0" borderId="0" xfId="61" applyFont="1" applyFill="1" applyBorder="1">
      <alignment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0" applyFont="1" applyFill="1" applyBorder="1">
      <alignment/>
      <protection/>
    </xf>
    <xf numFmtId="0" fontId="14" fillId="0" borderId="0" xfId="6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2" fillId="0" borderId="0" xfId="61" applyFont="1" applyFill="1">
      <alignment/>
      <protection/>
    </xf>
    <xf numFmtId="0" fontId="4" fillId="0" borderId="0" xfId="61" applyFill="1">
      <alignment/>
      <protection/>
    </xf>
    <xf numFmtId="0" fontId="5" fillId="0" borderId="0" xfId="61" applyFont="1" applyBorder="1" applyAlignment="1">
      <alignment horizontal="left"/>
      <protection/>
    </xf>
    <xf numFmtId="204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7" fillId="0" borderId="0" xfId="60" applyFont="1" applyFill="1">
      <alignment/>
      <protection/>
    </xf>
    <xf numFmtId="0" fontId="7" fillId="0" borderId="0" xfId="0" applyFont="1" applyAlignment="1">
      <alignment horizontal="right"/>
    </xf>
    <xf numFmtId="0" fontId="24" fillId="0" borderId="0" xfId="60" applyFont="1" applyBorder="1" applyAlignment="1">
      <alignment horizontal="left"/>
      <protection/>
    </xf>
    <xf numFmtId="0" fontId="12" fillId="0" borderId="10" xfId="60" applyFont="1" applyBorder="1">
      <alignment/>
      <protection/>
    </xf>
    <xf numFmtId="0" fontId="24" fillId="0" borderId="0" xfId="60" applyFont="1" applyAlignment="1">
      <alignment horizontal="center"/>
      <protection/>
    </xf>
    <xf numFmtId="0" fontId="25" fillId="0" borderId="12" xfId="0" applyFont="1" applyBorder="1" applyAlignment="1">
      <alignment/>
    </xf>
    <xf numFmtId="0" fontId="11" fillId="0" borderId="0" xfId="61" applyFont="1" applyBorder="1" applyAlignment="1">
      <alignment horizontal="center"/>
      <protection/>
    </xf>
    <xf numFmtId="0" fontId="29" fillId="0" borderId="0" xfId="61" applyFont="1" applyBorder="1" applyAlignment="1">
      <alignment horizontal="center" vertical="center"/>
      <protection/>
    </xf>
    <xf numFmtId="0" fontId="24" fillId="0" borderId="0" xfId="61" applyFont="1" applyAlignment="1">
      <alignment horizontal="center"/>
      <protection/>
    </xf>
    <xf numFmtId="0" fontId="24" fillId="0" borderId="0" xfId="61" applyFont="1" applyAlignment="1">
      <alignment horizontal="center"/>
      <protection/>
    </xf>
    <xf numFmtId="0" fontId="26" fillId="0" borderId="12" xfId="60" applyFont="1" applyBorder="1" applyAlignment="1">
      <alignment horizontal="center"/>
      <protection/>
    </xf>
    <xf numFmtId="204" fontId="26" fillId="0" borderId="12" xfId="45" applyNumberFormat="1" applyFont="1" applyBorder="1" applyAlignment="1">
      <alignment horizontal="center"/>
    </xf>
    <xf numFmtId="0" fontId="15" fillId="0" borderId="0" xfId="60" applyFont="1">
      <alignment/>
      <protection/>
    </xf>
    <xf numFmtId="15" fontId="15" fillId="0" borderId="0" xfId="60" applyNumberFormat="1" applyFont="1">
      <alignment/>
      <protection/>
    </xf>
    <xf numFmtId="204" fontId="15" fillId="0" borderId="0" xfId="45" applyNumberFormat="1" applyFont="1" applyAlignment="1">
      <alignment horizontal="center"/>
    </xf>
    <xf numFmtId="0" fontId="5" fillId="0" borderId="13" xfId="60" applyFont="1" applyBorder="1" applyAlignment="1">
      <alignment horizontal="center"/>
      <protection/>
    </xf>
    <xf numFmtId="0" fontId="7" fillId="0" borderId="16" xfId="60" applyFont="1" applyBorder="1" applyAlignment="1">
      <alignment horizontal="right"/>
      <protection/>
    </xf>
    <xf numFmtId="204" fontId="24" fillId="0" borderId="0" xfId="45" applyNumberFormat="1" applyFont="1" applyAlignment="1">
      <alignment horizontal="center"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4" fontId="11" fillId="0" borderId="0" xfId="46" applyNumberFormat="1" applyFont="1" applyBorder="1" applyAlignment="1">
      <alignment vertical="center"/>
    </xf>
    <xf numFmtId="209" fontId="1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24" fillId="0" borderId="0" xfId="61" applyFont="1" applyBorder="1" applyAlignment="1">
      <alignment horizontal="left" vertical="top" wrapText="1"/>
      <protection/>
    </xf>
    <xf numFmtId="0" fontId="7" fillId="0" borderId="10" xfId="61" applyFont="1" applyBorder="1">
      <alignment/>
      <protection/>
    </xf>
    <xf numFmtId="0" fontId="23" fillId="0" borderId="10" xfId="0" applyFont="1" applyBorder="1" applyAlignment="1">
      <alignment/>
    </xf>
    <xf numFmtId="0" fontId="5" fillId="0" borderId="0" xfId="61" applyFont="1" applyBorder="1" applyAlignment="1">
      <alignment horizont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60" applyFont="1" applyAlignment="1">
      <alignment horizontal="left"/>
      <protection/>
    </xf>
    <xf numFmtId="0" fontId="11" fillId="0" borderId="10" xfId="60" applyFont="1" applyBorder="1" applyAlignment="1">
      <alignment horizontal="center"/>
      <protection/>
    </xf>
    <xf numFmtId="0" fontId="11" fillId="0" borderId="11" xfId="60" applyFont="1" applyBorder="1">
      <alignment/>
      <protection/>
    </xf>
    <xf numFmtId="0" fontId="11" fillId="0" borderId="11" xfId="60" applyFont="1" applyBorder="1" applyAlignment="1">
      <alignment horizontal="center"/>
      <protection/>
    </xf>
    <xf numFmtId="204" fontId="5" fillId="0" borderId="13" xfId="60" applyNumberFormat="1" applyFont="1" applyBorder="1" applyAlignment="1">
      <alignment horizontal="right"/>
      <protection/>
    </xf>
    <xf numFmtId="0" fontId="16" fillId="0" borderId="0" xfId="60" applyFont="1" applyFill="1" applyBorder="1">
      <alignment/>
      <protection/>
    </xf>
    <xf numFmtId="0" fontId="13" fillId="0" borderId="0" xfId="60" applyFont="1" applyFill="1">
      <alignment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vertical="center"/>
      <protection/>
    </xf>
    <xf numFmtId="0" fontId="5" fillId="33" borderId="17" xfId="61" applyFont="1" applyFill="1" applyBorder="1" applyAlignment="1">
      <alignment horizontal="center" vertical="top" wrapText="1"/>
      <protection/>
    </xf>
    <xf numFmtId="0" fontId="5" fillId="33" borderId="17" xfId="61" applyFont="1" applyFill="1" applyBorder="1" applyAlignment="1">
      <alignment vertical="top" wrapText="1"/>
      <protection/>
    </xf>
    <xf numFmtId="0" fontId="5" fillId="33" borderId="17" xfId="61" applyFont="1" applyFill="1" applyBorder="1" applyAlignment="1">
      <alignment horizontal="center" vertical="top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5" fillId="33" borderId="10" xfId="61" applyFont="1" applyFill="1" applyBorder="1" applyAlignment="1">
      <alignment vertical="top" wrapText="1"/>
      <protection/>
    </xf>
    <xf numFmtId="0" fontId="5" fillId="0" borderId="0" xfId="60" applyFont="1" applyBorder="1" applyAlignment="1">
      <alignment vertical="top"/>
      <protection/>
    </xf>
    <xf numFmtId="204" fontId="11" fillId="0" borderId="0" xfId="45" applyNumberFormat="1" applyFont="1" applyBorder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5" fillId="0" borderId="13" xfId="60" applyFont="1" applyBorder="1">
      <alignment/>
      <protection/>
    </xf>
    <xf numFmtId="0" fontId="13" fillId="0" borderId="11" xfId="60" applyFont="1" applyBorder="1">
      <alignment/>
      <protection/>
    </xf>
    <xf numFmtId="0" fontId="12" fillId="0" borderId="11" xfId="60" applyFont="1" applyBorder="1">
      <alignment/>
      <protection/>
    </xf>
    <xf numFmtId="204" fontId="4" fillId="0" borderId="11" xfId="45" applyNumberFormat="1" applyFont="1" applyBorder="1" applyAlignment="1">
      <alignment horizontal="center"/>
    </xf>
    <xf numFmtId="204" fontId="5" fillId="0" borderId="11" xfId="46" applyNumberFormat="1" applyFont="1" applyBorder="1" applyAlignment="1">
      <alignment horizontal="right"/>
    </xf>
    <xf numFmtId="204" fontId="5" fillId="0" borderId="11" xfId="46" applyNumberFormat="1" applyFont="1" applyBorder="1" applyAlignment="1">
      <alignment horizontal="center"/>
    </xf>
    <xf numFmtId="0" fontId="4" fillId="0" borderId="11" xfId="60" applyFont="1" applyBorder="1">
      <alignment/>
      <protection/>
    </xf>
    <xf numFmtId="0" fontId="10" fillId="0" borderId="11" xfId="60" applyFont="1" applyBorder="1">
      <alignment/>
      <protection/>
    </xf>
    <xf numFmtId="204" fontId="7" fillId="0" borderId="11" xfId="68" applyNumberFormat="1" applyFont="1" applyBorder="1" applyAlignment="1">
      <alignment horizontal="right"/>
      <protection/>
    </xf>
    <xf numFmtId="0" fontId="0" fillId="0" borderId="11" xfId="0" applyFont="1" applyBorder="1" applyAlignment="1">
      <alignment/>
    </xf>
    <xf numFmtId="203" fontId="13" fillId="0" borderId="11" xfId="45" applyNumberFormat="1" applyFont="1" applyBorder="1" applyAlignment="1">
      <alignment/>
    </xf>
    <xf numFmtId="0" fontId="4" fillId="0" borderId="0" xfId="61" applyFont="1" applyBorder="1">
      <alignment/>
      <protection/>
    </xf>
    <xf numFmtId="0" fontId="4" fillId="0" borderId="0" xfId="60" applyFont="1" applyBorder="1">
      <alignment/>
      <protection/>
    </xf>
    <xf numFmtId="0" fontId="11" fillId="0" borderId="11" xfId="61" applyFont="1" applyBorder="1" applyAlignment="1">
      <alignment horizontal="right"/>
      <protection/>
    </xf>
    <xf numFmtId="0" fontId="4" fillId="0" borderId="11" xfId="61" applyFont="1" applyBorder="1">
      <alignment/>
      <protection/>
    </xf>
    <xf numFmtId="203" fontId="12" fillId="0" borderId="0" xfId="44" applyNumberFormat="1" applyFont="1" applyAlignment="1">
      <alignment/>
    </xf>
    <xf numFmtId="203" fontId="1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4" fillId="0" borderId="0" xfId="60" applyNumberFormat="1" applyFont="1">
      <alignment/>
      <protection/>
    </xf>
    <xf numFmtId="206" fontId="5" fillId="33" borderId="17" xfId="61" applyNumberFormat="1" applyFont="1" applyFill="1" applyBorder="1" applyAlignment="1">
      <alignment horizontal="right" vertical="top"/>
      <protection/>
    </xf>
    <xf numFmtId="206" fontId="5" fillId="0" borderId="13" xfId="46" applyNumberFormat="1" applyFont="1" applyBorder="1" applyAlignment="1">
      <alignment vertical="center"/>
    </xf>
    <xf numFmtId="0" fontId="5" fillId="0" borderId="0" xfId="61" applyFont="1" applyBorder="1" applyAlignment="1">
      <alignment horizontal="left" vertical="top" wrapText="1"/>
      <protection/>
    </xf>
    <xf numFmtId="206" fontId="11" fillId="0" borderId="0" xfId="46" applyNumberFormat="1" applyFont="1" applyBorder="1" applyAlignment="1">
      <alignment vertical="center"/>
    </xf>
    <xf numFmtId="206" fontId="11" fillId="0" borderId="0" xfId="45" applyNumberFormat="1" applyFont="1" applyBorder="1" applyAlignment="1">
      <alignment/>
    </xf>
    <xf numFmtId="206" fontId="29" fillId="0" borderId="0" xfId="46" applyNumberFormat="1" applyFont="1" applyBorder="1" applyAlignment="1">
      <alignment vertical="center"/>
    </xf>
    <xf numFmtId="206" fontId="4" fillId="0" borderId="0" xfId="61" applyNumberFormat="1">
      <alignment/>
      <protection/>
    </xf>
    <xf numFmtId="206" fontId="5" fillId="0" borderId="0" xfId="42" applyNumberFormat="1" applyFont="1" applyBorder="1" applyAlignment="1">
      <alignment horizontal="right"/>
    </xf>
    <xf numFmtId="206" fontId="7" fillId="0" borderId="0" xfId="46" applyNumberFormat="1" applyFont="1" applyBorder="1" applyAlignment="1">
      <alignment/>
    </xf>
    <xf numFmtId="206" fontId="0" fillId="0" borderId="0" xfId="0" applyNumberFormat="1" applyAlignment="1">
      <alignment/>
    </xf>
    <xf numFmtId="0" fontId="24" fillId="0" borderId="0" xfId="61" applyFont="1">
      <alignment/>
      <protection/>
    </xf>
    <xf numFmtId="0" fontId="24" fillId="0" borderId="0" xfId="0" applyFont="1" applyAlignment="1">
      <alignment/>
    </xf>
    <xf numFmtId="0" fontId="24" fillId="0" borderId="10" xfId="61" applyFont="1" applyBorder="1" applyAlignment="1">
      <alignment horizontal="left" vertical="top" wrapText="1"/>
      <protection/>
    </xf>
    <xf numFmtId="0" fontId="24" fillId="0" borderId="0" xfId="61" applyFont="1" applyAlignment="1">
      <alignment vertical="top"/>
      <protection/>
    </xf>
    <xf numFmtId="0" fontId="24" fillId="0" borderId="0" xfId="0" applyFont="1" applyAlignment="1">
      <alignment vertical="top"/>
    </xf>
    <xf numFmtId="0" fontId="24" fillId="0" borderId="0" xfId="61" applyFont="1" applyAlignment="1">
      <alignment vertical="top" wrapText="1"/>
      <protection/>
    </xf>
    <xf numFmtId="0" fontId="24" fillId="0" borderId="0" xfId="0" applyFont="1" applyAlignment="1">
      <alignment vertical="top" wrapText="1"/>
    </xf>
    <xf numFmtId="0" fontId="11" fillId="0" borderId="0" xfId="61" applyFont="1" applyAlignment="1">
      <alignment vertical="top"/>
      <protection/>
    </xf>
    <xf numFmtId="0" fontId="24" fillId="34" borderId="0" xfId="61" applyFont="1" applyFill="1" applyAlignment="1">
      <alignment vertical="top"/>
      <protection/>
    </xf>
    <xf numFmtId="0" fontId="5" fillId="0" borderId="10" xfId="61" applyFont="1" applyBorder="1" applyAlignment="1">
      <alignment horizontal="left" vertical="top" wrapText="1"/>
      <protection/>
    </xf>
    <xf numFmtId="0" fontId="4" fillId="0" borderId="0" xfId="61" applyFont="1" applyAlignment="1">
      <alignment vertical="top"/>
      <protection/>
    </xf>
    <xf numFmtId="0" fontId="10" fillId="0" borderId="0" xfId="61" applyFont="1" applyBorder="1" applyAlignment="1">
      <alignment vertical="top"/>
      <protection/>
    </xf>
    <xf numFmtId="0" fontId="11" fillId="0" borderId="10" xfId="61" applyFont="1" applyBorder="1" applyAlignment="1">
      <alignment vertical="top" wrapText="1"/>
      <protection/>
    </xf>
    <xf numFmtId="205" fontId="10" fillId="0" borderId="0" xfId="46" applyNumberFormat="1" applyFont="1" applyAlignment="1">
      <alignment/>
    </xf>
    <xf numFmtId="205" fontId="5" fillId="0" borderId="13" xfId="61" applyNumberFormat="1" applyFont="1" applyBorder="1" applyAlignment="1">
      <alignment horizontal="right" vertical="center"/>
      <protection/>
    </xf>
    <xf numFmtId="205" fontId="11" fillId="0" borderId="15" xfId="61" applyNumberFormat="1" applyFont="1" applyBorder="1" applyAlignment="1">
      <alignment vertical="center"/>
      <protection/>
    </xf>
    <xf numFmtId="205" fontId="11" fillId="0" borderId="0" xfId="46" applyNumberFormat="1" applyFont="1" applyBorder="1" applyAlignment="1">
      <alignment horizontal="right" vertical="center"/>
    </xf>
    <xf numFmtId="205" fontId="11" fillId="0" borderId="10" xfId="46" applyNumberFormat="1" applyFont="1" applyBorder="1" applyAlignment="1">
      <alignment vertical="center"/>
    </xf>
    <xf numFmtId="205" fontId="11" fillId="0" borderId="0" xfId="46" applyNumberFormat="1" applyFont="1" applyBorder="1" applyAlignment="1">
      <alignment vertical="center"/>
    </xf>
    <xf numFmtId="205" fontId="0" fillId="0" borderId="0" xfId="0" applyNumberFormat="1" applyAlignment="1">
      <alignment/>
    </xf>
    <xf numFmtId="205" fontId="1" fillId="0" borderId="0" xfId="0" applyNumberFormat="1" applyFont="1" applyAlignment="1">
      <alignment/>
    </xf>
    <xf numFmtId="205" fontId="10" fillId="0" borderId="0" xfId="61" applyNumberFormat="1" applyFont="1">
      <alignment/>
      <protection/>
    </xf>
    <xf numFmtId="205" fontId="5" fillId="0" borderId="13" xfId="46" applyNumberFormat="1" applyFont="1" applyBorder="1" applyAlignment="1">
      <alignment horizontal="right" vertical="center"/>
    </xf>
    <xf numFmtId="205" fontId="11" fillId="0" borderId="15" xfId="46" applyNumberFormat="1" applyFont="1" applyBorder="1" applyAlignment="1">
      <alignment vertical="center"/>
    </xf>
    <xf numFmtId="205" fontId="11" fillId="0" borderId="0" xfId="61" applyNumberFormat="1" applyFont="1" applyBorder="1" applyAlignment="1">
      <alignment horizontal="right" vertical="center"/>
      <protection/>
    </xf>
    <xf numFmtId="205" fontId="0" fillId="0" borderId="0" xfId="0" applyNumberFormat="1" applyFont="1" applyAlignment="1">
      <alignment/>
    </xf>
    <xf numFmtId="205" fontId="7" fillId="0" borderId="0" xfId="61" applyNumberFormat="1" applyFont="1">
      <alignment/>
      <protection/>
    </xf>
    <xf numFmtId="205" fontId="7" fillId="0" borderId="0" xfId="61" applyNumberFormat="1" applyFont="1" applyAlignment="1">
      <alignment horizontal="right"/>
      <protection/>
    </xf>
    <xf numFmtId="205" fontId="5" fillId="0" borderId="15" xfId="61" applyNumberFormat="1" applyFont="1" applyBorder="1" applyAlignment="1">
      <alignment vertical="center"/>
      <protection/>
    </xf>
    <xf numFmtId="205" fontId="5" fillId="0" borderId="0" xfId="61" applyNumberFormat="1" applyFont="1" applyBorder="1" applyAlignment="1">
      <alignment vertical="center"/>
      <protection/>
    </xf>
    <xf numFmtId="205" fontId="5" fillId="0" borderId="10" xfId="61" applyNumberFormat="1" applyFont="1" applyBorder="1" applyAlignment="1">
      <alignment vertical="center"/>
      <protection/>
    </xf>
    <xf numFmtId="204" fontId="11" fillId="0" borderId="11" xfId="46" applyNumberFormat="1" applyFont="1" applyBorder="1" applyAlignment="1">
      <alignment horizontal="right" vertical="center"/>
    </xf>
    <xf numFmtId="205" fontId="11" fillId="0" borderId="11" xfId="46" applyNumberFormat="1" applyFont="1" applyBorder="1" applyAlignment="1">
      <alignment horizontal="right" vertical="center"/>
    </xf>
    <xf numFmtId="204" fontId="5" fillId="0" borderId="11" xfId="61" applyNumberFormat="1" applyFont="1" applyBorder="1" applyAlignment="1">
      <alignment vertical="center"/>
      <protection/>
    </xf>
    <xf numFmtId="203" fontId="4" fillId="0" borderId="0" xfId="45" applyNumberFormat="1" applyFont="1" applyAlignment="1">
      <alignment/>
    </xf>
    <xf numFmtId="203" fontId="5" fillId="0" borderId="13" xfId="45" applyNumberFormat="1" applyFont="1" applyBorder="1" applyAlignment="1">
      <alignment horizontal="right"/>
    </xf>
    <xf numFmtId="203" fontId="12" fillId="0" borderId="0" xfId="45" applyNumberFormat="1" applyFont="1" applyBorder="1" applyAlignment="1">
      <alignment/>
    </xf>
    <xf numFmtId="203" fontId="5" fillId="0" borderId="13" xfId="60" applyNumberFormat="1" applyFont="1" applyBorder="1" applyAlignment="1">
      <alignment horizontal="center"/>
      <protection/>
    </xf>
    <xf numFmtId="203" fontId="12" fillId="0" borderId="0" xfId="60" applyNumberFormat="1" applyFont="1">
      <alignment/>
      <protection/>
    </xf>
    <xf numFmtId="203" fontId="0" fillId="0" borderId="0" xfId="0" applyNumberFormat="1" applyAlignment="1">
      <alignment/>
    </xf>
    <xf numFmtId="203" fontId="12" fillId="0" borderId="0" xfId="45" applyNumberFormat="1" applyFont="1" applyAlignment="1">
      <alignment/>
    </xf>
    <xf numFmtId="205" fontId="7" fillId="0" borderId="0" xfId="60" applyNumberFormat="1" applyFont="1" applyAlignment="1">
      <alignment horizontal="right"/>
      <protection/>
    </xf>
    <xf numFmtId="205" fontId="5" fillId="0" borderId="13" xfId="45" applyNumberFormat="1" applyFont="1" applyBorder="1" applyAlignment="1">
      <alignment horizontal="right"/>
    </xf>
    <xf numFmtId="205" fontId="12" fillId="0" borderId="0" xfId="45" applyNumberFormat="1" applyFont="1" applyBorder="1" applyAlignment="1">
      <alignment/>
    </xf>
    <xf numFmtId="205" fontId="5" fillId="0" borderId="10" xfId="45" applyNumberFormat="1" applyFont="1" applyBorder="1" applyAlignment="1">
      <alignment horizontal="center"/>
    </xf>
    <xf numFmtId="205" fontId="5" fillId="0" borderId="0" xfId="45" applyNumberFormat="1" applyFont="1" applyBorder="1" applyAlignment="1">
      <alignment horizontal="center"/>
    </xf>
    <xf numFmtId="205" fontId="12" fillId="0" borderId="0" xfId="60" applyNumberFormat="1" applyFont="1">
      <alignment/>
      <protection/>
    </xf>
    <xf numFmtId="205" fontId="4" fillId="0" borderId="0" xfId="60" applyNumberFormat="1" applyFont="1">
      <alignment/>
      <protection/>
    </xf>
    <xf numFmtId="0" fontId="13" fillId="0" borderId="0" xfId="60" applyFont="1" applyBorder="1">
      <alignment/>
      <protection/>
    </xf>
    <xf numFmtId="205" fontId="5" fillId="0" borderId="13" xfId="60" applyNumberFormat="1" applyFont="1" applyBorder="1" applyAlignment="1">
      <alignment horizontal="center"/>
      <protection/>
    </xf>
    <xf numFmtId="205" fontId="4" fillId="0" borderId="0" xfId="45" applyNumberFormat="1" applyFont="1" applyAlignment="1">
      <alignment/>
    </xf>
    <xf numFmtId="205" fontId="12" fillId="0" borderId="0" xfId="45" applyNumberFormat="1" applyFont="1" applyFill="1" applyAlignment="1">
      <alignment/>
    </xf>
    <xf numFmtId="0" fontId="0" fillId="0" borderId="10" xfId="0" applyBorder="1" applyAlignment="1">
      <alignment/>
    </xf>
    <xf numFmtId="0" fontId="13" fillId="0" borderId="10" xfId="60" applyFont="1" applyBorder="1">
      <alignment/>
      <protection/>
    </xf>
    <xf numFmtId="205" fontId="0" fillId="0" borderId="0" xfId="0" applyNumberFormat="1" applyFont="1" applyAlignment="1">
      <alignment/>
    </xf>
    <xf numFmtId="0" fontId="11" fillId="0" borderId="0" xfId="60" applyFont="1" applyFill="1" applyBorder="1" applyAlignment="1">
      <alignment horizontal="left" vertical="top" wrapText="1"/>
      <protection/>
    </xf>
    <xf numFmtId="205" fontId="20" fillId="0" borderId="13" xfId="45" applyNumberFormat="1" applyFont="1" applyBorder="1" applyAlignment="1">
      <alignment horizontal="right"/>
    </xf>
    <xf numFmtId="205" fontId="14" fillId="0" borderId="0" xfId="45" applyNumberFormat="1" applyFont="1" applyBorder="1" applyAlignment="1">
      <alignment/>
    </xf>
    <xf numFmtId="205" fontId="11" fillId="0" borderId="0" xfId="45" applyNumberFormat="1" applyFont="1" applyBorder="1" applyAlignment="1">
      <alignment horizontal="right"/>
    </xf>
    <xf numFmtId="205" fontId="1" fillId="0" borderId="0" xfId="42" applyNumberFormat="1" applyFont="1" applyAlignment="1">
      <alignment/>
    </xf>
    <xf numFmtId="205" fontId="5" fillId="0" borderId="0" xfId="60" applyNumberFormat="1" applyFont="1">
      <alignment/>
      <protection/>
    </xf>
    <xf numFmtId="205" fontId="13" fillId="0" borderId="0" xfId="45" applyNumberFormat="1" applyFont="1" applyBorder="1" applyAlignment="1">
      <alignment horizontal="center"/>
    </xf>
    <xf numFmtId="205" fontId="16" fillId="0" borderId="10" xfId="45" applyNumberFormat="1" applyFont="1" applyBorder="1" applyAlignment="1">
      <alignment horizontal="center"/>
    </xf>
    <xf numFmtId="205" fontId="7" fillId="0" borderId="0" xfId="60" applyNumberFormat="1" applyFont="1" applyFill="1">
      <alignment/>
      <protection/>
    </xf>
    <xf numFmtId="205" fontId="7" fillId="0" borderId="0" xfId="0" applyNumberFormat="1" applyFont="1" applyAlignment="1">
      <alignment horizontal="right"/>
    </xf>
    <xf numFmtId="205" fontId="26" fillId="0" borderId="12" xfId="45" applyNumberFormat="1" applyFont="1" applyBorder="1" applyAlignment="1">
      <alignment horizontal="center"/>
    </xf>
    <xf numFmtId="205" fontId="7" fillId="0" borderId="0" xfId="60" applyNumberFormat="1" applyFont="1" applyBorder="1">
      <alignment/>
      <protection/>
    </xf>
    <xf numFmtId="205" fontId="5" fillId="0" borderId="12" xfId="60" applyNumberFormat="1" applyFont="1" applyBorder="1">
      <alignment/>
      <protection/>
    </xf>
    <xf numFmtId="205" fontId="7" fillId="0" borderId="0" xfId="60" applyNumberFormat="1" applyFont="1" applyAlignment="1">
      <alignment horizontal="right"/>
      <protection/>
    </xf>
    <xf numFmtId="205" fontId="7" fillId="0" borderId="16" xfId="60" applyNumberFormat="1" applyFont="1" applyBorder="1" applyAlignment="1">
      <alignment horizontal="right"/>
      <protection/>
    </xf>
    <xf numFmtId="205" fontId="23" fillId="0" borderId="0" xfId="0" applyNumberFormat="1" applyFont="1" applyAlignment="1">
      <alignment/>
    </xf>
    <xf numFmtId="205" fontId="10" fillId="0" borderId="0" xfId="60" applyNumberFormat="1" applyFont="1">
      <alignment/>
      <protection/>
    </xf>
    <xf numFmtId="205" fontId="4" fillId="0" borderId="0" xfId="60" applyNumberFormat="1">
      <alignment/>
      <protection/>
    </xf>
    <xf numFmtId="205" fontId="5" fillId="0" borderId="11" xfId="45" applyNumberFormat="1" applyFont="1" applyBorder="1" applyAlignment="1">
      <alignment horizontal="center"/>
    </xf>
    <xf numFmtId="0" fontId="0" fillId="0" borderId="0" xfId="0" applyAlignment="1">
      <alignment vertical="top"/>
    </xf>
    <xf numFmtId="208" fontId="10" fillId="0" borderId="0" xfId="42" applyNumberFormat="1" applyFont="1" applyBorder="1" applyAlignment="1">
      <alignment horizontal="right"/>
    </xf>
    <xf numFmtId="0" fontId="5" fillId="0" borderId="0" xfId="60" applyFont="1" applyAlignment="1">
      <alignment vertical="top"/>
      <protection/>
    </xf>
    <xf numFmtId="205" fontId="5" fillId="0" borderId="0" xfId="60" applyNumberFormat="1" applyFont="1" applyAlignment="1">
      <alignment vertical="top"/>
      <protection/>
    </xf>
    <xf numFmtId="0" fontId="12" fillId="0" borderId="0" xfId="60" applyFont="1" applyAlignment="1">
      <alignment vertical="top"/>
      <protection/>
    </xf>
    <xf numFmtId="204" fontId="4" fillId="0" borderId="0" xfId="45" applyNumberFormat="1" applyFont="1" applyAlignment="1">
      <alignment horizontal="center" vertical="top"/>
    </xf>
    <xf numFmtId="0" fontId="0" fillId="0" borderId="12" xfId="0" applyFont="1" applyBorder="1" applyAlignment="1">
      <alignment vertical="top"/>
    </xf>
    <xf numFmtId="205" fontId="0" fillId="0" borderId="12" xfId="0" applyNumberFormat="1" applyFont="1" applyBorder="1" applyAlignment="1">
      <alignment vertical="top"/>
    </xf>
    <xf numFmtId="204" fontId="5" fillId="0" borderId="0" xfId="45" applyNumberFormat="1" applyFont="1" applyBorder="1" applyAlignment="1">
      <alignment vertical="top"/>
    </xf>
    <xf numFmtId="204" fontId="4" fillId="0" borderId="0" xfId="45" applyNumberFormat="1" applyFont="1" applyAlignment="1">
      <alignment vertical="top"/>
    </xf>
    <xf numFmtId="205" fontId="4" fillId="0" borderId="0" xfId="45" applyNumberFormat="1" applyFont="1" applyAlignment="1">
      <alignment vertical="top"/>
    </xf>
    <xf numFmtId="204" fontId="5" fillId="0" borderId="13" xfId="45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205" fontId="0" fillId="0" borderId="0" xfId="0" applyNumberFormat="1" applyFont="1" applyAlignment="1">
      <alignment vertical="top"/>
    </xf>
    <xf numFmtId="205" fontId="4" fillId="0" borderId="0" xfId="60" applyNumberFormat="1" applyFont="1" applyAlignment="1">
      <alignment vertical="top"/>
      <protection/>
    </xf>
    <xf numFmtId="205" fontId="7" fillId="0" borderId="0" xfId="60" applyNumberFormat="1" applyFont="1" applyAlignment="1">
      <alignment horizontal="right" vertical="top"/>
      <protection/>
    </xf>
    <xf numFmtId="205" fontId="5" fillId="0" borderId="0" xfId="45" applyNumberFormat="1" applyFont="1" applyBorder="1" applyAlignment="1">
      <alignment vertical="top"/>
    </xf>
    <xf numFmtId="0" fontId="7" fillId="0" borderId="13" xfId="60" applyFont="1" applyBorder="1" applyAlignment="1">
      <alignment vertical="top"/>
      <protection/>
    </xf>
    <xf numFmtId="0" fontId="11" fillId="0" borderId="13" xfId="60" applyFont="1" applyBorder="1" applyAlignment="1">
      <alignment horizontal="left" vertical="top"/>
      <protection/>
    </xf>
    <xf numFmtId="0" fontId="5" fillId="0" borderId="13" xfId="60" applyFont="1" applyBorder="1" applyAlignment="1">
      <alignment horizontal="center" vertical="top"/>
      <protection/>
    </xf>
    <xf numFmtId="205" fontId="11" fillId="0" borderId="11" xfId="45" applyNumberFormat="1" applyFont="1" applyBorder="1" applyAlignment="1">
      <alignment horizontal="right"/>
    </xf>
    <xf numFmtId="205" fontId="11" fillId="0" borderId="0" xfId="45" applyNumberFormat="1" applyFont="1" applyBorder="1" applyAlignment="1">
      <alignment/>
    </xf>
    <xf numFmtId="205" fontId="11" fillId="0" borderId="0" xfId="60" applyNumberFormat="1" applyFont="1" applyBorder="1" applyAlignment="1">
      <alignment horizontal="right"/>
      <protection/>
    </xf>
    <xf numFmtId="203" fontId="11" fillId="0" borderId="0" xfId="45" applyNumberFormat="1" applyFont="1" applyBorder="1" applyAlignment="1">
      <alignment horizontal="right"/>
    </xf>
    <xf numFmtId="204" fontId="0" fillId="0" borderId="0" xfId="0" applyNumberFormat="1" applyFont="1" applyBorder="1" applyAlignment="1">
      <alignment/>
    </xf>
    <xf numFmtId="205" fontId="13" fillId="0" borderId="0" xfId="45" applyNumberFormat="1" applyFont="1" applyAlignment="1">
      <alignment/>
    </xf>
    <xf numFmtId="205" fontId="7" fillId="0" borderId="0" xfId="68" applyNumberFormat="1" applyFont="1" applyBorder="1" applyAlignment="1">
      <alignment horizontal="right"/>
      <protection/>
    </xf>
    <xf numFmtId="205" fontId="7" fillId="0" borderId="11" xfId="68" applyNumberFormat="1" applyFont="1" applyBorder="1" applyAlignment="1">
      <alignment horizontal="right"/>
      <protection/>
    </xf>
    <xf numFmtId="205" fontId="7" fillId="0" borderId="0" xfId="68" applyNumberFormat="1" applyFont="1" applyBorder="1">
      <alignment/>
      <protection/>
    </xf>
    <xf numFmtId="205" fontId="18" fillId="0" borderId="0" xfId="42" applyNumberFormat="1" applyFont="1" applyAlignment="1">
      <alignment/>
    </xf>
    <xf numFmtId="205" fontId="10" fillId="0" borderId="0" xfId="68" applyNumberFormat="1" applyFont="1">
      <alignment/>
      <protection/>
    </xf>
    <xf numFmtId="204" fontId="7" fillId="0" borderId="18" xfId="68" applyNumberFormat="1" applyFont="1" applyBorder="1" applyAlignment="1">
      <alignment horizontal="right"/>
      <protection/>
    </xf>
    <xf numFmtId="204" fontId="7" fillId="0" borderId="19" xfId="68" applyNumberFormat="1" applyFont="1" applyBorder="1" applyAlignment="1">
      <alignment horizontal="right"/>
      <protection/>
    </xf>
    <xf numFmtId="205" fontId="7" fillId="0" borderId="20" xfId="68" applyNumberFormat="1" applyFont="1" applyBorder="1" applyAlignment="1">
      <alignment horizontal="right"/>
      <protection/>
    </xf>
    <xf numFmtId="205" fontId="7" fillId="0" borderId="21" xfId="68" applyNumberFormat="1" applyFont="1" applyBorder="1" applyAlignment="1">
      <alignment horizontal="right"/>
      <protection/>
    </xf>
    <xf numFmtId="205" fontId="5" fillId="0" borderId="0" xfId="60" applyNumberFormat="1" applyFont="1" applyFill="1" applyAlignment="1">
      <alignment horizontal="right"/>
      <protection/>
    </xf>
    <xf numFmtId="205" fontId="11" fillId="0" borderId="10" xfId="45" applyNumberFormat="1" applyFont="1" applyBorder="1" applyAlignment="1">
      <alignment horizontal="right"/>
    </xf>
    <xf numFmtId="205" fontId="30" fillId="0" borderId="0" xfId="0" applyNumberFormat="1" applyFont="1" applyAlignment="1">
      <alignment/>
    </xf>
    <xf numFmtId="0" fontId="13" fillId="0" borderId="11" xfId="60" applyFont="1" applyBorder="1">
      <alignment/>
      <protection/>
    </xf>
    <xf numFmtId="205" fontId="1" fillId="0" borderId="0" xfId="45" applyNumberFormat="1" applyFont="1" applyAlignment="1">
      <alignment/>
    </xf>
    <xf numFmtId="203" fontId="7" fillId="0" borderId="0" xfId="68" applyNumberFormat="1" applyFont="1" applyBorder="1" applyAlignment="1">
      <alignment horizontal="right"/>
      <protection/>
    </xf>
    <xf numFmtId="203" fontId="7" fillId="0" borderId="11" xfId="68" applyNumberFormat="1" applyFont="1" applyBorder="1" applyAlignment="1">
      <alignment horizontal="right"/>
      <protection/>
    </xf>
    <xf numFmtId="203" fontId="7" fillId="0" borderId="0" xfId="68" applyNumberFormat="1" applyFont="1" applyBorder="1">
      <alignment/>
      <protection/>
    </xf>
    <xf numFmtId="203" fontId="18" fillId="0" borderId="0" xfId="42" applyNumberFormat="1" applyFont="1" applyAlignment="1">
      <alignment/>
    </xf>
    <xf numFmtId="203" fontId="10" fillId="0" borderId="0" xfId="68" applyNumberFormat="1" applyFont="1">
      <alignment/>
      <protection/>
    </xf>
    <xf numFmtId="203" fontId="0" fillId="0" borderId="0" xfId="0" applyNumberFormat="1" applyFont="1" applyAlignment="1">
      <alignment/>
    </xf>
    <xf numFmtId="203" fontId="7" fillId="0" borderId="20" xfId="68" applyNumberFormat="1" applyFont="1" applyBorder="1" applyAlignment="1">
      <alignment horizontal="right"/>
      <protection/>
    </xf>
    <xf numFmtId="204" fontId="7" fillId="0" borderId="20" xfId="68" applyNumberFormat="1" applyFont="1" applyBorder="1" applyAlignment="1">
      <alignment horizontal="right"/>
      <protection/>
    </xf>
    <xf numFmtId="204" fontId="7" fillId="0" borderId="21" xfId="68" applyNumberFormat="1" applyFont="1" applyBorder="1" applyAlignment="1">
      <alignment horizontal="right"/>
      <protection/>
    </xf>
    <xf numFmtId="1" fontId="5" fillId="0" borderId="0" xfId="45" applyNumberFormat="1" applyFont="1" applyBorder="1" applyAlignment="1">
      <alignment horizontal="right"/>
    </xf>
    <xf numFmtId="203" fontId="11" fillId="0" borderId="0" xfId="45" applyNumberFormat="1" applyFont="1" applyBorder="1" applyAlignment="1">
      <alignment/>
    </xf>
    <xf numFmtId="204" fontId="7" fillId="0" borderId="22" xfId="60" applyNumberFormat="1" applyFont="1" applyBorder="1">
      <alignment/>
      <protection/>
    </xf>
    <xf numFmtId="205" fontId="7" fillId="0" borderId="0" xfId="60" applyNumberFormat="1" applyFont="1" applyAlignment="1">
      <alignment/>
      <protection/>
    </xf>
    <xf numFmtId="205" fontId="5" fillId="0" borderId="12" xfId="46" applyNumberFormat="1" applyFont="1" applyBorder="1" applyAlignment="1">
      <alignment vertical="center"/>
    </xf>
    <xf numFmtId="205" fontId="7" fillId="0" borderId="0" xfId="46" applyNumberFormat="1" applyFont="1" applyBorder="1" applyAlignment="1">
      <alignment/>
    </xf>
    <xf numFmtId="205" fontId="5" fillId="0" borderId="0" xfId="46" applyNumberFormat="1" applyFont="1" applyBorder="1" applyAlignment="1">
      <alignment/>
    </xf>
    <xf numFmtId="205" fontId="5" fillId="0" borderId="14" xfId="46" applyNumberFormat="1" applyFont="1" applyBorder="1" applyAlignment="1">
      <alignment vertical="center"/>
    </xf>
    <xf numFmtId="205" fontId="10" fillId="0" borderId="0" xfId="60" applyNumberFormat="1" applyFont="1" applyAlignment="1">
      <alignment/>
      <protection/>
    </xf>
    <xf numFmtId="205" fontId="7" fillId="0" borderId="0" xfId="60" applyNumberFormat="1" applyFont="1" applyBorder="1" applyAlignment="1">
      <alignment vertical="center"/>
      <protection/>
    </xf>
    <xf numFmtId="205" fontId="7" fillId="0" borderId="0" xfId="60" applyNumberFormat="1" applyFont="1" applyBorder="1" applyAlignment="1">
      <alignment/>
      <protection/>
    </xf>
    <xf numFmtId="205" fontId="0" fillId="0" borderId="0" xfId="0" applyNumberFormat="1" applyAlignment="1">
      <alignment/>
    </xf>
    <xf numFmtId="205" fontId="4" fillId="0" borderId="0" xfId="60" applyNumberFormat="1" applyAlignment="1">
      <alignment/>
      <protection/>
    </xf>
    <xf numFmtId="205" fontId="10" fillId="0" borderId="0" xfId="46" applyNumberFormat="1" applyFont="1" applyAlignment="1">
      <alignment/>
    </xf>
    <xf numFmtId="205" fontId="5" fillId="0" borderId="11" xfId="46" applyNumberFormat="1" applyFont="1" applyBorder="1" applyAlignment="1">
      <alignment/>
    </xf>
    <xf numFmtId="205" fontId="16" fillId="0" borderId="0" xfId="46" applyNumberFormat="1" applyFont="1" applyBorder="1" applyAlignment="1">
      <alignment vertical="center"/>
    </xf>
    <xf numFmtId="205" fontId="4" fillId="0" borderId="0" xfId="46" applyNumberFormat="1" applyFont="1" applyAlignment="1">
      <alignment/>
    </xf>
    <xf numFmtId="203" fontId="5" fillId="0" borderId="11" xfId="46" applyNumberFormat="1" applyFont="1" applyBorder="1" applyAlignment="1">
      <alignment/>
    </xf>
    <xf numFmtId="205" fontId="7" fillId="0" borderId="0" xfId="46" applyNumberFormat="1" applyFont="1" applyFill="1" applyBorder="1" applyAlignment="1">
      <alignment/>
    </xf>
    <xf numFmtId="203" fontId="5" fillId="0" borderId="0" xfId="60" applyNumberFormat="1" applyFont="1" applyBorder="1">
      <alignment/>
      <protection/>
    </xf>
    <xf numFmtId="208" fontId="6" fillId="0" borderId="0" xfId="42" applyNumberFormat="1" applyFont="1" applyAlignment="1">
      <alignment/>
    </xf>
    <xf numFmtId="208" fontId="7" fillId="0" borderId="0" xfId="42" applyNumberFormat="1" applyFont="1" applyBorder="1" applyAlignment="1">
      <alignment/>
    </xf>
    <xf numFmtId="208" fontId="11" fillId="0" borderId="0" xfId="42" applyNumberFormat="1" applyFont="1" applyBorder="1" applyAlignment="1">
      <alignment horizontal="right"/>
    </xf>
    <xf numFmtId="208" fontId="11" fillId="0" borderId="11" xfId="42" applyNumberFormat="1" applyFont="1" applyBorder="1" applyAlignment="1">
      <alignment horizontal="right"/>
    </xf>
    <xf numFmtId="208" fontId="10" fillId="0" borderId="0" xfId="42" applyNumberFormat="1" applyFont="1" applyBorder="1" applyAlignment="1">
      <alignment/>
    </xf>
    <xf numFmtId="208" fontId="10" fillId="0" borderId="0" xfId="42" applyNumberFormat="1" applyFont="1" applyAlignment="1">
      <alignment/>
    </xf>
    <xf numFmtId="208" fontId="12" fillId="0" borderId="0" xfId="42" applyNumberFormat="1" applyFont="1" applyAlignment="1">
      <alignment/>
    </xf>
    <xf numFmtId="208" fontId="11" fillId="0" borderId="0" xfId="42" applyNumberFormat="1" applyFont="1" applyBorder="1" applyAlignment="1">
      <alignment/>
    </xf>
    <xf numFmtId="208" fontId="6" fillId="0" borderId="0" xfId="42" applyNumberFormat="1" applyFont="1" applyAlignment="1">
      <alignment horizontal="right"/>
    </xf>
    <xf numFmtId="208" fontId="12" fillId="0" borderId="0" xfId="42" applyNumberFormat="1" applyFont="1" applyAlignment="1">
      <alignment horizontal="right"/>
    </xf>
    <xf numFmtId="208" fontId="10" fillId="0" borderId="0" xfId="42" applyNumberFormat="1" applyFont="1" applyAlignment="1">
      <alignment horizontal="right"/>
    </xf>
    <xf numFmtId="208" fontId="5" fillId="0" borderId="0" xfId="42" applyNumberFormat="1" applyFont="1" applyBorder="1" applyAlignment="1">
      <alignment horizontal="right"/>
    </xf>
    <xf numFmtId="208" fontId="5" fillId="0" borderId="11" xfId="42" applyNumberFormat="1" applyFont="1" applyBorder="1" applyAlignment="1">
      <alignment horizontal="right"/>
    </xf>
    <xf numFmtId="205" fontId="0" fillId="0" borderId="0" xfId="0" applyNumberFormat="1" applyFont="1" applyAlignment="1">
      <alignment/>
    </xf>
    <xf numFmtId="205" fontId="4" fillId="0" borderId="0" xfId="60" applyNumberFormat="1" applyFont="1" applyAlignment="1">
      <alignment/>
      <protection/>
    </xf>
    <xf numFmtId="205" fontId="11" fillId="0" borderId="0" xfId="60" applyNumberFormat="1" applyFont="1" applyBorder="1" applyAlignment="1">
      <alignment/>
      <protection/>
    </xf>
    <xf numFmtId="205" fontId="11" fillId="0" borderId="11" xfId="60" applyNumberFormat="1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11" fillId="0" borderId="11" xfId="60" applyFont="1" applyBorder="1" applyAlignment="1">
      <alignment/>
      <protection/>
    </xf>
    <xf numFmtId="0" fontId="0" fillId="0" borderId="0" xfId="0" applyFont="1" applyAlignment="1">
      <alignment/>
    </xf>
    <xf numFmtId="0" fontId="11" fillId="0" borderId="0" xfId="60" applyFont="1" applyBorder="1" applyAlignment="1">
      <alignment horizontal="right"/>
      <protection/>
    </xf>
    <xf numFmtId="0" fontId="11" fillId="0" borderId="11" xfId="60" applyFont="1" applyBorder="1" applyAlignment="1">
      <alignment horizontal="right"/>
      <protection/>
    </xf>
    <xf numFmtId="205" fontId="11" fillId="0" borderId="11" xfId="60" applyNumberFormat="1" applyFont="1" applyBorder="1" applyAlignment="1">
      <alignment horizontal="right"/>
      <protection/>
    </xf>
    <xf numFmtId="0" fontId="0" fillId="0" borderId="0" xfId="0" applyFont="1" applyAlignment="1">
      <alignment horizontal="right"/>
    </xf>
    <xf numFmtId="205" fontId="0" fillId="0" borderId="0" xfId="0" applyNumberFormat="1" applyFont="1" applyAlignment="1">
      <alignment horizontal="right"/>
    </xf>
    <xf numFmtId="204" fontId="5" fillId="0" borderId="0" xfId="45" applyNumberFormat="1" applyFont="1" applyBorder="1" applyAlignment="1">
      <alignment/>
    </xf>
    <xf numFmtId="204" fontId="5" fillId="0" borderId="11" xfId="45" applyNumberFormat="1" applyFont="1" applyBorder="1" applyAlignment="1">
      <alignment/>
    </xf>
    <xf numFmtId="203" fontId="5" fillId="0" borderId="0" xfId="45" applyNumberFormat="1" applyFont="1" applyBorder="1" applyAlignment="1">
      <alignment/>
    </xf>
    <xf numFmtId="203" fontId="5" fillId="0" borderId="11" xfId="45" applyNumberFormat="1" applyFont="1" applyBorder="1" applyAlignment="1">
      <alignment/>
    </xf>
    <xf numFmtId="203" fontId="11" fillId="0" borderId="11" xfId="45" applyNumberFormat="1" applyFont="1" applyBorder="1" applyAlignment="1">
      <alignment horizontal="right"/>
    </xf>
    <xf numFmtId="0" fontId="5" fillId="35" borderId="0" xfId="61" applyFont="1" applyFill="1" applyBorder="1">
      <alignment/>
      <protection/>
    </xf>
    <xf numFmtId="0" fontId="7" fillId="35" borderId="0" xfId="61" applyFont="1" applyFill="1" applyBorder="1" applyAlignment="1">
      <alignment horizontal="center"/>
      <protection/>
    </xf>
    <xf numFmtId="208" fontId="7" fillId="35" borderId="0" xfId="42" applyNumberFormat="1" applyFont="1" applyFill="1" applyBorder="1" applyAlignment="1">
      <alignment/>
    </xf>
    <xf numFmtId="0" fontId="7" fillId="35" borderId="0" xfId="61" applyFont="1" applyFill="1" applyBorder="1">
      <alignment/>
      <protection/>
    </xf>
    <xf numFmtId="204" fontId="7" fillId="35" borderId="0" xfId="45" applyNumberFormat="1" applyFont="1" applyFill="1" applyBorder="1" applyAlignment="1">
      <alignment horizontal="center"/>
    </xf>
    <xf numFmtId="208" fontId="7" fillId="35" borderId="0" xfId="42" applyNumberFormat="1" applyFont="1" applyFill="1" applyBorder="1" applyAlignment="1">
      <alignment horizontal="right"/>
    </xf>
    <xf numFmtId="204" fontId="7" fillId="35" borderId="0" xfId="45" applyNumberFormat="1" applyFont="1" applyFill="1" applyBorder="1" applyAlignment="1">
      <alignment/>
    </xf>
    <xf numFmtId="0" fontId="5" fillId="35" borderId="10" xfId="61" applyFont="1" applyFill="1" applyBorder="1">
      <alignment/>
      <protection/>
    </xf>
    <xf numFmtId="204" fontId="7" fillId="35" borderId="10" xfId="45" applyNumberFormat="1" applyFont="1" applyFill="1" applyBorder="1" applyAlignment="1">
      <alignment horizontal="center"/>
    </xf>
    <xf numFmtId="208" fontId="7" fillId="35" borderId="10" xfId="42" applyNumberFormat="1" applyFont="1" applyFill="1" applyBorder="1" applyAlignment="1">
      <alignment/>
    </xf>
    <xf numFmtId="204" fontId="7" fillId="35" borderId="10" xfId="45" applyNumberFormat="1" applyFont="1" applyFill="1" applyBorder="1" applyAlignment="1">
      <alignment/>
    </xf>
    <xf numFmtId="208" fontId="7" fillId="35" borderId="10" xfId="42" applyNumberFormat="1" applyFont="1" applyFill="1" applyBorder="1" applyAlignment="1">
      <alignment horizontal="right"/>
    </xf>
    <xf numFmtId="0" fontId="7" fillId="35" borderId="10" xfId="61" applyFont="1" applyFill="1" applyBorder="1" applyAlignment="1">
      <alignment horizontal="center"/>
      <protection/>
    </xf>
    <xf numFmtId="204" fontId="5" fillId="35" borderId="10" xfId="61" applyNumberFormat="1" applyFont="1" applyFill="1" applyBorder="1" applyAlignment="1">
      <alignment horizontal="center"/>
      <protection/>
    </xf>
    <xf numFmtId="208" fontId="5" fillId="35" borderId="10" xfId="42" applyNumberFormat="1" applyFont="1" applyFill="1" applyBorder="1" applyAlignment="1">
      <alignment horizontal="right"/>
    </xf>
    <xf numFmtId="204" fontId="7" fillId="35" borderId="0" xfId="45" applyNumberFormat="1" applyFont="1" applyFill="1" applyBorder="1" applyAlignment="1">
      <alignment horizontal="right"/>
    </xf>
    <xf numFmtId="204" fontId="5" fillId="35" borderId="0" xfId="61" applyNumberFormat="1" applyFont="1" applyFill="1" applyBorder="1" applyAlignment="1">
      <alignment horizontal="center"/>
      <protection/>
    </xf>
    <xf numFmtId="208" fontId="5" fillId="35" borderId="0" xfId="42" applyNumberFormat="1" applyFont="1" applyFill="1" applyBorder="1" applyAlignment="1">
      <alignment horizontal="right"/>
    </xf>
    <xf numFmtId="0" fontId="5" fillId="35" borderId="0" xfId="61" applyFont="1" applyFill="1" applyBorder="1" applyAlignment="1">
      <alignment vertical="center"/>
      <protection/>
    </xf>
    <xf numFmtId="0" fontId="7" fillId="35" borderId="0" xfId="61" applyFont="1" applyFill="1" applyBorder="1" applyAlignment="1">
      <alignment horizontal="right"/>
      <protection/>
    </xf>
    <xf numFmtId="204" fontId="7" fillId="35" borderId="10" xfId="45" applyNumberFormat="1" applyFont="1" applyFill="1" applyBorder="1" applyAlignment="1">
      <alignment horizontal="right"/>
    </xf>
    <xf numFmtId="0" fontId="7" fillId="35" borderId="10" xfId="61" applyFont="1" applyFill="1" applyBorder="1" applyAlignment="1">
      <alignment horizontal="right"/>
      <protection/>
    </xf>
    <xf numFmtId="204" fontId="11" fillId="35" borderId="0" xfId="45" applyNumberFormat="1" applyFont="1" applyFill="1" applyBorder="1" applyAlignment="1">
      <alignment horizontal="right"/>
    </xf>
    <xf numFmtId="208" fontId="11" fillId="35" borderId="0" xfId="42" applyNumberFormat="1" applyFont="1" applyFill="1" applyBorder="1" applyAlignment="1">
      <alignment horizontal="right"/>
    </xf>
    <xf numFmtId="203" fontId="11" fillId="35" borderId="0" xfId="45" applyNumberFormat="1" applyFont="1" applyFill="1" applyBorder="1" applyAlignment="1">
      <alignment horizontal="right"/>
    </xf>
    <xf numFmtId="0" fontId="5" fillId="36" borderId="13" xfId="61" applyFont="1" applyFill="1" applyBorder="1" applyAlignment="1">
      <alignment horizontal="center"/>
      <protection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right"/>
    </xf>
    <xf numFmtId="205" fontId="0" fillId="36" borderId="13" xfId="0" applyNumberFormat="1" applyFont="1" applyFill="1" applyBorder="1" applyAlignment="1">
      <alignment horizontal="right"/>
    </xf>
    <xf numFmtId="0" fontId="5" fillId="36" borderId="12" xfId="61" applyFont="1" applyFill="1" applyBorder="1" applyAlignment="1">
      <alignment horizontal="right" vertical="center"/>
      <protection/>
    </xf>
    <xf numFmtId="208" fontId="5" fillId="36" borderId="12" xfId="42" applyNumberFormat="1" applyFont="1" applyFill="1" applyBorder="1" applyAlignment="1">
      <alignment horizontal="right" vertical="center"/>
    </xf>
    <xf numFmtId="204" fontId="5" fillId="36" borderId="12" xfId="45" applyNumberFormat="1" applyFont="1" applyFill="1" applyBorder="1" applyAlignment="1">
      <alignment horizontal="right" vertical="center"/>
    </xf>
    <xf numFmtId="208" fontId="5" fillId="36" borderId="13" xfId="42" applyNumberFormat="1" applyFont="1" applyFill="1" applyBorder="1" applyAlignment="1">
      <alignment/>
    </xf>
    <xf numFmtId="0" fontId="12" fillId="35" borderId="0" xfId="60" applyFont="1" applyFill="1" applyBorder="1" applyAlignment="1">
      <alignment/>
      <protection/>
    </xf>
    <xf numFmtId="205" fontId="12" fillId="35" borderId="0" xfId="45" applyNumberFormat="1" applyFont="1" applyFill="1" applyBorder="1" applyAlignment="1">
      <alignment/>
    </xf>
    <xf numFmtId="204" fontId="12" fillId="35" borderId="0" xfId="45" applyNumberFormat="1" applyFont="1" applyFill="1" applyBorder="1" applyAlignment="1">
      <alignment/>
    </xf>
    <xf numFmtId="204" fontId="12" fillId="35" borderId="0" xfId="45" applyNumberFormat="1" applyFont="1" applyFill="1" applyBorder="1" applyAlignment="1">
      <alignment horizontal="right"/>
    </xf>
    <xf numFmtId="205" fontId="12" fillId="35" borderId="0" xfId="45" applyNumberFormat="1" applyFont="1" applyFill="1" applyBorder="1" applyAlignment="1">
      <alignment horizontal="right"/>
    </xf>
    <xf numFmtId="0" fontId="11" fillId="35" borderId="0" xfId="60" applyFont="1" applyFill="1" applyBorder="1" applyAlignment="1">
      <alignment/>
      <protection/>
    </xf>
    <xf numFmtId="205" fontId="11" fillId="35" borderId="0" xfId="60" applyNumberFormat="1" applyFont="1" applyFill="1" applyBorder="1" applyAlignment="1">
      <alignment/>
      <protection/>
    </xf>
    <xf numFmtId="0" fontId="11" fillId="35" borderId="0" xfId="60" applyFont="1" applyFill="1" applyBorder="1" applyAlignment="1">
      <alignment horizontal="right"/>
      <protection/>
    </xf>
    <xf numFmtId="205" fontId="11" fillId="35" borderId="0" xfId="60" applyNumberFormat="1" applyFont="1" applyFill="1" applyBorder="1" applyAlignment="1">
      <alignment horizontal="right"/>
      <protection/>
    </xf>
    <xf numFmtId="204" fontId="5" fillId="35" borderId="0" xfId="45" applyNumberFormat="1" applyFont="1" applyFill="1" applyBorder="1" applyAlignment="1">
      <alignment/>
    </xf>
    <xf numFmtId="205" fontId="5" fillId="35" borderId="0" xfId="45" applyNumberFormat="1" applyFont="1" applyFill="1" applyBorder="1" applyAlignment="1">
      <alignment horizontal="right"/>
    </xf>
    <xf numFmtId="203" fontId="5" fillId="35" borderId="0" xfId="45" applyNumberFormat="1" applyFont="1" applyFill="1" applyBorder="1" applyAlignment="1">
      <alignment/>
    </xf>
    <xf numFmtId="205" fontId="5" fillId="36" borderId="23" xfId="45" applyNumberFormat="1" applyFont="1" applyFill="1" applyBorder="1" applyAlignment="1">
      <alignment horizontal="center" vertical="center"/>
    </xf>
    <xf numFmtId="205" fontId="5" fillId="36" borderId="24" xfId="45" applyNumberFormat="1" applyFont="1" applyFill="1" applyBorder="1" applyAlignment="1">
      <alignment horizontal="center" vertical="center"/>
    </xf>
    <xf numFmtId="0" fontId="5" fillId="36" borderId="25" xfId="60" applyFont="1" applyFill="1" applyBorder="1" applyAlignment="1">
      <alignment horizontal="center" vertical="center"/>
      <protection/>
    </xf>
    <xf numFmtId="205" fontId="5" fillId="36" borderId="14" xfId="45" applyNumberFormat="1" applyFont="1" applyFill="1" applyBorder="1" applyAlignment="1">
      <alignment horizontal="center" vertical="center"/>
    </xf>
    <xf numFmtId="0" fontId="5" fillId="36" borderId="14" xfId="60" applyFont="1" applyFill="1" applyBorder="1" applyAlignment="1">
      <alignment horizontal="center" vertical="center"/>
      <protection/>
    </xf>
    <xf numFmtId="205" fontId="5" fillId="36" borderId="26" xfId="45" applyNumberFormat="1" applyFont="1" applyFill="1" applyBorder="1" applyAlignment="1">
      <alignment horizontal="center" vertical="center"/>
    </xf>
    <xf numFmtId="204" fontId="5" fillId="36" borderId="14" xfId="45" applyNumberFormat="1" applyFont="1" applyFill="1" applyBorder="1" applyAlignment="1">
      <alignment horizontal="center" vertical="center"/>
    </xf>
    <xf numFmtId="203" fontId="5" fillId="36" borderId="14" xfId="45" applyNumberFormat="1" applyFont="1" applyFill="1" applyBorder="1" applyAlignment="1">
      <alignment horizontal="center" vertical="center"/>
    </xf>
    <xf numFmtId="204" fontId="5" fillId="36" borderId="26" xfId="45" applyNumberFormat="1" applyFont="1" applyFill="1" applyBorder="1" applyAlignment="1">
      <alignment horizontal="center" vertical="center"/>
    </xf>
    <xf numFmtId="0" fontId="16" fillId="35" borderId="0" xfId="60" applyFont="1" applyFill="1" applyBorder="1">
      <alignment/>
      <protection/>
    </xf>
    <xf numFmtId="0" fontId="0" fillId="35" borderId="18" xfId="68" applyFont="1" applyFill="1" applyBorder="1">
      <alignment/>
      <protection/>
    </xf>
    <xf numFmtId="205" fontId="0" fillId="35" borderId="0" xfId="68" applyNumberFormat="1" applyFont="1" applyFill="1" applyBorder="1">
      <alignment/>
      <protection/>
    </xf>
    <xf numFmtId="0" fontId="0" fillId="35" borderId="0" xfId="68" applyFont="1" applyFill="1" applyBorder="1">
      <alignment/>
      <protection/>
    </xf>
    <xf numFmtId="205" fontId="0" fillId="35" borderId="20" xfId="68" applyNumberFormat="1" applyFont="1" applyFill="1" applyBorder="1">
      <alignment/>
      <protection/>
    </xf>
    <xf numFmtId="205" fontId="0" fillId="35" borderId="15" xfId="68" applyNumberFormat="1" applyFont="1" applyFill="1" applyBorder="1">
      <alignment/>
      <protection/>
    </xf>
    <xf numFmtId="0" fontId="0" fillId="35" borderId="15" xfId="68" applyFont="1" applyFill="1" applyBorder="1">
      <alignment/>
      <protection/>
    </xf>
    <xf numFmtId="205" fontId="0" fillId="35" borderId="27" xfId="68" applyNumberFormat="1" applyFont="1" applyFill="1" applyBorder="1">
      <alignment/>
      <protection/>
    </xf>
    <xf numFmtId="203" fontId="0" fillId="35" borderId="0" xfId="68" applyNumberFormat="1" applyFont="1" applyFill="1" applyBorder="1">
      <alignment/>
      <protection/>
    </xf>
    <xf numFmtId="0" fontId="0" fillId="35" borderId="20" xfId="68" applyFont="1" applyFill="1" applyBorder="1">
      <alignment/>
      <protection/>
    </xf>
    <xf numFmtId="0" fontId="13" fillId="35" borderId="0" xfId="60" applyFont="1" applyFill="1">
      <alignment/>
      <protection/>
    </xf>
    <xf numFmtId="205" fontId="13" fillId="35" borderId="0" xfId="60" applyNumberFormat="1" applyFont="1" applyFill="1">
      <alignment/>
      <protection/>
    </xf>
    <xf numFmtId="204" fontId="7" fillId="35" borderId="0" xfId="60" applyNumberFormat="1" applyFont="1" applyFill="1" applyBorder="1">
      <alignment/>
      <protection/>
    </xf>
    <xf numFmtId="204" fontId="7" fillId="35" borderId="18" xfId="68" applyNumberFormat="1" applyFont="1" applyFill="1" applyBorder="1" applyAlignment="1">
      <alignment horizontal="right"/>
      <protection/>
    </xf>
    <xf numFmtId="205" fontId="7" fillId="35" borderId="0" xfId="68" applyNumberFormat="1" applyFont="1" applyFill="1" applyBorder="1" applyAlignment="1">
      <alignment horizontal="right"/>
      <protection/>
    </xf>
    <xf numFmtId="204" fontId="7" fillId="35" borderId="0" xfId="68" applyNumberFormat="1" applyFont="1" applyFill="1" applyBorder="1" applyAlignment="1">
      <alignment horizontal="right"/>
      <protection/>
    </xf>
    <xf numFmtId="205" fontId="7" fillId="35" borderId="20" xfId="68" applyNumberFormat="1" applyFont="1" applyFill="1" applyBorder="1" applyAlignment="1">
      <alignment horizontal="right"/>
      <protection/>
    </xf>
    <xf numFmtId="203" fontId="7" fillId="35" borderId="0" xfId="68" applyNumberFormat="1" applyFont="1" applyFill="1" applyBorder="1" applyAlignment="1">
      <alignment horizontal="right"/>
      <protection/>
    </xf>
    <xf numFmtId="204" fontId="7" fillId="35" borderId="20" xfId="68" applyNumberFormat="1" applyFont="1" applyFill="1" applyBorder="1" applyAlignment="1">
      <alignment horizontal="right"/>
      <protection/>
    </xf>
    <xf numFmtId="203" fontId="7" fillId="35" borderId="20" xfId="68" applyNumberFormat="1" applyFont="1" applyFill="1" applyBorder="1" applyAlignment="1">
      <alignment horizontal="right"/>
      <protection/>
    </xf>
    <xf numFmtId="0" fontId="13" fillId="0" borderId="0" xfId="61" applyFont="1">
      <alignment/>
      <protection/>
    </xf>
    <xf numFmtId="0" fontId="7" fillId="0" borderId="0" xfId="61" applyFont="1" applyAlignment="1">
      <alignment horizontal="right"/>
      <protection/>
    </xf>
    <xf numFmtId="204" fontId="24" fillId="0" borderId="0" xfId="45" applyNumberFormat="1" applyFont="1" applyAlignment="1">
      <alignment vertical="top"/>
    </xf>
    <xf numFmtId="205" fontId="24" fillId="0" borderId="0" xfId="45" applyNumberFormat="1" applyFont="1" applyAlignment="1">
      <alignment vertical="top"/>
    </xf>
    <xf numFmtId="209" fontId="5" fillId="0" borderId="0" xfId="42" applyNumberFormat="1" applyFont="1" applyBorder="1" applyAlignment="1">
      <alignment horizontal="right"/>
    </xf>
    <xf numFmtId="208" fontId="24" fillId="0" borderId="0" xfId="42" applyNumberFormat="1" applyFont="1" applyBorder="1" applyAlignment="1">
      <alignment horizontal="right" vertical="top"/>
    </xf>
    <xf numFmtId="208" fontId="24" fillId="0" borderId="0" xfId="42" applyNumberFormat="1" applyFont="1" applyBorder="1" applyAlignment="1">
      <alignment horizontal="right"/>
    </xf>
    <xf numFmtId="209" fontId="24" fillId="0" borderId="0" xfId="42" applyNumberFormat="1" applyFont="1" applyBorder="1" applyAlignment="1">
      <alignment horizontal="right"/>
    </xf>
    <xf numFmtId="0" fontId="5" fillId="0" borderId="28" xfId="60" applyFont="1" applyBorder="1">
      <alignment/>
      <protection/>
    </xf>
    <xf numFmtId="0" fontId="11" fillId="0" borderId="29" xfId="60" applyFont="1" applyBorder="1" applyAlignment="1">
      <alignment vertical="top" wrapText="1"/>
      <protection/>
    </xf>
    <xf numFmtId="0" fontId="11" fillId="0" borderId="29" xfId="60" applyFont="1" applyBorder="1" applyAlignment="1">
      <alignment vertical="top"/>
      <protection/>
    </xf>
    <xf numFmtId="0" fontId="11" fillId="0" borderId="29" xfId="60" applyFont="1" applyBorder="1">
      <alignment/>
      <protection/>
    </xf>
    <xf numFmtId="0" fontId="5" fillId="0" borderId="28" xfId="60" applyFont="1" applyBorder="1" applyAlignment="1">
      <alignment horizontal="left"/>
      <protection/>
    </xf>
    <xf numFmtId="0" fontId="24" fillId="0" borderId="29" xfId="60" applyFont="1" applyBorder="1" applyAlignment="1">
      <alignment horizontal="left"/>
      <protection/>
    </xf>
    <xf numFmtId="0" fontId="24" fillId="0" borderId="29" xfId="60" applyFont="1" applyBorder="1" applyAlignment="1">
      <alignment vertical="top" wrapText="1"/>
      <protection/>
    </xf>
    <xf numFmtId="208" fontId="24" fillId="0" borderId="29" xfId="42" applyNumberFormat="1" applyFont="1" applyBorder="1" applyAlignment="1">
      <alignment horizontal="right" vertical="top"/>
    </xf>
    <xf numFmtId="0" fontId="24" fillId="0" borderId="30" xfId="0" applyFont="1" applyBorder="1" applyAlignment="1">
      <alignment vertical="top" wrapText="1"/>
    </xf>
    <xf numFmtId="0" fontId="27" fillId="0" borderId="0" xfId="60" applyFont="1" applyBorder="1">
      <alignment/>
      <protection/>
    </xf>
    <xf numFmtId="209" fontId="5" fillId="0" borderId="31" xfId="42" applyNumberFormat="1" applyFont="1" applyBorder="1" applyAlignment="1">
      <alignment horizontal="right"/>
    </xf>
    <xf numFmtId="208" fontId="5" fillId="0" borderId="31" xfId="42" applyNumberFormat="1" applyFont="1" applyBorder="1" applyAlignment="1">
      <alignment horizontal="right"/>
    </xf>
    <xf numFmtId="209" fontId="5" fillId="0" borderId="29" xfId="42" applyNumberFormat="1" applyFont="1" applyBorder="1" applyAlignment="1">
      <alignment horizontal="right"/>
    </xf>
    <xf numFmtId="208" fontId="5" fillId="0" borderId="29" xfId="42" applyNumberFormat="1" applyFont="1" applyBorder="1" applyAlignment="1">
      <alignment horizontal="right"/>
    </xf>
    <xf numFmtId="209" fontId="5" fillId="0" borderId="29" xfId="42" applyNumberFormat="1" applyFont="1" applyBorder="1" applyAlignment="1">
      <alignment/>
    </xf>
    <xf numFmtId="0" fontId="24" fillId="0" borderId="29" xfId="60" applyFont="1" applyBorder="1" applyAlignment="1">
      <alignment horizontal="center" vertical="top"/>
      <protection/>
    </xf>
    <xf numFmtId="208" fontId="11" fillId="0" borderId="29" xfId="42" applyNumberFormat="1" applyFont="1" applyBorder="1" applyAlignment="1">
      <alignment horizontal="right" vertical="top" wrapText="1"/>
    </xf>
    <xf numFmtId="0" fontId="5" fillId="33" borderId="32" xfId="60" applyFont="1" applyFill="1" applyBorder="1" applyAlignment="1">
      <alignment horizontal="right"/>
      <protection/>
    </xf>
    <xf numFmtId="208" fontId="5" fillId="33" borderId="32" xfId="42" applyNumberFormat="1" applyFont="1" applyFill="1" applyBorder="1" applyAlignment="1">
      <alignment horizontal="right"/>
    </xf>
    <xf numFmtId="209" fontId="5" fillId="33" borderId="32" xfId="42" applyNumberFormat="1" applyFont="1" applyFill="1" applyBorder="1" applyAlignment="1">
      <alignment/>
    </xf>
    <xf numFmtId="209" fontId="5" fillId="33" borderId="32" xfId="42" applyNumberFormat="1" applyFont="1" applyFill="1" applyBorder="1" applyAlignment="1">
      <alignment horizontal="right"/>
    </xf>
    <xf numFmtId="0" fontId="5" fillId="0" borderId="29" xfId="60" applyFont="1" applyBorder="1">
      <alignment/>
      <protection/>
    </xf>
    <xf numFmtId="208" fontId="5" fillId="0" borderId="28" xfId="42" applyNumberFormat="1" applyFont="1" applyBorder="1" applyAlignment="1">
      <alignment horizontal="right"/>
    </xf>
    <xf numFmtId="0" fontId="24" fillId="0" borderId="29" xfId="60" applyFont="1" applyBorder="1" applyAlignment="1">
      <alignment horizontal="center" vertical="top" wrapText="1"/>
      <protection/>
    </xf>
    <xf numFmtId="209" fontId="11" fillId="0" borderId="29" xfId="42" applyNumberFormat="1" applyFont="1" applyBorder="1" applyAlignment="1">
      <alignment horizontal="right" vertical="top"/>
    </xf>
    <xf numFmtId="208" fontId="11" fillId="0" borderId="29" xfId="42" applyNumberFormat="1" applyFont="1" applyBorder="1" applyAlignment="1">
      <alignment horizontal="right" vertical="top"/>
    </xf>
    <xf numFmtId="208" fontId="5" fillId="0" borderId="28" xfId="42" applyNumberFormat="1" applyFont="1" applyFill="1" applyBorder="1" applyAlignment="1">
      <alignment horizontal="right"/>
    </xf>
    <xf numFmtId="209" fontId="11" fillId="0" borderId="29" xfId="42" applyNumberFormat="1" applyFont="1" applyBorder="1" applyAlignment="1">
      <alignment vertical="top"/>
    </xf>
    <xf numFmtId="0" fontId="11" fillId="0" borderId="29" xfId="60" applyFont="1" applyBorder="1" applyAlignment="1" quotePrefix="1">
      <alignment vertical="top" wrapText="1"/>
      <protection/>
    </xf>
    <xf numFmtId="209" fontId="11" fillId="0" borderId="29" xfId="42" applyNumberFormat="1" applyFont="1" applyBorder="1" applyAlignment="1">
      <alignment horizontal="right"/>
    </xf>
    <xf numFmtId="208" fontId="11" fillId="0" borderId="29" xfId="42" applyNumberFormat="1" applyFont="1" applyBorder="1" applyAlignment="1">
      <alignment horizontal="right"/>
    </xf>
    <xf numFmtId="209" fontId="11" fillId="0" borderId="29" xfId="42" applyNumberFormat="1" applyFont="1" applyBorder="1" applyAlignment="1">
      <alignment/>
    </xf>
    <xf numFmtId="0" fontId="24" fillId="0" borderId="0" xfId="60" applyFont="1" applyBorder="1">
      <alignment/>
      <protection/>
    </xf>
    <xf numFmtId="209" fontId="24" fillId="0" borderId="0" xfId="42" applyNumberFormat="1" applyFont="1" applyBorder="1" applyAlignment="1">
      <alignment/>
    </xf>
    <xf numFmtId="208" fontId="24" fillId="0" borderId="0" xfId="42" applyNumberFormat="1" applyFont="1" applyAlignment="1">
      <alignment horizontal="right"/>
    </xf>
    <xf numFmtId="0" fontId="24" fillId="0" borderId="29" xfId="0" applyFont="1" applyBorder="1" applyAlignment="1">
      <alignment/>
    </xf>
    <xf numFmtId="209" fontId="24" fillId="0" borderId="29" xfId="42" applyNumberFormat="1" applyFont="1" applyBorder="1" applyAlignment="1">
      <alignment vertical="top" wrapText="1"/>
    </xf>
    <xf numFmtId="208" fontId="24" fillId="0" borderId="29" xfId="42" applyNumberFormat="1" applyFont="1" applyBorder="1" applyAlignment="1">
      <alignment horizontal="right" vertical="top" wrapText="1"/>
    </xf>
    <xf numFmtId="0" fontId="24" fillId="0" borderId="29" xfId="0" applyFont="1" applyBorder="1" applyAlignment="1">
      <alignment vertical="top"/>
    </xf>
    <xf numFmtId="0" fontId="24" fillId="0" borderId="29" xfId="0" applyFont="1" applyBorder="1" applyAlignment="1">
      <alignment vertical="top" wrapText="1"/>
    </xf>
    <xf numFmtId="209" fontId="24" fillId="0" borderId="29" xfId="42" applyNumberFormat="1" applyFont="1" applyBorder="1" applyAlignment="1">
      <alignment horizontal="right"/>
    </xf>
    <xf numFmtId="208" fontId="24" fillId="0" borderId="29" xfId="42" applyNumberFormat="1" applyFont="1" applyBorder="1" applyAlignment="1">
      <alignment horizontal="right"/>
    </xf>
    <xf numFmtId="209" fontId="24" fillId="0" borderId="29" xfId="42" applyNumberFormat="1" applyFont="1" applyBorder="1" applyAlignment="1">
      <alignment/>
    </xf>
    <xf numFmtId="209" fontId="24" fillId="0" borderId="29" xfId="42" applyNumberFormat="1" applyFont="1" applyBorder="1" applyAlignment="1">
      <alignment horizontal="right" vertical="top" wrapText="1"/>
    </xf>
    <xf numFmtId="209" fontId="24" fillId="0" borderId="29" xfId="42" applyNumberFormat="1" applyFont="1" applyBorder="1" applyAlignment="1">
      <alignment horizontal="right" vertical="top"/>
    </xf>
    <xf numFmtId="209" fontId="24" fillId="0" borderId="29" xfId="42" applyNumberFormat="1" applyFont="1" applyBorder="1" applyAlignment="1">
      <alignment vertical="top"/>
    </xf>
    <xf numFmtId="0" fontId="24" fillId="0" borderId="29" xfId="60" applyFont="1" applyBorder="1">
      <alignment/>
      <protection/>
    </xf>
    <xf numFmtId="209" fontId="24" fillId="0" borderId="0" xfId="42" applyNumberFormat="1" applyFont="1" applyAlignment="1">
      <alignment horizontal="right"/>
    </xf>
    <xf numFmtId="209" fontId="24" fillId="0" borderId="0" xfId="42" applyNumberFormat="1" applyFont="1" applyAlignment="1">
      <alignment/>
    </xf>
    <xf numFmtId="0" fontId="4" fillId="0" borderId="29" xfId="0" applyFont="1" applyBorder="1" applyAlignment="1">
      <alignment/>
    </xf>
    <xf numFmtId="0" fontId="5" fillId="33" borderId="32" xfId="60" applyFont="1" applyFill="1" applyBorder="1">
      <alignment/>
      <protection/>
    </xf>
    <xf numFmtId="209" fontId="5" fillId="0" borderId="28" xfId="42" applyNumberFormat="1" applyFont="1" applyBorder="1" applyAlignment="1">
      <alignment horizontal="right"/>
    </xf>
    <xf numFmtId="209" fontId="5" fillId="0" borderId="28" xfId="42" applyNumberFormat="1" applyFont="1" applyBorder="1" applyAlignment="1">
      <alignment/>
    </xf>
    <xf numFmtId="209" fontId="4" fillId="0" borderId="28" xfId="42" applyNumberFormat="1" applyFont="1" applyBorder="1" applyAlignment="1">
      <alignment horizontal="right"/>
    </xf>
    <xf numFmtId="208" fontId="4" fillId="0" borderId="28" xfId="42" applyNumberFormat="1" applyFont="1" applyBorder="1" applyAlignment="1">
      <alignment horizontal="right"/>
    </xf>
    <xf numFmtId="209" fontId="4" fillId="0" borderId="28" xfId="42" applyNumberFormat="1" applyFont="1" applyBorder="1" applyAlignment="1">
      <alignment/>
    </xf>
    <xf numFmtId="0" fontId="24" fillId="0" borderId="29" xfId="0" applyFont="1" applyBorder="1" applyAlignment="1">
      <alignment horizontal="center" vertical="top" wrapText="1"/>
    </xf>
    <xf numFmtId="0" fontId="5" fillId="0" borderId="29" xfId="0" applyFont="1" applyBorder="1" applyAlignment="1">
      <alignment/>
    </xf>
    <xf numFmtId="209" fontId="5" fillId="0" borderId="28" xfId="42" applyNumberFormat="1" applyFont="1" applyFill="1" applyBorder="1" applyAlignment="1">
      <alignment horizontal="right"/>
    </xf>
    <xf numFmtId="209" fontId="5" fillId="0" borderId="28" xfId="42" applyNumberFormat="1" applyFont="1" applyFill="1" applyBorder="1" applyAlignment="1">
      <alignment/>
    </xf>
    <xf numFmtId="0" fontId="4" fillId="33" borderId="32" xfId="60" applyFont="1" applyFill="1" applyBorder="1">
      <alignment/>
      <protection/>
    </xf>
    <xf numFmtId="0" fontId="4" fillId="0" borderId="29" xfId="60" applyFont="1" applyBorder="1" applyAlignment="1">
      <alignment horizontal="center" vertical="top" wrapText="1"/>
      <protection/>
    </xf>
    <xf numFmtId="208" fontId="24" fillId="0" borderId="29" xfId="42" applyNumberFormat="1" applyFont="1" applyFill="1" applyBorder="1" applyAlignment="1">
      <alignment horizontal="right" vertical="top" wrapText="1"/>
    </xf>
    <xf numFmtId="209" fontId="24" fillId="0" borderId="29" xfId="42" applyNumberFormat="1" applyFont="1" applyFill="1" applyBorder="1" applyAlignment="1">
      <alignment horizontal="right" vertical="top"/>
    </xf>
    <xf numFmtId="209" fontId="24" fillId="0" borderId="29" xfId="42" applyNumberFormat="1" applyFont="1" applyFill="1" applyBorder="1" applyAlignment="1">
      <alignment vertical="top"/>
    </xf>
    <xf numFmtId="208" fontId="24" fillId="0" borderId="29" xfId="42" applyNumberFormat="1" applyFont="1" applyFill="1" applyBorder="1" applyAlignment="1">
      <alignment horizontal="right" vertical="top"/>
    </xf>
    <xf numFmtId="0" fontId="24" fillId="0" borderId="0" xfId="60" applyFont="1" applyBorder="1" applyAlignment="1">
      <alignment horizontal="center" vertical="top"/>
      <protection/>
    </xf>
    <xf numFmtId="0" fontId="4" fillId="0" borderId="29" xfId="60" applyFont="1" applyBorder="1" applyAlignment="1">
      <alignment horizontal="center" vertical="top"/>
      <protection/>
    </xf>
    <xf numFmtId="0" fontId="4" fillId="33" borderId="32" xfId="60" applyFont="1" applyFill="1" applyBorder="1" applyAlignment="1">
      <alignment horizontal="center" vertical="top"/>
      <protection/>
    </xf>
    <xf numFmtId="0" fontId="4" fillId="0" borderId="28" xfId="60" applyFont="1" applyBorder="1" applyAlignment="1">
      <alignment horizontal="center" vertical="top"/>
      <protection/>
    </xf>
    <xf numFmtId="0" fontId="5" fillId="0" borderId="28" xfId="60" applyFont="1" applyBorder="1" applyAlignment="1">
      <alignment horizontal="center" vertical="top"/>
      <protection/>
    </xf>
    <xf numFmtId="204" fontId="24" fillId="0" borderId="0" xfId="45" applyNumberFormat="1" applyFont="1" applyBorder="1" applyAlignment="1">
      <alignment horizontal="right" vertical="top"/>
    </xf>
    <xf numFmtId="205" fontId="24" fillId="0" borderId="0" xfId="45" applyNumberFormat="1" applyFont="1" applyBorder="1" applyAlignment="1">
      <alignment horizontal="right" vertical="top"/>
    </xf>
    <xf numFmtId="204" fontId="24" fillId="0" borderId="0" xfId="45" applyNumberFormat="1" applyFont="1" applyBorder="1" applyAlignment="1">
      <alignment horizontal="right"/>
    </xf>
    <xf numFmtId="0" fontId="4" fillId="0" borderId="0" xfId="61" applyFont="1">
      <alignment/>
      <protection/>
    </xf>
    <xf numFmtId="0" fontId="4" fillId="0" borderId="0" xfId="0" applyFont="1" applyAlignment="1">
      <alignment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17" xfId="61" applyFont="1" applyFill="1" applyBorder="1" applyAlignment="1">
      <alignment horizontal="left" vertical="center" wrapText="1"/>
      <protection/>
    </xf>
    <xf numFmtId="0" fontId="4" fillId="33" borderId="17" xfId="61" applyFont="1" applyFill="1" applyBorder="1">
      <alignment/>
      <protection/>
    </xf>
    <xf numFmtId="0" fontId="4" fillId="0" borderId="0" xfId="61" applyFont="1">
      <alignment/>
      <protection/>
    </xf>
    <xf numFmtId="0" fontId="4" fillId="33" borderId="17" xfId="61" applyFont="1" applyFill="1" applyBorder="1" applyAlignment="1">
      <alignment horizontal="left"/>
      <protection/>
    </xf>
    <xf numFmtId="0" fontId="5" fillId="0" borderId="0" xfId="61" applyFont="1">
      <alignment/>
      <protection/>
    </xf>
    <xf numFmtId="0" fontId="7" fillId="0" borderId="0" xfId="61" applyFont="1" applyBorder="1" applyAlignment="1">
      <alignment horizontal="left"/>
      <protection/>
    </xf>
    <xf numFmtId="0" fontId="10" fillId="0" borderId="0" xfId="61" applyFont="1" applyAlignment="1">
      <alignment horizontal="center"/>
      <protection/>
    </xf>
    <xf numFmtId="0" fontId="10" fillId="0" borderId="0" xfId="61" applyFont="1" applyBorder="1">
      <alignment/>
      <protection/>
    </xf>
    <xf numFmtId="0" fontId="10" fillId="0" borderId="0" xfId="61" applyFont="1">
      <alignment/>
      <protection/>
    </xf>
    <xf numFmtId="0" fontId="10" fillId="0" borderId="0" xfId="60" applyFont="1" applyBorder="1" applyAlignment="1">
      <alignment horizontal="left"/>
      <protection/>
    </xf>
    <xf numFmtId="204" fontId="7" fillId="0" borderId="0" xfId="45" applyNumberFormat="1" applyFont="1" applyBorder="1" applyAlignment="1">
      <alignment/>
    </xf>
    <xf numFmtId="0" fontId="7" fillId="0" borderId="0" xfId="60" applyFont="1" applyBorder="1" applyAlignment="1">
      <alignment horizontal="left"/>
      <protection/>
    </xf>
    <xf numFmtId="204" fontId="7" fillId="0" borderId="0" xfId="46" applyNumberFormat="1" applyFont="1" applyBorder="1" applyAlignment="1">
      <alignment vertical="center"/>
    </xf>
    <xf numFmtId="0" fontId="10" fillId="0" borderId="0" xfId="61" applyFont="1" applyBorder="1" applyAlignment="1">
      <alignment horizontal="left"/>
      <protection/>
    </xf>
    <xf numFmtId="204" fontId="22" fillId="0" borderId="0" xfId="46" applyNumberFormat="1" applyFont="1" applyBorder="1" applyAlignment="1">
      <alignment vertical="center"/>
    </xf>
    <xf numFmtId="0" fontId="10" fillId="0" borderId="0" xfId="61" applyFont="1" applyFill="1">
      <alignment/>
      <protection/>
    </xf>
    <xf numFmtId="37" fontId="7" fillId="0" borderId="0" xfId="42" applyNumberFormat="1" applyFont="1" applyBorder="1" applyAlignment="1">
      <alignment horizontal="right"/>
    </xf>
    <xf numFmtId="0" fontId="7" fillId="0" borderId="0" xfId="61" applyFont="1" applyFill="1" applyBorder="1" applyAlignment="1">
      <alignment horizontal="center"/>
      <protection/>
    </xf>
    <xf numFmtId="0" fontId="23" fillId="0" borderId="0" xfId="0" applyFont="1" applyFill="1" applyAlignment="1">
      <alignment/>
    </xf>
    <xf numFmtId="0" fontId="10" fillId="0" borderId="0" xfId="61" applyFont="1" applyAlignment="1">
      <alignment horizontal="center"/>
      <protection/>
    </xf>
    <xf numFmtId="0" fontId="10" fillId="0" borderId="0" xfId="61" applyFont="1" applyFill="1">
      <alignment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center" vertical="center"/>
      <protection/>
    </xf>
    <xf numFmtId="203" fontId="5" fillId="0" borderId="13" xfId="46" applyNumberFormat="1" applyFont="1" applyBorder="1" applyAlignment="1">
      <alignment horizontal="center" vertical="center" wrapText="1"/>
    </xf>
    <xf numFmtId="0" fontId="5" fillId="0" borderId="15" xfId="61" applyFont="1" applyBorder="1" applyAlignment="1">
      <alignment horizontal="left" vertical="top"/>
      <protection/>
    </xf>
    <xf numFmtId="0" fontId="32" fillId="0" borderId="0" xfId="61" applyFont="1" applyFill="1" applyBorder="1" applyAlignment="1">
      <alignment horizontal="left" vertical="top" wrapText="1"/>
      <protection/>
    </xf>
    <xf numFmtId="0" fontId="24" fillId="0" borderId="0" xfId="61" applyFont="1" applyBorder="1" applyAlignment="1">
      <alignment horizontal="center" vertical="top"/>
      <protection/>
    </xf>
    <xf numFmtId="206" fontId="24" fillId="0" borderId="0" xfId="46" applyNumberFormat="1" applyFont="1" applyBorder="1" applyAlignment="1">
      <alignment horizontal="right" vertical="top" wrapText="1"/>
    </xf>
    <xf numFmtId="0" fontId="24" fillId="0" borderId="10" xfId="61" applyFont="1" applyBorder="1" applyAlignment="1">
      <alignment horizontal="center" vertical="top" wrapText="1"/>
      <protection/>
    </xf>
    <xf numFmtId="206" fontId="24" fillId="0" borderId="10" xfId="46" applyNumberFormat="1" applyFont="1" applyBorder="1" applyAlignment="1">
      <alignment horizontal="right" vertical="top" wrapText="1"/>
    </xf>
    <xf numFmtId="0" fontId="24" fillId="0" borderId="0" xfId="61" applyFont="1" applyBorder="1" applyAlignment="1">
      <alignment horizontal="center" vertical="top" wrapText="1"/>
      <protection/>
    </xf>
    <xf numFmtId="0" fontId="5" fillId="33" borderId="17" xfId="61" applyFont="1" applyFill="1" applyBorder="1" applyAlignment="1">
      <alignment horizontal="left" vertical="top" wrapText="1"/>
      <protection/>
    </xf>
    <xf numFmtId="0" fontId="5" fillId="0" borderId="17" xfId="61" applyFont="1" applyBorder="1">
      <alignment/>
      <protection/>
    </xf>
    <xf numFmtId="0" fontId="33" fillId="0" borderId="17" xfId="0" applyFont="1" applyBorder="1" applyAlignment="1">
      <alignment/>
    </xf>
    <xf numFmtId="0" fontId="33" fillId="0" borderId="0" xfId="0" applyFont="1" applyAlignment="1">
      <alignment/>
    </xf>
    <xf numFmtId="0" fontId="5" fillId="33" borderId="16" xfId="61" applyFont="1" applyFill="1" applyBorder="1" applyAlignment="1">
      <alignment horizontal="left"/>
      <protection/>
    </xf>
    <xf numFmtId="0" fontId="5" fillId="33" borderId="16" xfId="61" applyFont="1" applyFill="1" applyBorder="1" applyAlignment="1">
      <alignment horizontal="center" vertical="center"/>
      <protection/>
    </xf>
    <xf numFmtId="0" fontId="5" fillId="33" borderId="16" xfId="61" applyFont="1" applyFill="1" applyBorder="1">
      <alignment/>
      <protection/>
    </xf>
    <xf numFmtId="206" fontId="5" fillId="33" borderId="16" xfId="61" applyNumberFormat="1" applyFont="1" applyFill="1" applyBorder="1" applyAlignment="1">
      <alignment horizontal="right" vertical="center"/>
      <protection/>
    </xf>
    <xf numFmtId="0" fontId="5" fillId="0" borderId="13" xfId="61" applyFont="1" applyBorder="1" applyAlignment="1">
      <alignment horizontal="left"/>
      <protection/>
    </xf>
    <xf numFmtId="0" fontId="5" fillId="0" borderId="13" xfId="61" applyFont="1" applyBorder="1" applyAlignment="1">
      <alignment vertical="center"/>
      <protection/>
    </xf>
    <xf numFmtId="0" fontId="33" fillId="0" borderId="0" xfId="0" applyFont="1" applyBorder="1" applyAlignment="1">
      <alignment/>
    </xf>
    <xf numFmtId="0" fontId="7" fillId="0" borderId="0" xfId="61" applyFont="1" applyBorder="1" applyAlignment="1">
      <alignment horizontal="center"/>
      <protection/>
    </xf>
    <xf numFmtId="3" fontId="5" fillId="33" borderId="17" xfId="61" applyNumberFormat="1" applyFont="1" applyFill="1" applyBorder="1" applyAlignment="1">
      <alignment horizontal="center" vertical="top"/>
      <protection/>
    </xf>
    <xf numFmtId="204" fontId="5" fillId="0" borderId="13" xfId="46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29" xfId="60" applyFont="1" applyBorder="1" applyAlignment="1">
      <alignment horizontal="left" vertical="top" wrapText="1"/>
      <protection/>
    </xf>
    <xf numFmtId="0" fontId="4" fillId="0" borderId="0" xfId="60" applyFont="1" applyBorder="1" quotePrefix="1">
      <alignment/>
      <protection/>
    </xf>
    <xf numFmtId="203" fontId="13" fillId="0" borderId="0" xfId="45" applyNumberFormat="1" applyFont="1" applyBorder="1" applyAlignment="1">
      <alignment/>
    </xf>
    <xf numFmtId="0" fontId="4" fillId="0" borderId="11" xfId="60" applyFont="1" applyBorder="1" quotePrefix="1">
      <alignment/>
      <protection/>
    </xf>
    <xf numFmtId="0" fontId="4" fillId="0" borderId="0" xfId="60" applyFont="1" applyBorder="1" applyAlignment="1">
      <alignment horizontal="center"/>
      <protection/>
    </xf>
    <xf numFmtId="205" fontId="4" fillId="0" borderId="0" xfId="45" applyNumberFormat="1" applyFont="1" applyBorder="1" applyAlignment="1">
      <alignment/>
    </xf>
    <xf numFmtId="204" fontId="4" fillId="0" borderId="0" xfId="45" applyNumberFormat="1" applyFont="1" applyBorder="1" applyAlignment="1">
      <alignment/>
    </xf>
    <xf numFmtId="204" fontId="4" fillId="0" borderId="0" xfId="45" applyNumberFormat="1" applyFont="1" applyBorder="1" applyAlignment="1">
      <alignment horizontal="center"/>
    </xf>
    <xf numFmtId="0" fontId="4" fillId="0" borderId="0" xfId="60" applyFont="1" applyBorder="1">
      <alignment/>
      <protection/>
    </xf>
    <xf numFmtId="205" fontId="4" fillId="0" borderId="0" xfId="60" applyNumberFormat="1" applyFont="1" applyBorder="1">
      <alignment/>
      <protection/>
    </xf>
    <xf numFmtId="208" fontId="5" fillId="33" borderId="13" xfId="42" applyNumberFormat="1" applyFont="1" applyFill="1" applyBorder="1" applyAlignment="1">
      <alignment horizontal="center"/>
    </xf>
    <xf numFmtId="209" fontId="5" fillId="33" borderId="13" xfId="42" applyNumberFormat="1" applyFont="1" applyFill="1" applyBorder="1" applyAlignment="1">
      <alignment/>
    </xf>
    <xf numFmtId="209" fontId="5" fillId="33" borderId="13" xfId="42" applyNumberFormat="1" applyFont="1" applyFill="1" applyBorder="1" applyAlignment="1">
      <alignment horizontal="center"/>
    </xf>
    <xf numFmtId="209" fontId="13" fillId="33" borderId="13" xfId="42" applyNumberFormat="1" applyFont="1" applyFill="1" applyBorder="1" applyAlignment="1">
      <alignment/>
    </xf>
    <xf numFmtId="0" fontId="20" fillId="0" borderId="12" xfId="60" applyFont="1" applyBorder="1" applyAlignment="1">
      <alignment horizontal="right" vertical="center"/>
      <protection/>
    </xf>
    <xf numFmtId="205" fontId="20" fillId="0" borderId="12" xfId="45" applyNumberFormat="1" applyFont="1" applyBorder="1" applyAlignment="1">
      <alignment horizontal="center" vertical="center"/>
    </xf>
    <xf numFmtId="0" fontId="20" fillId="0" borderId="12" xfId="60" applyFont="1" applyBorder="1" applyAlignment="1">
      <alignment horizontal="center" vertical="center"/>
      <protection/>
    </xf>
    <xf numFmtId="205" fontId="5" fillId="0" borderId="0" xfId="60" applyNumberFormat="1" applyFont="1" applyBorder="1">
      <alignment/>
      <protection/>
    </xf>
    <xf numFmtId="0" fontId="24" fillId="0" borderId="11" xfId="61" applyFont="1" applyBorder="1">
      <alignment/>
      <protection/>
    </xf>
    <xf numFmtId="208" fontId="5" fillId="0" borderId="13" xfId="42" applyNumberFormat="1" applyFont="1" applyBorder="1" applyAlignment="1">
      <alignment vertical="center"/>
    </xf>
    <xf numFmtId="208" fontId="5" fillId="0" borderId="0" xfId="42" applyNumberFormat="1" applyFont="1" applyBorder="1" applyAlignment="1">
      <alignment vertical="center"/>
    </xf>
    <xf numFmtId="0" fontId="24" fillId="34" borderId="0" xfId="61" applyFont="1" applyFill="1" applyBorder="1" applyAlignment="1">
      <alignment vertical="top"/>
      <protection/>
    </xf>
    <xf numFmtId="204" fontId="7" fillId="35" borderId="18" xfId="68" applyNumberFormat="1" applyFont="1" applyFill="1" applyBorder="1">
      <alignment/>
      <protection/>
    </xf>
    <xf numFmtId="205" fontId="7" fillId="35" borderId="0" xfId="68" applyNumberFormat="1" applyFont="1" applyFill="1" applyBorder="1">
      <alignment/>
      <protection/>
    </xf>
    <xf numFmtId="204" fontId="7" fillId="35" borderId="0" xfId="68" applyNumberFormat="1" applyFont="1" applyFill="1" applyBorder="1">
      <alignment/>
      <protection/>
    </xf>
    <xf numFmtId="205" fontId="7" fillId="35" borderId="20" xfId="68" applyNumberFormat="1" applyFont="1" applyFill="1" applyBorder="1">
      <alignment/>
      <protection/>
    </xf>
    <xf numFmtId="203" fontId="7" fillId="35" borderId="0" xfId="68" applyNumberFormat="1" applyFont="1" applyFill="1" applyBorder="1">
      <alignment/>
      <protection/>
    </xf>
    <xf numFmtId="204" fontId="7" fillId="35" borderId="20" xfId="68" applyNumberFormat="1" applyFont="1" applyFill="1" applyBorder="1">
      <alignment/>
      <protection/>
    </xf>
    <xf numFmtId="203" fontId="7" fillId="0" borderId="21" xfId="68" applyNumberFormat="1" applyFont="1" applyBorder="1" applyAlignment="1">
      <alignment horizontal="right"/>
      <protection/>
    </xf>
    <xf numFmtId="204" fontId="7" fillId="0" borderId="11" xfId="60" applyNumberFormat="1" applyFont="1" applyBorder="1">
      <alignment/>
      <protection/>
    </xf>
    <xf numFmtId="0" fontId="16" fillId="0" borderId="11" xfId="60" applyFont="1" applyFill="1" applyBorder="1">
      <alignment/>
      <protection/>
    </xf>
    <xf numFmtId="0" fontId="16" fillId="0" borderId="13" xfId="60" applyFont="1" applyBorder="1" applyAlignment="1">
      <alignment horizontal="center" vertical="center"/>
      <protection/>
    </xf>
    <xf numFmtId="0" fontId="16" fillId="0" borderId="13" xfId="60" applyFont="1" applyBorder="1" applyAlignment="1">
      <alignment vertical="center"/>
      <protection/>
    </xf>
    <xf numFmtId="204" fontId="11" fillId="0" borderId="11" xfId="45" applyNumberFormat="1" applyFont="1" applyBorder="1" applyAlignment="1">
      <alignment/>
    </xf>
    <xf numFmtId="208" fontId="11" fillId="0" borderId="11" xfId="42" applyNumberFormat="1" applyFont="1" applyBorder="1" applyAlignment="1">
      <alignment/>
    </xf>
    <xf numFmtId="208" fontId="7" fillId="0" borderId="20" xfId="42" applyNumberFormat="1" applyFont="1" applyBorder="1" applyAlignment="1">
      <alignment horizontal="right"/>
    </xf>
    <xf numFmtId="208" fontId="7" fillId="0" borderId="0" xfId="42" applyNumberFormat="1" applyFont="1" applyAlignment="1">
      <alignment/>
    </xf>
    <xf numFmtId="208" fontId="7" fillId="0" borderId="11" xfId="42" applyNumberFormat="1" applyFont="1" applyBorder="1" applyAlignment="1">
      <alignment/>
    </xf>
    <xf numFmtId="208" fontId="7" fillId="35" borderId="0" xfId="42" applyNumberFormat="1" applyFont="1" applyFill="1" applyAlignment="1">
      <alignment/>
    </xf>
    <xf numFmtId="208" fontId="7" fillId="0" borderId="13" xfId="42" applyNumberFormat="1" applyFont="1" applyBorder="1" applyAlignment="1">
      <alignment/>
    </xf>
    <xf numFmtId="208" fontId="7" fillId="0" borderId="0" xfId="42" applyNumberFormat="1" applyFont="1" applyBorder="1" applyAlignment="1">
      <alignment horizontal="right"/>
    </xf>
    <xf numFmtId="208" fontId="7" fillId="0" borderId="11" xfId="42" applyNumberFormat="1" applyFont="1" applyBorder="1" applyAlignment="1">
      <alignment horizontal="right"/>
    </xf>
    <xf numFmtId="208" fontId="11" fillId="35" borderId="0" xfId="42" applyNumberFormat="1" applyFont="1" applyFill="1" applyBorder="1" applyAlignment="1">
      <alignment/>
    </xf>
    <xf numFmtId="208" fontId="0" fillId="36" borderId="13" xfId="42" applyNumberFormat="1" applyFont="1" applyFill="1" applyBorder="1" applyAlignment="1">
      <alignment/>
    </xf>
    <xf numFmtId="208" fontId="0" fillId="36" borderId="13" xfId="42" applyNumberFormat="1" applyFont="1" applyFill="1" applyBorder="1" applyAlignment="1">
      <alignment horizontal="right"/>
    </xf>
    <xf numFmtId="209" fontId="0" fillId="36" borderId="13" xfId="42" applyNumberFormat="1" applyFont="1" applyFill="1" applyBorder="1" applyAlignment="1">
      <alignment/>
    </xf>
    <xf numFmtId="0" fontId="5" fillId="36" borderId="13" xfId="60" applyFont="1" applyFill="1" applyBorder="1" applyAlignment="1">
      <alignment horizontal="center"/>
      <protection/>
    </xf>
    <xf numFmtId="205" fontId="5" fillId="36" borderId="13" xfId="45" applyNumberFormat="1" applyFont="1" applyFill="1" applyBorder="1" applyAlignment="1">
      <alignment horizontal="center"/>
    </xf>
    <xf numFmtId="205" fontId="11" fillId="0" borderId="11" xfId="45" applyNumberFormat="1" applyFont="1" applyBorder="1" applyAlignment="1">
      <alignment/>
    </xf>
    <xf numFmtId="208" fontId="5" fillId="0" borderId="13" xfId="42" applyNumberFormat="1" applyFont="1" applyBorder="1" applyAlignment="1">
      <alignment horizontal="center" vertical="top"/>
    </xf>
    <xf numFmtId="208" fontId="5" fillId="0" borderId="13" xfId="42" applyNumberFormat="1" applyFont="1" applyBorder="1" applyAlignment="1">
      <alignment vertical="top"/>
    </xf>
    <xf numFmtId="208" fontId="5" fillId="0" borderId="13" xfId="42" applyNumberFormat="1" applyFont="1" applyBorder="1" applyAlignment="1">
      <alignment horizontal="right" vertical="top"/>
    </xf>
    <xf numFmtId="208" fontId="5" fillId="0" borderId="0" xfId="42" applyNumberFormat="1" applyFont="1" applyAlignment="1">
      <alignment/>
    </xf>
    <xf numFmtId="208" fontId="0" fillId="0" borderId="12" xfId="42" applyNumberFormat="1" applyFont="1" applyBorder="1" applyAlignment="1">
      <alignment/>
    </xf>
    <xf numFmtId="208" fontId="20" fillId="0" borderId="12" xfId="42" applyNumberFormat="1" applyFont="1" applyBorder="1" applyAlignment="1">
      <alignment horizontal="right" vertical="center"/>
    </xf>
    <xf numFmtId="208" fontId="0" fillId="0" borderId="0" xfId="42" applyNumberFormat="1" applyFont="1" applyAlignment="1">
      <alignment/>
    </xf>
    <xf numFmtId="208" fontId="4" fillId="0" borderId="0" xfId="42" applyNumberFormat="1" applyFont="1" applyAlignment="1">
      <alignment/>
    </xf>
    <xf numFmtId="0" fontId="24" fillId="0" borderId="0" xfId="61" applyFont="1" applyBorder="1">
      <alignment/>
      <protection/>
    </xf>
    <xf numFmtId="203" fontId="5" fillId="0" borderId="0" xfId="61" applyNumberFormat="1" applyFont="1" applyBorder="1" applyAlignment="1">
      <alignment vertical="center"/>
      <protection/>
    </xf>
    <xf numFmtId="203" fontId="5" fillId="0" borderId="11" xfId="61" applyNumberFormat="1" applyFont="1" applyBorder="1" applyAlignment="1">
      <alignment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left" vertical="center" wrapText="1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24" fillId="0" borderId="12" xfId="61" applyFont="1" applyBorder="1" applyAlignment="1">
      <alignment horizontal="center"/>
      <protection/>
    </xf>
    <xf numFmtId="0" fontId="4" fillId="0" borderId="12" xfId="61" applyFill="1" applyBorder="1">
      <alignment/>
      <protection/>
    </xf>
    <xf numFmtId="0" fontId="4" fillId="0" borderId="12" xfId="61" applyBorder="1" applyAlignment="1">
      <alignment horizontal="center" vertical="center"/>
      <protection/>
    </xf>
    <xf numFmtId="209" fontId="5" fillId="0" borderId="31" xfId="42" applyNumberFormat="1" applyFont="1" applyBorder="1" applyAlignment="1">
      <alignment horizontal="center"/>
    </xf>
    <xf numFmtId="0" fontId="24" fillId="0" borderId="29" xfId="60" applyFont="1" applyBorder="1" applyAlignment="1" quotePrefix="1">
      <alignment vertical="top" wrapText="1"/>
      <protection/>
    </xf>
    <xf numFmtId="0" fontId="0" fillId="0" borderId="0" xfId="0" applyAlignment="1">
      <alignment horizontal="center"/>
    </xf>
    <xf numFmtId="0" fontId="7" fillId="0" borderId="0" xfId="61" applyFont="1" applyAlignment="1">
      <alignment horizontal="center"/>
      <protection/>
    </xf>
    <xf numFmtId="0" fontId="4" fillId="0" borderId="0" xfId="61" applyAlignment="1">
      <alignment horizontal="right"/>
      <protection/>
    </xf>
    <xf numFmtId="0" fontId="10" fillId="0" borderId="0" xfId="61" applyFont="1" applyAlignment="1">
      <alignment horizontal="right"/>
      <protection/>
    </xf>
    <xf numFmtId="0" fontId="5" fillId="0" borderId="0" xfId="61" applyFont="1" applyBorder="1" applyAlignment="1">
      <alignment horizontal="right"/>
      <protection/>
    </xf>
    <xf numFmtId="0" fontId="6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12" fillId="0" borderId="0" xfId="61" applyFont="1" applyAlignment="1">
      <alignment horizontal="right"/>
      <protection/>
    </xf>
    <xf numFmtId="0" fontId="11" fillId="0" borderId="29" xfId="61" applyFont="1" applyBorder="1" applyAlignment="1">
      <alignment horizontal="center" vertical="top" wrapText="1"/>
      <protection/>
    </xf>
    <xf numFmtId="0" fontId="4" fillId="0" borderId="29" xfId="61" applyFont="1" applyBorder="1" applyAlignment="1">
      <alignment horizontal="center" vertical="top"/>
      <protection/>
    </xf>
    <xf numFmtId="0" fontId="4" fillId="0" borderId="29" xfId="61" applyFont="1" applyBorder="1" applyAlignment="1">
      <alignment horizontal="right" vertical="top"/>
      <protection/>
    </xf>
    <xf numFmtId="0" fontId="11" fillId="33" borderId="33" xfId="61" applyFont="1" applyFill="1" applyBorder="1" applyAlignment="1">
      <alignment horizontal="center" vertical="center"/>
      <protection/>
    </xf>
    <xf numFmtId="0" fontId="24" fillId="33" borderId="32" xfId="61" applyFont="1" applyFill="1" applyBorder="1" applyAlignment="1">
      <alignment horizontal="left" vertical="center" wrapText="1"/>
      <protection/>
    </xf>
    <xf numFmtId="0" fontId="11" fillId="33" borderId="32" xfId="61" applyFont="1" applyFill="1" applyBorder="1" applyAlignment="1">
      <alignment horizontal="center" vertical="center"/>
      <protection/>
    </xf>
    <xf numFmtId="0" fontId="5" fillId="33" borderId="32" xfId="61" applyFont="1" applyFill="1" applyBorder="1" applyAlignment="1">
      <alignment horizontal="center" vertical="center"/>
      <protection/>
    </xf>
    <xf numFmtId="0" fontId="5" fillId="33" borderId="32" xfId="61" applyFont="1" applyFill="1" applyBorder="1" applyAlignment="1">
      <alignment horizontal="right" vertical="center"/>
      <protection/>
    </xf>
    <xf numFmtId="0" fontId="5" fillId="0" borderId="20" xfId="61" applyFont="1" applyBorder="1" applyAlignment="1">
      <alignment horizontal="center" vertical="top" wrapText="1"/>
      <protection/>
    </xf>
    <xf numFmtId="205" fontId="5" fillId="33" borderId="32" xfId="61" applyNumberFormat="1" applyFont="1" applyFill="1" applyBorder="1" applyAlignment="1">
      <alignment horizontal="right" vertical="center"/>
      <protection/>
    </xf>
    <xf numFmtId="0" fontId="7" fillId="0" borderId="34" xfId="61" applyFont="1" applyBorder="1" applyAlignment="1">
      <alignment horizontal="center" vertical="top"/>
      <protection/>
    </xf>
    <xf numFmtId="0" fontId="24" fillId="0" borderId="35" xfId="61" applyFont="1" applyBorder="1" applyAlignment="1">
      <alignment horizontal="left" vertical="top"/>
      <protection/>
    </xf>
    <xf numFmtId="0" fontId="7" fillId="0" borderId="35" xfId="61" applyFont="1" applyBorder="1" applyAlignment="1">
      <alignment horizontal="center" vertical="top"/>
      <protection/>
    </xf>
    <xf numFmtId="0" fontId="5" fillId="0" borderId="35" xfId="61" applyFont="1" applyFill="1" applyBorder="1" applyAlignment="1">
      <alignment horizontal="center" vertical="top"/>
      <protection/>
    </xf>
    <xf numFmtId="204" fontId="5" fillId="0" borderId="35" xfId="46" applyNumberFormat="1" applyFont="1" applyBorder="1" applyAlignment="1">
      <alignment vertical="top"/>
    </xf>
    <xf numFmtId="0" fontId="4" fillId="0" borderId="29" xfId="61" applyFont="1" applyBorder="1" applyAlignment="1">
      <alignment horizontal="left" vertical="top" wrapText="1"/>
      <protection/>
    </xf>
    <xf numFmtId="0" fontId="11" fillId="0" borderId="33" xfId="61" applyFont="1" applyBorder="1" applyAlignment="1">
      <alignment horizontal="center" vertical="top" wrapText="1"/>
      <protection/>
    </xf>
    <xf numFmtId="0" fontId="24" fillId="0" borderId="32" xfId="61" applyFont="1" applyBorder="1" applyAlignment="1">
      <alignment horizontal="left" vertical="top" wrapText="1"/>
      <protection/>
    </xf>
    <xf numFmtId="0" fontId="11" fillId="0" borderId="32" xfId="61" applyFont="1" applyBorder="1" applyAlignment="1">
      <alignment horizontal="center" vertical="top" wrapText="1"/>
      <protection/>
    </xf>
    <xf numFmtId="0" fontId="11" fillId="0" borderId="32" xfId="61" applyFont="1" applyBorder="1" applyAlignment="1">
      <alignment horizontal="center" vertical="top"/>
      <protection/>
    </xf>
    <xf numFmtId="0" fontId="24" fillId="0" borderId="32" xfId="61" applyFont="1" applyBorder="1" applyAlignment="1">
      <alignment horizontal="center" vertical="top"/>
      <protection/>
    </xf>
    <xf numFmtId="0" fontId="24" fillId="0" borderId="32" xfId="61" applyFont="1" applyBorder="1" applyAlignment="1">
      <alignment horizontal="right" vertical="top"/>
      <protection/>
    </xf>
    <xf numFmtId="0" fontId="31" fillId="0" borderId="32" xfId="61" applyFont="1" applyFill="1" applyBorder="1" applyAlignment="1">
      <alignment vertical="top" wrapText="1"/>
      <protection/>
    </xf>
    <xf numFmtId="0" fontId="31" fillId="0" borderId="32" xfId="61" applyFont="1" applyFill="1" applyBorder="1" applyAlignment="1">
      <alignment horizontal="left" vertical="top" wrapText="1"/>
      <protection/>
    </xf>
    <xf numFmtId="0" fontId="4" fillId="0" borderId="32" xfId="61" applyFont="1" applyBorder="1" applyAlignment="1">
      <alignment horizontal="center" vertical="top"/>
      <protection/>
    </xf>
    <xf numFmtId="0" fontId="4" fillId="0" borderId="32" xfId="61" applyFont="1" applyBorder="1" applyAlignment="1">
      <alignment horizontal="right" vertical="top"/>
      <protection/>
    </xf>
    <xf numFmtId="0" fontId="11" fillId="0" borderId="32" xfId="61" applyFont="1" applyFill="1" applyBorder="1" applyAlignment="1">
      <alignment vertical="top" wrapText="1"/>
      <protection/>
    </xf>
    <xf numFmtId="0" fontId="5" fillId="0" borderId="33" xfId="61" applyFont="1" applyBorder="1" applyAlignment="1">
      <alignment horizontal="center" vertical="top" wrapText="1"/>
      <protection/>
    </xf>
    <xf numFmtId="0" fontId="24" fillId="0" borderId="32" xfId="61" applyFont="1" applyBorder="1" applyAlignment="1">
      <alignment horizontal="left" vertical="top"/>
      <protection/>
    </xf>
    <xf numFmtId="0" fontId="4" fillId="0" borderId="0" xfId="61" applyAlignment="1">
      <alignment/>
      <protection/>
    </xf>
    <xf numFmtId="208" fontId="5" fillId="0" borderId="31" xfId="42" applyNumberFormat="1" applyFont="1" applyBorder="1" applyAlignment="1">
      <alignment/>
    </xf>
    <xf numFmtId="206" fontId="11" fillId="0" borderId="29" xfId="61" applyNumberFormat="1" applyFont="1" applyBorder="1" applyAlignment="1">
      <alignment vertical="top" wrapText="1"/>
      <protection/>
    </xf>
    <xf numFmtId="206" fontId="11" fillId="0" borderId="32" xfId="46" applyNumberFormat="1" applyFont="1" applyBorder="1" applyAlignment="1">
      <alignment vertical="top" wrapText="1"/>
    </xf>
    <xf numFmtId="206" fontId="4" fillId="0" borderId="32" xfId="61" applyNumberFormat="1" applyFont="1" applyBorder="1" applyAlignment="1">
      <alignment vertical="top" wrapText="1"/>
      <protection/>
    </xf>
    <xf numFmtId="206" fontId="11" fillId="0" borderId="32" xfId="46" applyNumberFormat="1" applyFont="1" applyBorder="1" applyAlignment="1">
      <alignment vertical="top"/>
    </xf>
    <xf numFmtId="0" fontId="5" fillId="33" borderId="32" xfId="61" applyFont="1" applyFill="1" applyBorder="1" applyAlignment="1">
      <alignment vertical="center"/>
      <protection/>
    </xf>
    <xf numFmtId="205" fontId="5" fillId="33" borderId="32" xfId="61" applyNumberFormat="1" applyFont="1" applyFill="1" applyBorder="1" applyAlignment="1">
      <alignment vertical="center"/>
      <protection/>
    </xf>
    <xf numFmtId="206" fontId="5" fillId="0" borderId="35" xfId="46" applyNumberFormat="1" applyFont="1" applyBorder="1" applyAlignment="1">
      <alignment vertical="top"/>
    </xf>
    <xf numFmtId="206" fontId="11" fillId="0" borderId="0" xfId="45" applyNumberFormat="1" applyFont="1" applyBorder="1" applyAlignment="1">
      <alignment/>
    </xf>
    <xf numFmtId="206" fontId="4" fillId="0" borderId="0" xfId="61" applyNumberFormat="1" applyAlignment="1">
      <alignment/>
      <protection/>
    </xf>
    <xf numFmtId="206" fontId="5" fillId="0" borderId="0" xfId="42" applyNumberFormat="1" applyFont="1" applyBorder="1" applyAlignment="1">
      <alignment/>
    </xf>
    <xf numFmtId="206" fontId="7" fillId="0" borderId="0" xfId="46" applyNumberFormat="1" applyFont="1" applyBorder="1" applyAlignment="1">
      <alignment/>
    </xf>
    <xf numFmtId="206" fontId="0" fillId="0" borderId="0" xfId="0" applyNumberFormat="1" applyAlignment="1">
      <alignment/>
    </xf>
    <xf numFmtId="0" fontId="0" fillId="0" borderId="0" xfId="0" applyAlignment="1">
      <alignment/>
    </xf>
    <xf numFmtId="0" fontId="12" fillId="0" borderId="0" xfId="61" applyFont="1" applyAlignment="1">
      <alignment/>
      <protection/>
    </xf>
    <xf numFmtId="0" fontId="4" fillId="0" borderId="29" xfId="61" applyFont="1" applyBorder="1" applyAlignment="1">
      <alignment vertical="top"/>
      <protection/>
    </xf>
    <xf numFmtId="0" fontId="24" fillId="0" borderId="32" xfId="61" applyFont="1" applyBorder="1" applyAlignment="1">
      <alignment vertical="top"/>
      <protection/>
    </xf>
    <xf numFmtId="0" fontId="24" fillId="0" borderId="32" xfId="61" applyFont="1" applyBorder="1" applyAlignment="1">
      <alignment/>
      <protection/>
    </xf>
    <xf numFmtId="0" fontId="7" fillId="0" borderId="0" xfId="61" applyFont="1" applyAlignment="1">
      <alignment/>
      <protection/>
    </xf>
    <xf numFmtId="0" fontId="10" fillId="0" borderId="0" xfId="61" applyFont="1" applyAlignment="1">
      <alignment/>
      <protection/>
    </xf>
    <xf numFmtId="0" fontId="5" fillId="0" borderId="0" xfId="61" applyFont="1" applyBorder="1" applyAlignment="1">
      <alignment/>
      <protection/>
    </xf>
    <xf numFmtId="0" fontId="6" fillId="0" borderId="0" xfId="61" applyFont="1" applyAlignment="1">
      <alignment/>
      <protection/>
    </xf>
    <xf numFmtId="206" fontId="4" fillId="0" borderId="32" xfId="61" applyNumberFormat="1" applyFont="1" applyBorder="1" applyAlignment="1">
      <alignment horizontal="right" vertical="top"/>
      <protection/>
    </xf>
    <xf numFmtId="0" fontId="5" fillId="33" borderId="28" xfId="60" applyFont="1" applyFill="1" applyBorder="1">
      <alignment/>
      <protection/>
    </xf>
    <xf numFmtId="0" fontId="4" fillId="33" borderId="28" xfId="60" applyFont="1" applyFill="1" applyBorder="1" applyAlignment="1">
      <alignment horizontal="center" vertical="top"/>
      <protection/>
    </xf>
    <xf numFmtId="0" fontId="5" fillId="33" borderId="28" xfId="60" applyFont="1" applyFill="1" applyBorder="1" applyAlignment="1">
      <alignment horizontal="right"/>
      <protection/>
    </xf>
    <xf numFmtId="209" fontId="5" fillId="33" borderId="28" xfId="42" applyNumberFormat="1" applyFont="1" applyFill="1" applyBorder="1" applyAlignment="1">
      <alignment horizontal="right"/>
    </xf>
    <xf numFmtId="208" fontId="5" fillId="33" borderId="28" xfId="42" applyNumberFormat="1" applyFont="1" applyFill="1" applyBorder="1" applyAlignment="1">
      <alignment horizontal="right"/>
    </xf>
    <xf numFmtId="209" fontId="5" fillId="33" borderId="35" xfId="42" applyNumberFormat="1" applyFont="1" applyFill="1" applyBorder="1" applyAlignment="1">
      <alignment horizontal="right" vertical="center"/>
    </xf>
    <xf numFmtId="208" fontId="5" fillId="33" borderId="35" xfId="42" applyNumberFormat="1" applyFont="1" applyFill="1" applyBorder="1" applyAlignment="1">
      <alignment horizontal="right" vertical="center"/>
    </xf>
    <xf numFmtId="204" fontId="11" fillId="0" borderId="13" xfId="45" applyNumberFormat="1" applyFont="1" applyBorder="1" applyAlignment="1">
      <alignment horizontal="right" vertical="top"/>
    </xf>
    <xf numFmtId="0" fontId="9" fillId="0" borderId="36" xfId="61" applyFont="1" applyBorder="1" applyAlignment="1">
      <alignment horizontal="left" vertical="center" wrapText="1"/>
      <protection/>
    </xf>
    <xf numFmtId="0" fontId="11" fillId="0" borderId="36" xfId="61" applyFont="1" applyBorder="1" applyAlignment="1">
      <alignment horizontal="left" vertical="center" wrapText="1"/>
      <protection/>
    </xf>
    <xf numFmtId="0" fontId="9" fillId="0" borderId="36" xfId="61" applyFont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4" fillId="0" borderId="31" xfId="61" applyBorder="1" applyAlignment="1">
      <alignment horizontal="center"/>
      <protection/>
    </xf>
    <xf numFmtId="0" fontId="24" fillId="0" borderId="31" xfId="61" applyFont="1" applyBorder="1" applyAlignment="1">
      <alignment horizontal="center"/>
      <protection/>
    </xf>
    <xf numFmtId="0" fontId="4" fillId="0" borderId="31" xfId="61" applyBorder="1" applyAlignment="1">
      <alignment horizontal="center" vertical="center"/>
      <protection/>
    </xf>
    <xf numFmtId="0" fontId="4" fillId="0" borderId="31" xfId="61" applyFill="1" applyBorder="1">
      <alignment/>
      <protection/>
    </xf>
    <xf numFmtId="0" fontId="5" fillId="0" borderId="36" xfId="61" applyFont="1" applyBorder="1" applyAlignment="1">
      <alignment horizontal="left" vertical="top" wrapText="1"/>
      <protection/>
    </xf>
    <xf numFmtId="0" fontId="31" fillId="0" borderId="36" xfId="61" applyFont="1" applyFill="1" applyBorder="1" applyAlignment="1">
      <alignment horizontal="left" vertical="top" wrapText="1"/>
      <protection/>
    </xf>
    <xf numFmtId="206" fontId="4" fillId="0" borderId="36" xfId="61" applyNumberFormat="1" applyFont="1" applyBorder="1" applyAlignment="1">
      <alignment vertical="top"/>
      <protection/>
    </xf>
    <xf numFmtId="0" fontId="24" fillId="0" borderId="29" xfId="61" applyFont="1" applyBorder="1" applyAlignment="1">
      <alignment horizontal="left" vertical="top" wrapText="1"/>
      <protection/>
    </xf>
    <xf numFmtId="0" fontId="31" fillId="0" borderId="29" xfId="61" applyFont="1" applyFill="1" applyBorder="1" applyAlignment="1">
      <alignment vertical="top" wrapText="1"/>
      <protection/>
    </xf>
    <xf numFmtId="0" fontId="11" fillId="0" borderId="29" xfId="61" applyFont="1" applyBorder="1" applyAlignment="1">
      <alignment horizontal="center" vertical="top"/>
      <protection/>
    </xf>
    <xf numFmtId="0" fontId="24" fillId="0" borderId="29" xfId="61" applyFont="1" applyBorder="1" applyAlignment="1">
      <alignment horizontal="center" vertical="top"/>
      <protection/>
    </xf>
    <xf numFmtId="0" fontId="24" fillId="0" borderId="29" xfId="61" applyFont="1" applyBorder="1" applyAlignment="1">
      <alignment vertical="top"/>
      <protection/>
    </xf>
    <xf numFmtId="206" fontId="5" fillId="33" borderId="32" xfId="46" applyNumberFormat="1" applyFont="1" applyFill="1" applyBorder="1" applyAlignment="1">
      <alignment horizontal="right" vertical="center" wrapText="1"/>
    </xf>
    <xf numFmtId="0" fontId="5" fillId="0" borderId="29" xfId="61" applyFont="1" applyBorder="1" applyAlignment="1">
      <alignment horizontal="left" vertical="top" wrapText="1"/>
      <protection/>
    </xf>
    <xf numFmtId="0" fontId="5" fillId="0" borderId="28" xfId="61" applyFont="1" applyBorder="1" applyAlignment="1">
      <alignment horizontal="left" vertical="top"/>
      <protection/>
    </xf>
    <xf numFmtId="0" fontId="24" fillId="0" borderId="29" xfId="61" applyFont="1" applyBorder="1" applyAlignment="1">
      <alignment horizontal="left" vertical="top"/>
      <protection/>
    </xf>
    <xf numFmtId="49" fontId="11" fillId="0" borderId="29" xfId="61" applyNumberFormat="1" applyFont="1" applyBorder="1" applyAlignment="1">
      <alignment horizontal="center" vertical="top" wrapText="1"/>
      <protection/>
    </xf>
    <xf numFmtId="206" fontId="11" fillId="0" borderId="29" xfId="46" applyNumberFormat="1" applyFont="1" applyBorder="1" applyAlignment="1">
      <alignment vertical="top"/>
    </xf>
    <xf numFmtId="0" fontId="11" fillId="0" borderId="29" xfId="61" applyFont="1" applyBorder="1" applyAlignment="1">
      <alignment vertical="top"/>
      <protection/>
    </xf>
    <xf numFmtId="206" fontId="11" fillId="0" borderId="29" xfId="61" applyNumberFormat="1" applyFont="1" applyBorder="1" applyAlignment="1">
      <alignment vertical="top"/>
      <protection/>
    </xf>
    <xf numFmtId="0" fontId="11" fillId="0" borderId="29" xfId="61" applyFont="1" applyBorder="1" applyAlignment="1">
      <alignment horizontal="left" vertical="top"/>
      <protection/>
    </xf>
    <xf numFmtId="0" fontId="31" fillId="0" borderId="29" xfId="61" applyFont="1" applyFill="1" applyBorder="1" applyAlignment="1" quotePrefix="1">
      <alignment vertical="top" wrapText="1"/>
      <protection/>
    </xf>
    <xf numFmtId="0" fontId="5" fillId="0" borderId="29" xfId="61" applyFont="1" applyBorder="1" applyAlignment="1">
      <alignment horizontal="left" vertical="top"/>
      <protection/>
    </xf>
    <xf numFmtId="0" fontId="31" fillId="0" borderId="29" xfId="61" applyFont="1" applyBorder="1" applyAlignment="1">
      <alignment horizontal="center" vertical="top" wrapText="1"/>
      <protection/>
    </xf>
    <xf numFmtId="205" fontId="5" fillId="33" borderId="32" xfId="61" applyNumberFormat="1" applyFont="1" applyFill="1" applyBorder="1" applyAlignment="1">
      <alignment horizontal="center" vertical="center"/>
      <protection/>
    </xf>
    <xf numFmtId="0" fontId="31" fillId="0" borderId="29" xfId="61" applyFont="1" applyBorder="1" applyAlignment="1">
      <alignment horizontal="center" vertical="top"/>
      <protection/>
    </xf>
    <xf numFmtId="0" fontId="24" fillId="34" borderId="29" xfId="61" applyFont="1" applyFill="1" applyBorder="1" applyAlignment="1">
      <alignment vertical="top"/>
      <protection/>
    </xf>
    <xf numFmtId="0" fontId="11" fillId="0" borderId="29" xfId="61" applyFont="1" applyFill="1" applyBorder="1" applyAlignment="1">
      <alignment horizontal="left" vertical="top" wrapText="1"/>
      <protection/>
    </xf>
    <xf numFmtId="0" fontId="11" fillId="0" borderId="29" xfId="61" applyFont="1" applyFill="1" applyBorder="1" applyAlignment="1">
      <alignment vertical="top" wrapText="1"/>
      <protection/>
    </xf>
    <xf numFmtId="0" fontId="24" fillId="0" borderId="29" xfId="61" applyFont="1" applyBorder="1" applyAlignment="1">
      <alignment horizontal="center" vertical="top" wrapText="1"/>
      <protection/>
    </xf>
    <xf numFmtId="0" fontId="24" fillId="0" borderId="29" xfId="61" applyFont="1" applyBorder="1" applyAlignment="1">
      <alignment vertical="top" wrapText="1"/>
      <protection/>
    </xf>
    <xf numFmtId="0" fontId="5" fillId="0" borderId="28" xfId="61" applyFont="1" applyBorder="1" applyAlignment="1">
      <alignment horizontal="left" vertical="top" wrapText="1"/>
      <protection/>
    </xf>
    <xf numFmtId="0" fontId="24" fillId="0" borderId="28" xfId="61" applyFont="1" applyBorder="1" applyAlignment="1">
      <alignment horizontal="left" vertical="top" wrapText="1"/>
      <protection/>
    </xf>
    <xf numFmtId="0" fontId="11" fillId="0" borderId="28" xfId="61" applyFont="1" applyBorder="1" applyAlignment="1">
      <alignment horizontal="center" vertical="top" wrapText="1"/>
      <protection/>
    </xf>
    <xf numFmtId="0" fontId="11" fillId="0" borderId="28" xfId="61" applyFont="1" applyFill="1" applyBorder="1" applyAlignment="1">
      <alignment horizontal="left" vertical="top" wrapText="1"/>
      <protection/>
    </xf>
    <xf numFmtId="0" fontId="24" fillId="0" borderId="28" xfId="0" applyFont="1" applyBorder="1" applyAlignment="1">
      <alignment vertical="top" wrapText="1"/>
    </xf>
    <xf numFmtId="0" fontId="11" fillId="0" borderId="28" xfId="61" applyFont="1" applyBorder="1" applyAlignment="1">
      <alignment vertical="top" wrapText="1"/>
      <protection/>
    </xf>
    <xf numFmtId="0" fontId="5" fillId="0" borderId="35" xfId="61" applyFont="1" applyBorder="1" applyAlignment="1">
      <alignment horizontal="left" vertical="top"/>
      <protection/>
    </xf>
    <xf numFmtId="192" fontId="11" fillId="0" borderId="29" xfId="61" applyNumberFormat="1" applyFont="1" applyBorder="1" applyAlignment="1">
      <alignment vertical="top"/>
      <protection/>
    </xf>
    <xf numFmtId="3" fontId="5" fillId="33" borderId="32" xfId="46" applyNumberFormat="1" applyFont="1" applyFill="1" applyBorder="1" applyAlignment="1">
      <alignment horizontal="right" vertical="center" wrapText="1"/>
    </xf>
    <xf numFmtId="1" fontId="5" fillId="33" borderId="32" xfId="61" applyNumberFormat="1" applyFont="1" applyFill="1" applyBorder="1" applyAlignment="1">
      <alignment horizontal="right" vertical="center"/>
      <protection/>
    </xf>
    <xf numFmtId="194" fontId="5" fillId="33" borderId="32" xfId="61" applyNumberFormat="1" applyFont="1" applyFill="1" applyBorder="1" applyAlignment="1">
      <alignment horizontal="center" vertical="center"/>
      <protection/>
    </xf>
    <xf numFmtId="1" fontId="5" fillId="33" borderId="32" xfId="61" applyNumberFormat="1" applyFont="1" applyFill="1" applyBorder="1" applyAlignment="1">
      <alignment vertical="center"/>
      <protection/>
    </xf>
    <xf numFmtId="0" fontId="24" fillId="0" borderId="29" xfId="0" applyFont="1" applyBorder="1" applyAlignment="1" quotePrefix="1">
      <alignment horizontal="left"/>
    </xf>
    <xf numFmtId="0" fontId="4" fillId="0" borderId="0" xfId="60" applyFont="1" applyBorder="1" applyAlignment="1">
      <alignment horizontal="center"/>
      <protection/>
    </xf>
    <xf numFmtId="203" fontId="4" fillId="0" borderId="0" xfId="60" applyNumberFormat="1" applyFont="1" applyBorder="1" applyAlignment="1">
      <alignment horizontal="center"/>
      <protection/>
    </xf>
    <xf numFmtId="205" fontId="4" fillId="0" borderId="0" xfId="60" applyNumberFormat="1" applyFont="1" applyBorder="1" applyAlignment="1">
      <alignment horizontal="center"/>
      <protection/>
    </xf>
    <xf numFmtId="194" fontId="4" fillId="0" borderId="0" xfId="60" applyNumberFormat="1" applyFont="1" applyBorder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203" fontId="4" fillId="0" borderId="10" xfId="45" applyNumberFormat="1" applyFont="1" applyBorder="1" applyAlignment="1">
      <alignment/>
    </xf>
    <xf numFmtId="205" fontId="4" fillId="0" borderId="10" xfId="45" applyNumberFormat="1" applyFont="1" applyBorder="1" applyAlignment="1">
      <alignment/>
    </xf>
    <xf numFmtId="204" fontId="4" fillId="0" borderId="10" xfId="45" applyNumberFormat="1" applyFont="1" applyBorder="1" applyAlignment="1">
      <alignment horizontal="center"/>
    </xf>
    <xf numFmtId="205" fontId="4" fillId="0" borderId="10" xfId="45" applyNumberFormat="1" applyFont="1" applyBorder="1" applyAlignment="1">
      <alignment horizontal="center"/>
    </xf>
    <xf numFmtId="203" fontId="4" fillId="0" borderId="10" xfId="45" applyNumberFormat="1" applyFont="1" applyBorder="1" applyAlignment="1">
      <alignment horizontal="center"/>
    </xf>
    <xf numFmtId="204" fontId="4" fillId="0" borderId="10" xfId="45" applyNumberFormat="1" applyFont="1" applyBorder="1" applyAlignment="1">
      <alignment/>
    </xf>
    <xf numFmtId="209" fontId="4" fillId="0" borderId="0" xfId="60" applyNumberFormat="1" applyFont="1" applyBorder="1" applyAlignment="1">
      <alignment horizontal="center"/>
      <protection/>
    </xf>
    <xf numFmtId="203" fontId="4" fillId="0" borderId="10" xfId="45" applyNumberFormat="1" applyFont="1" applyBorder="1" applyAlignment="1">
      <alignment horizontal="right"/>
    </xf>
    <xf numFmtId="205" fontId="4" fillId="0" borderId="10" xfId="45" applyNumberFormat="1" applyFont="1" applyBorder="1" applyAlignment="1">
      <alignment horizontal="right"/>
    </xf>
    <xf numFmtId="204" fontId="4" fillId="0" borderId="10" xfId="45" applyNumberFormat="1" applyFont="1" applyBorder="1" applyAlignment="1">
      <alignment horizontal="right"/>
    </xf>
    <xf numFmtId="0" fontId="4" fillId="0" borderId="11" xfId="60" applyFont="1" applyBorder="1" applyAlignment="1">
      <alignment horizontal="center"/>
      <protection/>
    </xf>
    <xf numFmtId="203" fontId="4" fillId="0" borderId="11" xfId="45" applyNumberFormat="1" applyFont="1" applyBorder="1" applyAlignment="1">
      <alignment horizontal="right"/>
    </xf>
    <xf numFmtId="205" fontId="4" fillId="0" borderId="11" xfId="45" applyNumberFormat="1" applyFont="1" applyBorder="1" applyAlignment="1">
      <alignment horizontal="right"/>
    </xf>
    <xf numFmtId="204" fontId="4" fillId="0" borderId="11" xfId="45" applyNumberFormat="1" applyFont="1" applyBorder="1" applyAlignment="1">
      <alignment horizontal="right"/>
    </xf>
    <xf numFmtId="0" fontId="4" fillId="0" borderId="0" xfId="60" applyFont="1" applyAlignment="1">
      <alignment horizontal="center"/>
      <protection/>
    </xf>
    <xf numFmtId="203" fontId="4" fillId="0" borderId="0" xfId="45" applyNumberFormat="1" applyFont="1" applyAlignment="1">
      <alignment/>
    </xf>
    <xf numFmtId="205" fontId="4" fillId="0" borderId="0" xfId="45" applyNumberFormat="1" applyFont="1" applyAlignment="1">
      <alignment/>
    </xf>
    <xf numFmtId="204" fontId="4" fillId="0" borderId="0" xfId="45" applyNumberFormat="1" applyFont="1" applyAlignment="1">
      <alignment/>
    </xf>
    <xf numFmtId="0" fontId="4" fillId="0" borderId="0" xfId="60" applyFont="1">
      <alignment/>
      <protection/>
    </xf>
    <xf numFmtId="205" fontId="4" fillId="0" borderId="0" xfId="60" applyNumberFormat="1" applyFont="1">
      <alignment/>
      <protection/>
    </xf>
    <xf numFmtId="204" fontId="4" fillId="0" borderId="0" xfId="45" applyNumberFormat="1" applyFont="1" applyAlignment="1">
      <alignment horizontal="center"/>
    </xf>
    <xf numFmtId="203" fontId="4" fillId="0" borderId="0" xfId="60" applyNumberFormat="1" applyFont="1">
      <alignment/>
      <protection/>
    </xf>
    <xf numFmtId="208" fontId="4" fillId="0" borderId="0" xfId="60" applyNumberFormat="1" applyFont="1" applyBorder="1" applyAlignment="1">
      <alignment horizontal="center"/>
      <protection/>
    </xf>
    <xf numFmtId="209" fontId="4" fillId="0" borderId="10" xfId="45" applyNumberFormat="1" applyFont="1" applyBorder="1" applyAlignment="1">
      <alignment horizontal="center"/>
    </xf>
    <xf numFmtId="203" fontId="11" fillId="0" borderId="0" xfId="45" applyNumberFormat="1" applyFont="1" applyBorder="1" applyAlignment="1">
      <alignment horizontal="center"/>
    </xf>
    <xf numFmtId="203" fontId="11" fillId="0" borderId="11" xfId="45" applyNumberFormat="1" applyFont="1" applyBorder="1" applyAlignment="1">
      <alignment horizontal="center"/>
    </xf>
    <xf numFmtId="209" fontId="4" fillId="0" borderId="29" xfId="42" applyNumberFormat="1" applyFont="1" applyBorder="1" applyAlignment="1">
      <alignment horizontal="right"/>
    </xf>
    <xf numFmtId="208" fontId="4" fillId="0" borderId="29" xfId="42" applyNumberFormat="1" applyFont="1" applyBorder="1" applyAlignment="1">
      <alignment horizontal="right"/>
    </xf>
    <xf numFmtId="209" fontId="4" fillId="0" borderId="29" xfId="42" applyNumberFormat="1" applyFont="1" applyBorder="1" applyAlignment="1">
      <alignment/>
    </xf>
    <xf numFmtId="208" fontId="5" fillId="0" borderId="29" xfId="42" applyNumberFormat="1" applyFont="1" applyFill="1" applyBorder="1" applyAlignment="1">
      <alignment horizontal="right"/>
    </xf>
    <xf numFmtId="1" fontId="7" fillId="0" borderId="19" xfId="68" applyNumberFormat="1" applyFont="1" applyBorder="1" applyAlignment="1">
      <alignment horizontal="right"/>
      <protection/>
    </xf>
    <xf numFmtId="1" fontId="7" fillId="0" borderId="11" xfId="68" applyNumberFormat="1" applyFont="1" applyBorder="1" applyAlignment="1">
      <alignment horizontal="right"/>
      <protection/>
    </xf>
    <xf numFmtId="205" fontId="13" fillId="0" borderId="19" xfId="45" applyNumberFormat="1" applyFont="1" applyBorder="1" applyAlignment="1">
      <alignment/>
    </xf>
    <xf numFmtId="205" fontId="13" fillId="0" borderId="11" xfId="45" applyNumberFormat="1" applyFont="1" applyBorder="1" applyAlignment="1">
      <alignment/>
    </xf>
    <xf numFmtId="205" fontId="13" fillId="0" borderId="21" xfId="45" applyNumberFormat="1" applyFont="1" applyBorder="1" applyAlignment="1">
      <alignment/>
    </xf>
    <xf numFmtId="0" fontId="5" fillId="34" borderId="0" xfId="61" applyFont="1" applyFill="1" applyBorder="1">
      <alignment/>
      <protection/>
    </xf>
    <xf numFmtId="0" fontId="5" fillId="0" borderId="13" xfId="60" applyFont="1" applyBorder="1" applyAlignment="1">
      <alignment horizontal="center"/>
      <protection/>
    </xf>
    <xf numFmtId="205" fontId="5" fillId="0" borderId="13" xfId="45" applyNumberFormat="1" applyFont="1" applyBorder="1" applyAlignment="1">
      <alignment horizontal="center"/>
    </xf>
    <xf numFmtId="205" fontId="7" fillId="0" borderId="0" xfId="60" applyNumberFormat="1" applyFont="1" applyAlignment="1">
      <alignment/>
      <protection/>
    </xf>
    <xf numFmtId="205" fontId="5" fillId="0" borderId="13" xfId="45" applyNumberFormat="1" applyFont="1" applyBorder="1" applyAlignment="1">
      <alignment/>
    </xf>
    <xf numFmtId="205" fontId="12" fillId="0" borderId="0" xfId="45" applyNumberFormat="1" applyFont="1" applyBorder="1" applyAlignment="1">
      <alignment/>
    </xf>
    <xf numFmtId="205" fontId="5" fillId="0" borderId="0" xfId="45" applyNumberFormat="1" applyFont="1" applyBorder="1" applyAlignment="1">
      <alignment/>
    </xf>
    <xf numFmtId="205" fontId="5" fillId="0" borderId="11" xfId="45" applyNumberFormat="1" applyFont="1" applyBorder="1" applyAlignment="1">
      <alignment/>
    </xf>
    <xf numFmtId="205" fontId="5" fillId="0" borderId="10" xfId="45" applyNumberFormat="1" applyFont="1" applyBorder="1" applyAlignment="1">
      <alignment/>
    </xf>
    <xf numFmtId="208" fontId="5" fillId="33" borderId="13" xfId="42" applyNumberFormat="1" applyFont="1" applyFill="1" applyBorder="1" applyAlignment="1">
      <alignment/>
    </xf>
    <xf numFmtId="0" fontId="4" fillId="0" borderId="0" xfId="61" applyFont="1" applyAlignment="1">
      <alignment/>
      <protection/>
    </xf>
    <xf numFmtId="205" fontId="0" fillId="0" borderId="0" xfId="0" applyNumberFormat="1" applyFont="1" applyAlignment="1">
      <alignment/>
    </xf>
    <xf numFmtId="0" fontId="4" fillId="0" borderId="11" xfId="60" applyFont="1" applyBorder="1" applyAlignment="1">
      <alignment horizontal="center"/>
      <protection/>
    </xf>
    <xf numFmtId="205" fontId="4" fillId="0" borderId="11" xfId="45" applyNumberFormat="1" applyFont="1" applyBorder="1" applyAlignment="1">
      <alignment/>
    </xf>
    <xf numFmtId="204" fontId="4" fillId="0" borderId="11" xfId="45" applyNumberFormat="1" applyFont="1" applyBorder="1" applyAlignment="1">
      <alignment/>
    </xf>
    <xf numFmtId="0" fontId="4" fillId="0" borderId="11" xfId="60" applyFont="1" applyBorder="1">
      <alignment/>
      <protection/>
    </xf>
    <xf numFmtId="205" fontId="4" fillId="0" borderId="11" xfId="60" applyNumberFormat="1" applyFont="1" applyBorder="1">
      <alignment/>
      <protection/>
    </xf>
    <xf numFmtId="206" fontId="5" fillId="33" borderId="32" xfId="61" applyNumberFormat="1" applyFont="1" applyFill="1" applyBorder="1" applyAlignment="1">
      <alignment vertical="center"/>
      <protection/>
    </xf>
    <xf numFmtId="3" fontId="5" fillId="33" borderId="32" xfId="61" applyNumberFormat="1" applyFont="1" applyFill="1" applyBorder="1" applyAlignment="1">
      <alignment vertical="center"/>
      <protection/>
    </xf>
    <xf numFmtId="0" fontId="24" fillId="0" borderId="11" xfId="60" applyFont="1" applyBorder="1">
      <alignment/>
      <protection/>
    </xf>
    <xf numFmtId="0" fontId="35" fillId="0" borderId="0" xfId="60" applyFont="1">
      <alignment/>
      <protection/>
    </xf>
    <xf numFmtId="209" fontId="5" fillId="36" borderId="13" xfId="42" applyNumberFormat="1" applyFont="1" applyFill="1" applyBorder="1" applyAlignment="1">
      <alignment/>
    </xf>
    <xf numFmtId="206" fontId="7" fillId="0" borderId="0" xfId="61" applyNumberFormat="1" applyFont="1" applyAlignment="1">
      <alignment horizontal="right"/>
      <protection/>
    </xf>
    <xf numFmtId="205" fontId="3" fillId="0" borderId="0" xfId="56" applyNumberFormat="1" applyAlignment="1" applyProtection="1">
      <alignment/>
      <protection/>
    </xf>
    <xf numFmtId="208" fontId="5" fillId="0" borderId="31" xfId="42" applyNumberFormat="1" applyFont="1" applyBorder="1" applyAlignment="1">
      <alignment horizontal="center"/>
    </xf>
    <xf numFmtId="205" fontId="5" fillId="0" borderId="13" xfId="46" applyNumberFormat="1" applyFont="1" applyBorder="1" applyAlignment="1">
      <alignment horizontal="center" vertical="center"/>
    </xf>
    <xf numFmtId="205" fontId="5" fillId="0" borderId="13" xfId="61" applyNumberFormat="1" applyFont="1" applyBorder="1" applyAlignment="1">
      <alignment horizontal="center" vertical="center"/>
      <protection/>
    </xf>
    <xf numFmtId="43" fontId="0" fillId="0" borderId="0" xfId="0" applyNumberFormat="1" applyFont="1" applyAlignment="1">
      <alignment/>
    </xf>
    <xf numFmtId="204" fontId="7" fillId="0" borderId="19" xfId="60" applyNumberFormat="1" applyFont="1" applyBorder="1">
      <alignment/>
      <protection/>
    </xf>
    <xf numFmtId="0" fontId="24" fillId="0" borderId="0" xfId="61" applyFont="1" applyBorder="1" applyAlignment="1">
      <alignment vertical="top" wrapText="1"/>
      <protection/>
    </xf>
    <xf numFmtId="0" fontId="24" fillId="0" borderId="0" xfId="61" applyFont="1" applyBorder="1" applyAlignment="1">
      <alignment horizontal="left" vertical="top" wrapText="1"/>
      <protection/>
    </xf>
    <xf numFmtId="209" fontId="24" fillId="0" borderId="29" xfId="42" applyNumberFormat="1" applyFont="1" applyFill="1" applyBorder="1" applyAlignment="1">
      <alignment vertical="top"/>
    </xf>
    <xf numFmtId="209" fontId="24" fillId="0" borderId="29" xfId="42" applyNumberFormat="1" applyFont="1" applyFill="1" applyBorder="1" applyAlignment="1">
      <alignment horizontal="right" vertical="top"/>
    </xf>
    <xf numFmtId="208" fontId="24" fillId="0" borderId="29" xfId="42" applyNumberFormat="1" applyFont="1" applyFill="1" applyBorder="1" applyAlignment="1">
      <alignment horizontal="right" vertical="top" wrapText="1"/>
    </xf>
    <xf numFmtId="0" fontId="24" fillId="0" borderId="29" xfId="0" applyFont="1" applyBorder="1" applyAlignment="1">
      <alignment vertical="top" wrapText="1"/>
    </xf>
    <xf numFmtId="208" fontId="24" fillId="0" borderId="29" xfId="42" applyNumberFormat="1" applyFont="1" applyBorder="1" applyAlignment="1">
      <alignment horizontal="right" vertical="top"/>
    </xf>
    <xf numFmtId="0" fontId="24" fillId="0" borderId="29" xfId="60" applyFont="1" applyBorder="1" applyAlignment="1">
      <alignment vertical="top" wrapText="1"/>
      <protection/>
    </xf>
    <xf numFmtId="0" fontId="24" fillId="0" borderId="29" xfId="60" applyFont="1" applyFill="1" applyBorder="1" applyAlignment="1">
      <alignment vertical="top" wrapText="1"/>
      <protection/>
    </xf>
    <xf numFmtId="0" fontId="24" fillId="0" borderId="0" xfId="0" applyFont="1" applyBorder="1" applyAlignment="1">
      <alignment/>
    </xf>
    <xf numFmtId="208" fontId="24" fillId="0" borderId="29" xfId="42" applyNumberFormat="1" applyFont="1" applyFill="1" applyBorder="1" applyAlignment="1">
      <alignment horizontal="right" vertical="top"/>
    </xf>
    <xf numFmtId="208" fontId="24" fillId="0" borderId="29" xfId="42" applyNumberFormat="1" applyFont="1" applyFill="1" applyBorder="1" applyAlignment="1">
      <alignment vertical="top"/>
    </xf>
    <xf numFmtId="0" fontId="24" fillId="0" borderId="0" xfId="0" applyFont="1" applyAlignment="1">
      <alignment vertical="top" wrapText="1"/>
    </xf>
    <xf numFmtId="208" fontId="24" fillId="0" borderId="29" xfId="42" applyNumberFormat="1" applyFont="1" applyBorder="1" applyAlignment="1">
      <alignment horizontal="right" vertical="top" wrapText="1"/>
    </xf>
    <xf numFmtId="0" fontId="24" fillId="0" borderId="29" xfId="60" applyFont="1" applyFill="1" applyBorder="1" applyAlignment="1" quotePrefix="1">
      <alignment horizontal="left" vertical="top" wrapText="1"/>
      <protection/>
    </xf>
    <xf numFmtId="204" fontId="24" fillId="0" borderId="0" xfId="45" applyNumberFormat="1" applyFont="1" applyBorder="1" applyAlignment="1">
      <alignment horizontal="right" vertical="top"/>
    </xf>
    <xf numFmtId="205" fontId="24" fillId="0" borderId="0" xfId="45" applyNumberFormat="1" applyFont="1" applyBorder="1" applyAlignment="1">
      <alignment horizontal="right" vertical="top"/>
    </xf>
    <xf numFmtId="204" fontId="24" fillId="0" borderId="0" xfId="45" applyNumberFormat="1" applyFont="1" applyAlignment="1">
      <alignment vertical="top" wrapText="1"/>
    </xf>
    <xf numFmtId="205" fontId="24" fillId="0" borderId="0" xfId="0" applyNumberFormat="1" applyFont="1" applyAlignment="1">
      <alignment vertical="top"/>
    </xf>
    <xf numFmtId="0" fontId="5" fillId="0" borderId="28" xfId="60" applyFont="1" applyBorder="1" applyAlignment="1">
      <alignment vertical="top" wrapText="1"/>
      <protection/>
    </xf>
    <xf numFmtId="208" fontId="5" fillId="33" borderId="32" xfId="42" applyNumberFormat="1" applyFont="1" applyFill="1" applyBorder="1" applyAlignment="1">
      <alignment/>
    </xf>
    <xf numFmtId="209" fontId="5" fillId="0" borderId="29" xfId="42" applyNumberFormat="1" applyFont="1" applyBorder="1" applyAlignment="1">
      <alignment horizontal="center"/>
    </xf>
    <xf numFmtId="208" fontId="5" fillId="0" borderId="29" xfId="42" applyNumberFormat="1" applyFont="1" applyBorder="1" applyAlignment="1">
      <alignment horizontal="center"/>
    </xf>
    <xf numFmtId="208" fontId="5" fillId="0" borderId="29" xfId="42" applyNumberFormat="1" applyFont="1" applyBorder="1" applyAlignment="1">
      <alignment horizontal="right" vertical="center" textRotation="60"/>
    </xf>
    <xf numFmtId="208" fontId="5" fillId="0" borderId="29" xfId="42" applyNumberFormat="1" applyFont="1" applyBorder="1" applyAlignment="1">
      <alignment horizontal="center" vertical="center"/>
    </xf>
    <xf numFmtId="208" fontId="4" fillId="0" borderId="29" xfId="42" applyNumberFormat="1" applyFont="1" applyBorder="1" applyAlignment="1">
      <alignment horizontal="center" vertical="top"/>
    </xf>
    <xf numFmtId="209" fontId="5" fillId="0" borderId="29" xfId="42" applyNumberFormat="1" applyFont="1" applyBorder="1" applyAlignment="1">
      <alignment horizontal="center" vertical="top"/>
    </xf>
    <xf numFmtId="208" fontId="5" fillId="0" borderId="29" xfId="42" applyNumberFormat="1" applyFont="1" applyBorder="1" applyAlignment="1">
      <alignment horizontal="center" vertical="top"/>
    </xf>
    <xf numFmtId="209" fontId="4" fillId="0" borderId="29" xfId="42" applyNumberFormat="1" applyFont="1" applyBorder="1" applyAlignment="1">
      <alignment horizontal="center" vertical="top"/>
    </xf>
    <xf numFmtId="208" fontId="4" fillId="0" borderId="29" xfId="42" applyNumberFormat="1" applyFont="1" applyBorder="1" applyAlignment="1">
      <alignment horizontal="right"/>
    </xf>
    <xf numFmtId="209" fontId="4" fillId="0" borderId="29" xfId="42" applyNumberFormat="1" applyFont="1" applyBorder="1" applyAlignment="1">
      <alignment horizontal="right"/>
    </xf>
    <xf numFmtId="205" fontId="13" fillId="0" borderId="0" xfId="45" applyNumberFormat="1" applyFont="1" applyBorder="1" applyAlignment="1">
      <alignment horizontal="right" vertical="top"/>
    </xf>
    <xf numFmtId="208" fontId="24" fillId="0" borderId="0" xfId="42" applyNumberFormat="1" applyFont="1" applyBorder="1" applyAlignment="1">
      <alignment horizontal="right" vertical="top"/>
    </xf>
    <xf numFmtId="203" fontId="24" fillId="0" borderId="0" xfId="45" applyNumberFormat="1" applyFont="1" applyBorder="1" applyAlignment="1">
      <alignment horizontal="right" vertical="top"/>
    </xf>
    <xf numFmtId="203" fontId="24" fillId="0" borderId="0" xfId="45" applyNumberFormat="1" applyFont="1" applyBorder="1" applyAlignment="1">
      <alignment horizontal="right" vertical="top"/>
    </xf>
    <xf numFmtId="203" fontId="5" fillId="0" borderId="0" xfId="45" applyNumberFormat="1" applyFont="1" applyBorder="1" applyAlignment="1">
      <alignment horizontal="center"/>
    </xf>
    <xf numFmtId="0" fontId="24" fillId="0" borderId="29" xfId="61" applyFont="1" applyBorder="1" applyAlignment="1">
      <alignment horizontal="center" vertical="top"/>
      <protection/>
    </xf>
    <xf numFmtId="206" fontId="24" fillId="0" borderId="29" xfId="46" applyNumberFormat="1" applyFont="1" applyBorder="1" applyAlignment="1">
      <alignment vertical="top"/>
    </xf>
    <xf numFmtId="0" fontId="24" fillId="0" borderId="29" xfId="61" applyFont="1" applyBorder="1" applyAlignment="1">
      <alignment vertical="top"/>
      <protection/>
    </xf>
    <xf numFmtId="205" fontId="24" fillId="0" borderId="29" xfId="61" applyNumberFormat="1" applyFont="1" applyBorder="1" applyAlignment="1">
      <alignment vertical="top"/>
      <protection/>
    </xf>
    <xf numFmtId="0" fontId="11" fillId="0" borderId="0" xfId="61" applyFont="1" applyBorder="1" applyAlignment="1">
      <alignment vertical="top" wrapText="1"/>
      <protection/>
    </xf>
    <xf numFmtId="0" fontId="24" fillId="0" borderId="28" xfId="61" applyFont="1" applyBorder="1" applyAlignment="1">
      <alignment horizontal="center" vertical="top" wrapText="1"/>
      <protection/>
    </xf>
    <xf numFmtId="206" fontId="24" fillId="0" borderId="28" xfId="46" applyNumberFormat="1" applyFont="1" applyBorder="1" applyAlignment="1">
      <alignment vertical="top" wrapText="1"/>
    </xf>
    <xf numFmtId="209" fontId="5" fillId="33" borderId="32" xfId="61" applyNumberFormat="1" applyFont="1" applyFill="1" applyBorder="1" applyAlignment="1">
      <alignment horizontal="center" vertical="center"/>
      <protection/>
    </xf>
    <xf numFmtId="0" fontId="24" fillId="0" borderId="29" xfId="61" applyFont="1" applyBorder="1" applyAlignment="1">
      <alignment horizontal="center" vertical="top" wrapText="1"/>
      <protection/>
    </xf>
    <xf numFmtId="206" fontId="24" fillId="0" borderId="29" xfId="46" applyNumberFormat="1" applyFont="1" applyBorder="1" applyAlignment="1">
      <alignment vertical="top" wrapText="1"/>
    </xf>
    <xf numFmtId="206" fontId="24" fillId="0" borderId="29" xfId="46" applyNumberFormat="1" applyFont="1" applyBorder="1" applyAlignment="1">
      <alignment horizontal="right" vertical="top" wrapText="1"/>
    </xf>
    <xf numFmtId="1" fontId="5" fillId="33" borderId="32" xfId="61" applyNumberFormat="1" applyFont="1" applyFill="1" applyBorder="1" applyAlignment="1">
      <alignment horizontal="center" vertical="center"/>
      <protection/>
    </xf>
    <xf numFmtId="208" fontId="5" fillId="33" borderId="32" xfId="61" applyNumberFormat="1" applyFont="1" applyFill="1" applyBorder="1" applyAlignment="1">
      <alignment horizontal="center" vertical="center"/>
      <protection/>
    </xf>
    <xf numFmtId="192" fontId="11" fillId="0" borderId="30" xfId="61" applyNumberFormat="1" applyFont="1" applyBorder="1" applyAlignment="1">
      <alignment vertical="top"/>
      <protection/>
    </xf>
    <xf numFmtId="206" fontId="11" fillId="0" borderId="30" xfId="61" applyNumberFormat="1" applyFont="1" applyBorder="1" applyAlignment="1">
      <alignment vertical="top"/>
      <protection/>
    </xf>
    <xf numFmtId="192" fontId="11" fillId="0" borderId="28" xfId="61" applyNumberFormat="1" applyFont="1" applyBorder="1" applyAlignment="1">
      <alignment vertical="top"/>
      <protection/>
    </xf>
    <xf numFmtId="206" fontId="11" fillId="0" borderId="28" xfId="61" applyNumberFormat="1" applyFont="1" applyBorder="1" applyAlignment="1">
      <alignment vertical="top"/>
      <protection/>
    </xf>
    <xf numFmtId="0" fontId="5" fillId="0" borderId="30" xfId="61" applyFont="1" applyBorder="1" applyAlignment="1">
      <alignment horizontal="left" vertical="top" wrapText="1"/>
      <protection/>
    </xf>
    <xf numFmtId="0" fontId="24" fillId="0" borderId="30" xfId="61" applyFont="1" applyBorder="1" applyAlignment="1">
      <alignment horizontal="left" vertical="top" wrapText="1"/>
      <protection/>
    </xf>
    <xf numFmtId="0" fontId="11" fillId="0" borderId="30" xfId="61" applyFont="1" applyFill="1" applyBorder="1" applyAlignment="1">
      <alignment horizontal="left" vertical="top" wrapText="1"/>
      <protection/>
    </xf>
    <xf numFmtId="0" fontId="11" fillId="0" borderId="30" xfId="61" applyFont="1" applyBorder="1" applyAlignment="1">
      <alignment horizontal="center" vertical="top" wrapText="1"/>
      <protection/>
    </xf>
    <xf numFmtId="0" fontId="24" fillId="0" borderId="30" xfId="61" applyFont="1" applyBorder="1" applyAlignment="1">
      <alignment horizontal="center" vertical="top" wrapText="1"/>
      <protection/>
    </xf>
    <xf numFmtId="206" fontId="24" fillId="0" borderId="30" xfId="46" applyNumberFormat="1" applyFont="1" applyBorder="1" applyAlignment="1">
      <alignment vertical="top" wrapText="1"/>
    </xf>
    <xf numFmtId="0" fontId="11" fillId="0" borderId="30" xfId="61" applyFont="1" applyBorder="1" applyAlignment="1">
      <alignment vertical="top" wrapText="1"/>
      <protection/>
    </xf>
    <xf numFmtId="3" fontId="5" fillId="0" borderId="35" xfId="46" applyNumberFormat="1" applyFont="1" applyBorder="1" applyAlignment="1">
      <alignment vertical="top"/>
    </xf>
    <xf numFmtId="43" fontId="1" fillId="0" borderId="0" xfId="0" applyNumberFormat="1" applyFont="1" applyAlignment="1">
      <alignment/>
    </xf>
    <xf numFmtId="194" fontId="5" fillId="37" borderId="35" xfId="61" applyNumberFormat="1" applyFont="1" applyFill="1" applyBorder="1" applyAlignment="1">
      <alignment horizontal="center" vertical="center"/>
      <protection/>
    </xf>
    <xf numFmtId="0" fontId="24" fillId="0" borderId="32" xfId="61" applyFont="1" applyBorder="1" applyAlignment="1">
      <alignment horizontal="center" vertical="top"/>
      <protection/>
    </xf>
    <xf numFmtId="206" fontId="24" fillId="0" borderId="32" xfId="46" applyNumberFormat="1" applyFont="1" applyBorder="1" applyAlignment="1">
      <alignment vertical="top" wrapText="1"/>
    </xf>
    <xf numFmtId="206" fontId="24" fillId="0" borderId="32" xfId="46" applyNumberFormat="1" applyFont="1" applyBorder="1" applyAlignment="1">
      <alignment vertical="top"/>
    </xf>
    <xf numFmtId="206" fontId="24" fillId="0" borderId="32" xfId="61" applyNumberFormat="1" applyFont="1" applyBorder="1" applyAlignment="1">
      <alignment vertical="top" wrapText="1"/>
      <protection/>
    </xf>
    <xf numFmtId="205" fontId="13" fillId="0" borderId="18" xfId="45" applyNumberFormat="1" applyFont="1" applyBorder="1" applyAlignment="1">
      <alignment/>
    </xf>
    <xf numFmtId="205" fontId="13" fillId="0" borderId="0" xfId="45" applyNumberFormat="1" applyFont="1" applyBorder="1" applyAlignment="1">
      <alignment/>
    </xf>
    <xf numFmtId="205" fontId="13" fillId="0" borderId="20" xfId="45" applyNumberFormat="1" applyFont="1" applyBorder="1" applyAlignment="1">
      <alignment/>
    </xf>
    <xf numFmtId="209" fontId="24" fillId="0" borderId="29" xfId="42" applyNumberFormat="1" applyFont="1" applyBorder="1" applyAlignment="1">
      <alignment vertical="top"/>
    </xf>
    <xf numFmtId="208" fontId="5" fillId="33" borderId="28" xfId="42" applyNumberFormat="1" applyFont="1" applyFill="1" applyBorder="1" applyAlignment="1">
      <alignment/>
    </xf>
    <xf numFmtId="208" fontId="5" fillId="0" borderId="13" xfId="42" applyNumberFormat="1" applyFont="1" applyBorder="1" applyAlignment="1">
      <alignment horizontal="center"/>
    </xf>
    <xf numFmtId="205" fontId="11" fillId="0" borderId="0" xfId="61" applyNumberFormat="1" applyFont="1" applyBorder="1" applyAlignment="1">
      <alignment horizontal="right"/>
      <protection/>
    </xf>
    <xf numFmtId="208" fontId="24" fillId="0" borderId="32" xfId="42" applyNumberFormat="1" applyFont="1" applyBorder="1" applyAlignment="1">
      <alignment horizontal="right" vertical="top"/>
    </xf>
    <xf numFmtId="209" fontId="24" fillId="0" borderId="29" xfId="42" applyNumberFormat="1" applyFont="1" applyBorder="1" applyAlignment="1">
      <alignment horizontal="right" vertical="top"/>
    </xf>
    <xf numFmtId="209" fontId="11" fillId="0" borderId="29" xfId="42" applyNumberFormat="1" applyFont="1" applyBorder="1" applyAlignment="1">
      <alignment horizontal="center" vertical="top"/>
    </xf>
    <xf numFmtId="208" fontId="11" fillId="0" borderId="29" xfId="42" applyNumberFormat="1" applyFont="1" applyBorder="1" applyAlignment="1">
      <alignment horizontal="center" vertical="top"/>
    </xf>
    <xf numFmtId="209" fontId="24" fillId="0" borderId="29" xfId="42" applyNumberFormat="1" applyFont="1" applyBorder="1" applyAlignment="1">
      <alignment horizontal="center" vertical="top"/>
    </xf>
    <xf numFmtId="208" fontId="24" fillId="0" borderId="29" xfId="42" applyNumberFormat="1" applyFont="1" applyBorder="1" applyAlignment="1">
      <alignment horizontal="center" vertical="top"/>
    </xf>
    <xf numFmtId="208" fontId="24" fillId="0" borderId="29" xfId="42" applyNumberFormat="1" applyFont="1" applyBorder="1" applyAlignment="1">
      <alignment horizontal="right"/>
    </xf>
    <xf numFmtId="209" fontId="24" fillId="0" borderId="29" xfId="42" applyNumberFormat="1" applyFont="1" applyBorder="1" applyAlignment="1">
      <alignment vertical="top" wrapText="1"/>
    </xf>
    <xf numFmtId="209" fontId="24" fillId="0" borderId="29" xfId="42" applyNumberFormat="1" applyFont="1" applyBorder="1" applyAlignment="1">
      <alignment horizontal="right"/>
    </xf>
    <xf numFmtId="209" fontId="24" fillId="0" borderId="29" xfId="42" applyNumberFormat="1" applyFont="1" applyBorder="1" applyAlignment="1">
      <alignment/>
    </xf>
    <xf numFmtId="0" fontId="24" fillId="0" borderId="29" xfId="0" applyFont="1" applyBorder="1" applyAlignment="1">
      <alignment vertical="top"/>
    </xf>
    <xf numFmtId="208" fontId="24" fillId="0" borderId="29" xfId="42" applyNumberFormat="1" applyFont="1" applyBorder="1" applyAlignment="1">
      <alignment vertical="top"/>
    </xf>
    <xf numFmtId="209" fontId="24" fillId="0" borderId="29" xfId="42" applyNumberFormat="1" applyFont="1" applyBorder="1" applyAlignment="1">
      <alignment horizontal="right" vertical="top" wrapText="1"/>
    </xf>
    <xf numFmtId="209" fontId="4" fillId="0" borderId="29" xfId="42" applyNumberFormat="1" applyFont="1" applyFill="1" applyBorder="1" applyAlignment="1">
      <alignment horizontal="right" vertical="top"/>
    </xf>
    <xf numFmtId="208" fontId="4" fillId="0" borderId="29" xfId="42" applyNumberFormat="1" applyFont="1" applyFill="1" applyBorder="1" applyAlignment="1">
      <alignment horizontal="right" vertical="top" wrapText="1"/>
    </xf>
    <xf numFmtId="209" fontId="4" fillId="0" borderId="29" xfId="42" applyNumberFormat="1" applyFont="1" applyFill="1" applyBorder="1" applyAlignment="1">
      <alignment vertical="top"/>
    </xf>
    <xf numFmtId="208" fontId="4" fillId="0" borderId="29" xfId="42" applyNumberFormat="1" applyFont="1" applyFill="1" applyBorder="1" applyAlignment="1">
      <alignment horizontal="right" vertical="top"/>
    </xf>
    <xf numFmtId="1" fontId="7" fillId="0" borderId="11" xfId="45" applyNumberFormat="1" applyFont="1" applyBorder="1" applyAlignment="1">
      <alignment/>
    </xf>
    <xf numFmtId="205" fontId="7" fillId="0" borderId="11" xfId="45" applyNumberFormat="1" applyFont="1" applyBorder="1" applyAlignment="1">
      <alignment/>
    </xf>
    <xf numFmtId="1" fontId="7" fillId="0" borderId="0" xfId="45" applyNumberFormat="1" applyFont="1" applyBorder="1" applyAlignment="1">
      <alignment/>
    </xf>
    <xf numFmtId="205" fontId="7" fillId="0" borderId="0" xfId="45" applyNumberFormat="1" applyFont="1" applyBorder="1" applyAlignment="1">
      <alignment/>
    </xf>
    <xf numFmtId="204" fontId="13" fillId="0" borderId="11" xfId="45" applyNumberFormat="1" applyFont="1" applyBorder="1" applyAlignment="1">
      <alignment/>
    </xf>
    <xf numFmtId="204" fontId="13" fillId="0" borderId="0" xfId="45" applyNumberFormat="1" applyFont="1" applyBorder="1" applyAlignment="1">
      <alignment/>
    </xf>
    <xf numFmtId="0" fontId="13" fillId="0" borderId="18" xfId="60" applyFont="1" applyBorder="1" applyAlignment="1">
      <alignment horizontal="center"/>
      <protection/>
    </xf>
    <xf numFmtId="0" fontId="13" fillId="0" borderId="20" xfId="60" applyFont="1" applyBorder="1" applyAlignment="1">
      <alignment horizontal="center"/>
      <protection/>
    </xf>
    <xf numFmtId="0" fontId="13" fillId="0" borderId="19" xfId="60" applyFont="1" applyBorder="1" applyAlignment="1">
      <alignment horizontal="center"/>
      <protection/>
    </xf>
    <xf numFmtId="0" fontId="13" fillId="0" borderId="21" xfId="60" applyFont="1" applyBorder="1" applyAlignment="1">
      <alignment horizontal="center"/>
      <protection/>
    </xf>
    <xf numFmtId="0" fontId="4" fillId="0" borderId="0" xfId="60" applyFont="1" applyBorder="1" quotePrefix="1">
      <alignment/>
      <protection/>
    </xf>
    <xf numFmtId="0" fontId="4" fillId="0" borderId="0" xfId="60" applyFont="1" applyFill="1" applyBorder="1">
      <alignment/>
      <protection/>
    </xf>
    <xf numFmtId="0" fontId="4" fillId="0" borderId="11" xfId="60" applyFont="1" applyFill="1" applyBorder="1">
      <alignment/>
      <protection/>
    </xf>
    <xf numFmtId="204" fontId="7" fillId="0" borderId="22" xfId="68" applyNumberFormat="1" applyFont="1" applyBorder="1" applyAlignment="1">
      <alignment vertical="center"/>
      <protection/>
    </xf>
    <xf numFmtId="203" fontId="7" fillId="0" borderId="34" xfId="68" applyNumberFormat="1" applyFont="1" applyBorder="1" applyAlignment="1">
      <alignment horizontal="right" vertical="center"/>
      <protection/>
    </xf>
    <xf numFmtId="208" fontId="5" fillId="0" borderId="0" xfId="42" applyNumberFormat="1" applyFont="1" applyBorder="1" applyAlignment="1">
      <alignment/>
    </xf>
    <xf numFmtId="208" fontId="5" fillId="0" borderId="11" xfId="42" applyNumberFormat="1" applyFont="1" applyBorder="1" applyAlignment="1">
      <alignment/>
    </xf>
    <xf numFmtId="0" fontId="16" fillId="0" borderId="0" xfId="60" applyFont="1" applyBorder="1" applyAlignment="1">
      <alignment horizontal="right"/>
      <protection/>
    </xf>
    <xf numFmtId="205" fontId="16" fillId="0" borderId="0" xfId="60" applyNumberFormat="1" applyFont="1" applyBorder="1" applyAlignment="1">
      <alignment horizontal="right"/>
      <protection/>
    </xf>
    <xf numFmtId="192" fontId="16" fillId="0" borderId="0" xfId="60" applyNumberFormat="1" applyFont="1" applyBorder="1" applyAlignment="1">
      <alignment horizontal="right"/>
      <protection/>
    </xf>
    <xf numFmtId="0" fontId="16" fillId="0" borderId="0" xfId="60" applyFont="1" applyBorder="1" applyAlignment="1">
      <alignment horizontal="center"/>
      <protection/>
    </xf>
    <xf numFmtId="205" fontId="16" fillId="0" borderId="0" xfId="60" applyNumberFormat="1" applyFont="1" applyBorder="1" applyAlignment="1">
      <alignment horizontal="center"/>
      <protection/>
    </xf>
    <xf numFmtId="0" fontId="16" fillId="0" borderId="0" xfId="60" applyFont="1" applyBorder="1" applyAlignment="1">
      <alignment horizontal="right"/>
      <protection/>
    </xf>
    <xf numFmtId="0" fontId="16" fillId="0" borderId="11" xfId="60" applyFont="1" applyBorder="1" applyAlignment="1">
      <alignment horizontal="center"/>
      <protection/>
    </xf>
    <xf numFmtId="205" fontId="16" fillId="0" borderId="11" xfId="60" applyNumberFormat="1" applyFont="1" applyBorder="1" applyAlignment="1">
      <alignment horizontal="center"/>
      <protection/>
    </xf>
    <xf numFmtId="0" fontId="16" fillId="0" borderId="11" xfId="60" applyFont="1" applyBorder="1" applyAlignment="1">
      <alignment horizontal="right"/>
      <protection/>
    </xf>
    <xf numFmtId="208" fontId="16" fillId="0" borderId="0" xfId="42" applyNumberFormat="1" applyFont="1" applyBorder="1" applyAlignment="1">
      <alignment horizontal="right"/>
    </xf>
    <xf numFmtId="208" fontId="0" fillId="0" borderId="0" xfId="42" applyNumberFormat="1" applyFont="1" applyAlignment="1">
      <alignment/>
    </xf>
    <xf numFmtId="208" fontId="26" fillId="0" borderId="12" xfId="42" applyNumberFormat="1" applyFont="1" applyBorder="1" applyAlignment="1">
      <alignment horizontal="center"/>
    </xf>
    <xf numFmtId="208" fontId="12" fillId="0" borderId="0" xfId="42" applyNumberFormat="1" applyFont="1" applyBorder="1" applyAlignment="1">
      <alignment/>
    </xf>
    <xf numFmtId="208" fontId="5" fillId="0" borderId="12" xfId="42" applyNumberFormat="1" applyFont="1" applyBorder="1" applyAlignment="1">
      <alignment/>
    </xf>
    <xf numFmtId="208" fontId="5" fillId="0" borderId="0" xfId="42" applyNumberFormat="1" applyFont="1" applyBorder="1" applyAlignment="1">
      <alignment/>
    </xf>
    <xf numFmtId="208" fontId="16" fillId="0" borderId="0" xfId="42" applyNumberFormat="1" applyFont="1" applyBorder="1" applyAlignment="1">
      <alignment horizontal="right"/>
    </xf>
    <xf numFmtId="208" fontId="7" fillId="0" borderId="16" xfId="42" applyNumberFormat="1" applyFont="1" applyBorder="1" applyAlignment="1">
      <alignment horizontal="right"/>
    </xf>
    <xf numFmtId="208" fontId="5" fillId="0" borderId="13" xfId="42" applyNumberFormat="1" applyFont="1" applyBorder="1" applyAlignment="1">
      <alignment horizontal="right"/>
    </xf>
    <xf numFmtId="208" fontId="16" fillId="0" borderId="11" xfId="42" applyNumberFormat="1" applyFont="1" applyBorder="1" applyAlignment="1">
      <alignment horizontal="right"/>
    </xf>
    <xf numFmtId="208" fontId="4" fillId="0" borderId="0" xfId="42" applyNumberFormat="1" applyFont="1" applyAlignment="1">
      <alignment horizontal="right"/>
    </xf>
    <xf numFmtId="208" fontId="7" fillId="0" borderId="0" xfId="42" applyNumberFormat="1" applyFont="1" applyAlignment="1">
      <alignment horizontal="right"/>
    </xf>
    <xf numFmtId="208" fontId="26" fillId="0" borderId="12" xfId="42" applyNumberFormat="1" applyFont="1" applyBorder="1" applyAlignment="1">
      <alignment horizontal="right"/>
    </xf>
    <xf numFmtId="208" fontId="12" fillId="0" borderId="0" xfId="42" applyNumberFormat="1" applyFont="1" applyBorder="1" applyAlignment="1">
      <alignment horizontal="right"/>
    </xf>
    <xf numFmtId="208" fontId="5" fillId="0" borderId="12" xfId="42" applyNumberFormat="1" applyFont="1" applyBorder="1" applyAlignment="1">
      <alignment horizontal="right"/>
    </xf>
    <xf numFmtId="208" fontId="0" fillId="0" borderId="0" xfId="42" applyNumberFormat="1" applyFont="1" applyAlignment="1">
      <alignment horizontal="right"/>
    </xf>
    <xf numFmtId="208" fontId="4" fillId="0" borderId="29" xfId="42" applyNumberFormat="1" applyFont="1" applyBorder="1" applyAlignment="1">
      <alignment horizontal="right" vertical="top" wrapText="1"/>
    </xf>
    <xf numFmtId="208" fontId="5" fillId="0" borderId="13" xfId="42" applyNumberFormat="1" applyFont="1" applyBorder="1" applyAlignment="1">
      <alignment horizontal="center"/>
    </xf>
    <xf numFmtId="208" fontId="11" fillId="0" borderId="0" xfId="42" applyNumberFormat="1" applyFont="1" applyBorder="1" applyAlignment="1">
      <alignment horizontal="center"/>
    </xf>
    <xf numFmtId="208" fontId="11" fillId="0" borderId="11" xfId="42" applyNumberFormat="1" applyFont="1" applyBorder="1" applyAlignment="1">
      <alignment horizontal="center"/>
    </xf>
    <xf numFmtId="208" fontId="11" fillId="0" borderId="10" xfId="42" applyNumberFormat="1" applyFont="1" applyBorder="1" applyAlignment="1">
      <alignment horizontal="right"/>
    </xf>
    <xf numFmtId="208" fontId="4" fillId="0" borderId="11" xfId="42" applyNumberFormat="1" applyFont="1" applyBorder="1" applyAlignment="1">
      <alignment/>
    </xf>
    <xf numFmtId="208" fontId="4" fillId="0" borderId="0" xfId="42" applyNumberFormat="1" applyFont="1" applyBorder="1" applyAlignment="1">
      <alignment/>
    </xf>
    <xf numFmtId="208" fontId="0" fillId="0" borderId="0" xfId="42" applyNumberFormat="1" applyFont="1" applyAlignment="1">
      <alignment/>
    </xf>
    <xf numFmtId="208" fontId="24" fillId="0" borderId="0" xfId="42" applyNumberFormat="1" applyFont="1" applyBorder="1" applyAlignment="1">
      <alignment/>
    </xf>
    <xf numFmtId="208" fontId="7" fillId="0" borderId="0" xfId="42" applyNumberFormat="1" applyFont="1" applyAlignment="1">
      <alignment/>
    </xf>
    <xf numFmtId="208" fontId="24" fillId="0" borderId="11" xfId="42" applyNumberFormat="1" applyFont="1" applyBorder="1" applyAlignment="1">
      <alignment/>
    </xf>
    <xf numFmtId="208" fontId="7" fillId="0" borderId="0" xfId="42" applyNumberFormat="1" applyFont="1" applyAlignment="1">
      <alignment/>
    </xf>
    <xf numFmtId="208" fontId="5" fillId="36" borderId="13" xfId="42" applyNumberFormat="1" applyFont="1" applyFill="1" applyBorder="1" applyAlignment="1">
      <alignment horizontal="center"/>
    </xf>
    <xf numFmtId="208" fontId="12" fillId="35" borderId="0" xfId="42" applyNumberFormat="1" applyFont="1" applyFill="1" applyBorder="1" applyAlignment="1">
      <alignment/>
    </xf>
    <xf numFmtId="208" fontId="11" fillId="0" borderId="0" xfId="42" applyNumberFormat="1" applyFont="1" applyBorder="1" applyAlignment="1">
      <alignment/>
    </xf>
    <xf numFmtId="208" fontId="11" fillId="0" borderId="11" xfId="42" applyNumberFormat="1" applyFont="1" applyBorder="1" applyAlignment="1">
      <alignment/>
    </xf>
    <xf numFmtId="208" fontId="35" fillId="0" borderId="0" xfId="42" applyNumberFormat="1" applyFont="1" applyAlignment="1">
      <alignment/>
    </xf>
    <xf numFmtId="208" fontId="0" fillId="0" borderId="0" xfId="42" applyNumberFormat="1" applyFont="1" applyAlignment="1">
      <alignment/>
    </xf>
    <xf numFmtId="203" fontId="7" fillId="0" borderId="13" xfId="68" applyNumberFormat="1" applyFont="1" applyBorder="1" applyAlignment="1">
      <alignment vertical="center"/>
      <protection/>
    </xf>
    <xf numFmtId="204" fontId="7" fillId="0" borderId="13" xfId="68" applyNumberFormat="1" applyFont="1" applyBorder="1" applyAlignment="1">
      <alignment vertical="center"/>
      <protection/>
    </xf>
    <xf numFmtId="203" fontId="7" fillId="0" borderId="34" xfId="68" applyNumberFormat="1" applyFont="1" applyBorder="1" applyAlignment="1">
      <alignment vertical="center"/>
      <protection/>
    </xf>
    <xf numFmtId="0" fontId="24" fillId="0" borderId="29" xfId="60" applyFont="1" applyBorder="1" applyAlignment="1">
      <alignment vertical="top"/>
      <protection/>
    </xf>
    <xf numFmtId="0" fontId="24" fillId="0" borderId="0" xfId="60" applyFont="1" applyBorder="1" applyAlignment="1">
      <alignment horizontal="right"/>
      <protection/>
    </xf>
    <xf numFmtId="205" fontId="24" fillId="0" borderId="0" xfId="45" applyNumberFormat="1" applyFont="1" applyBorder="1" applyAlignment="1">
      <alignment horizontal="right"/>
    </xf>
    <xf numFmtId="1" fontId="24" fillId="0" borderId="0" xfId="60" applyNumberFormat="1" applyFont="1" applyBorder="1" applyAlignment="1">
      <alignment horizontal="right"/>
      <protection/>
    </xf>
    <xf numFmtId="205" fontId="24" fillId="0" borderId="0" xfId="60" applyNumberFormat="1" applyFont="1" applyBorder="1" applyAlignment="1">
      <alignment horizontal="right"/>
      <protection/>
    </xf>
    <xf numFmtId="0" fontId="24" fillId="0" borderId="10" xfId="60" applyFont="1" applyBorder="1" applyAlignment="1">
      <alignment horizontal="right"/>
      <protection/>
    </xf>
    <xf numFmtId="205" fontId="24" fillId="0" borderId="10" xfId="45" applyNumberFormat="1" applyFont="1" applyBorder="1" applyAlignment="1">
      <alignment/>
    </xf>
    <xf numFmtId="204" fontId="24" fillId="0" borderId="10" xfId="45" applyNumberFormat="1" applyFont="1" applyBorder="1" applyAlignment="1">
      <alignment/>
    </xf>
    <xf numFmtId="204" fontId="24" fillId="0" borderId="10" xfId="45" applyNumberFormat="1" applyFont="1" applyBorder="1" applyAlignment="1">
      <alignment horizontal="center"/>
    </xf>
    <xf numFmtId="0" fontId="24" fillId="0" borderId="0" xfId="60" applyFont="1">
      <alignment/>
      <protection/>
    </xf>
    <xf numFmtId="204" fontId="24" fillId="0" borderId="0" xfId="45" applyNumberFormat="1" applyFont="1" applyBorder="1" applyAlignment="1">
      <alignment horizontal="center"/>
    </xf>
    <xf numFmtId="203" fontId="24" fillId="0" borderId="0" xfId="45" applyNumberFormat="1" applyFont="1" applyBorder="1" applyAlignment="1">
      <alignment horizontal="right"/>
    </xf>
    <xf numFmtId="0" fontId="5" fillId="0" borderId="13" xfId="61" applyFont="1" applyBorder="1" applyAlignment="1">
      <alignment vertical="center"/>
      <protection/>
    </xf>
    <xf numFmtId="204" fontId="11" fillId="0" borderId="13" xfId="46" applyNumberFormat="1" applyFont="1" applyBorder="1" applyAlignment="1">
      <alignment horizontal="right" vertical="center"/>
    </xf>
    <xf numFmtId="205" fontId="11" fillId="0" borderId="13" xfId="46" applyNumberFormat="1" applyFont="1" applyBorder="1" applyAlignment="1">
      <alignment horizontal="right" vertical="center"/>
    </xf>
    <xf numFmtId="204" fontId="5" fillId="0" borderId="13" xfId="61" applyNumberFormat="1" applyFont="1" applyBorder="1" applyAlignment="1">
      <alignment vertical="center"/>
      <protection/>
    </xf>
    <xf numFmtId="208" fontId="24" fillId="37" borderId="29" xfId="42" applyNumberFormat="1" applyFont="1" applyFill="1" applyBorder="1" applyAlignment="1">
      <alignment horizontal="right" vertical="top"/>
    </xf>
    <xf numFmtId="203" fontId="5" fillId="0" borderId="14" xfId="46" applyNumberFormat="1" applyFont="1" applyBorder="1" applyAlignment="1">
      <alignment horizontal="center" vertical="center"/>
    </xf>
    <xf numFmtId="206" fontId="24" fillId="0" borderId="0" xfId="46" applyNumberFormat="1" applyFont="1" applyBorder="1" applyAlignment="1">
      <alignment horizontal="right" vertical="top" wrapText="1"/>
    </xf>
    <xf numFmtId="205" fontId="5" fillId="33" borderId="17" xfId="61" applyNumberFormat="1" applyFont="1" applyFill="1" applyBorder="1" applyAlignment="1">
      <alignment horizontal="center" vertical="center"/>
      <protection/>
    </xf>
    <xf numFmtId="0" fontId="4" fillId="0" borderId="0" xfId="45" applyNumberFormat="1" applyFont="1" applyAlignment="1">
      <alignment/>
    </xf>
    <xf numFmtId="208" fontId="24" fillId="0" borderId="0" xfId="42" applyNumberFormat="1" applyFont="1" applyAlignment="1">
      <alignment vertical="top"/>
    </xf>
    <xf numFmtId="203" fontId="11" fillId="0" borderId="0" xfId="45" applyNumberFormat="1" applyFont="1" applyBorder="1" applyAlignment="1">
      <alignment horizontal="right" vertical="top"/>
    </xf>
    <xf numFmtId="0" fontId="24" fillId="0" borderId="29" xfId="0" applyFont="1" applyBorder="1" applyAlignment="1">
      <alignment wrapText="1"/>
    </xf>
    <xf numFmtId="0" fontId="0" fillId="0" borderId="29" xfId="0" applyFont="1" applyBorder="1" applyAlignment="1" quotePrefix="1">
      <alignment vertical="top" wrapText="1"/>
    </xf>
    <xf numFmtId="0" fontId="24" fillId="0" borderId="29" xfId="60" applyFont="1" applyBorder="1" applyAlignment="1">
      <alignment horizontal="left"/>
      <protection/>
    </xf>
    <xf numFmtId="209" fontId="4" fillId="0" borderId="29" xfId="42" applyNumberFormat="1" applyFont="1" applyBorder="1" applyAlignment="1">
      <alignment horizontal="right" vertical="top"/>
    </xf>
    <xf numFmtId="208" fontId="4" fillId="0" borderId="29" xfId="42" applyNumberFormat="1" applyFont="1" applyBorder="1" applyAlignment="1">
      <alignment horizontal="right" vertical="top"/>
    </xf>
    <xf numFmtId="0" fontId="24" fillId="0" borderId="30" xfId="0" applyFont="1" applyBorder="1" applyAlignment="1">
      <alignment vertical="top" wrapText="1"/>
    </xf>
    <xf numFmtId="0" fontId="24" fillId="0" borderId="29" xfId="60" applyFont="1" applyBorder="1">
      <alignment/>
      <protection/>
    </xf>
    <xf numFmtId="0" fontId="70" fillId="0" borderId="29" xfId="60" applyFont="1" applyBorder="1">
      <alignment/>
      <protection/>
    </xf>
    <xf numFmtId="0" fontId="71" fillId="0" borderId="29" xfId="60" applyFont="1" applyBorder="1" applyAlignment="1">
      <alignment horizontal="center" vertical="top"/>
      <protection/>
    </xf>
    <xf numFmtId="0" fontId="71" fillId="0" borderId="29" xfId="60" applyFont="1" applyBorder="1" applyAlignment="1" quotePrefix="1">
      <alignment horizontal="left"/>
      <protection/>
    </xf>
    <xf numFmtId="209" fontId="71" fillId="0" borderId="29" xfId="42" applyNumberFormat="1" applyFont="1" applyBorder="1" applyAlignment="1">
      <alignment horizontal="right"/>
    </xf>
    <xf numFmtId="208" fontId="71" fillId="0" borderId="29" xfId="42" applyNumberFormat="1" applyFont="1" applyBorder="1" applyAlignment="1">
      <alignment horizontal="right"/>
    </xf>
    <xf numFmtId="209" fontId="71" fillId="0" borderId="29" xfId="42" applyNumberFormat="1" applyFont="1" applyBorder="1" applyAlignment="1">
      <alignment/>
    </xf>
    <xf numFmtId="0" fontId="24" fillId="0" borderId="28" xfId="61" applyFont="1" applyBorder="1" applyAlignment="1">
      <alignment vertical="top" wrapText="1"/>
      <protection/>
    </xf>
    <xf numFmtId="0" fontId="32" fillId="0" borderId="29" xfId="61" applyFont="1" applyFill="1" applyBorder="1" applyAlignment="1">
      <alignment vertical="top" wrapText="1"/>
      <protection/>
    </xf>
    <xf numFmtId="208" fontId="5" fillId="0" borderId="29" xfId="42" applyNumberFormat="1" applyFont="1" applyBorder="1" applyAlignment="1">
      <alignment horizontal="right" vertical="center"/>
    </xf>
    <xf numFmtId="0" fontId="4" fillId="0" borderId="30" xfId="61" applyFont="1" applyBorder="1" applyAlignment="1">
      <alignment horizontal="left" vertical="top" wrapText="1"/>
      <protection/>
    </xf>
    <xf numFmtId="0" fontId="31" fillId="0" borderId="30" xfId="61" applyFont="1" applyFill="1" applyBorder="1" applyAlignment="1">
      <alignment horizontal="left" vertical="top" wrapText="1"/>
      <protection/>
    </xf>
    <xf numFmtId="0" fontId="4" fillId="0" borderId="30" xfId="61" applyFont="1" applyBorder="1" applyAlignment="1">
      <alignment horizontal="center" vertical="top"/>
      <protection/>
    </xf>
    <xf numFmtId="0" fontId="4" fillId="0" borderId="30" xfId="0" applyFont="1" applyBorder="1" applyAlignment="1">
      <alignment vertical="top"/>
    </xf>
    <xf numFmtId="0" fontId="4" fillId="0" borderId="30" xfId="61" applyFont="1" applyBorder="1" applyAlignment="1">
      <alignment vertical="top"/>
      <protection/>
    </xf>
    <xf numFmtId="206" fontId="4" fillId="0" borderId="30" xfId="61" applyNumberFormat="1" applyFont="1" applyBorder="1" applyAlignment="1">
      <alignment vertical="top"/>
      <protection/>
    </xf>
    <xf numFmtId="206" fontId="24" fillId="0" borderId="30" xfId="61" applyNumberFormat="1" applyFont="1" applyBorder="1" applyAlignment="1">
      <alignment horizontal="right" vertical="top" wrapText="1"/>
      <protection/>
    </xf>
    <xf numFmtId="0" fontId="24" fillId="0" borderId="30" xfId="61" applyFont="1" applyBorder="1" applyAlignment="1">
      <alignment horizontal="right" vertical="top" wrapText="1"/>
      <protection/>
    </xf>
    <xf numFmtId="0" fontId="24" fillId="0" borderId="29" xfId="61" applyFont="1" applyBorder="1" applyAlignment="1">
      <alignment horizontal="right" vertical="top"/>
      <protection/>
    </xf>
    <xf numFmtId="1" fontId="11" fillId="0" borderId="0" xfId="45" applyNumberFormat="1" applyFont="1" applyBorder="1" applyAlignment="1">
      <alignment horizontal="right"/>
    </xf>
    <xf numFmtId="220" fontId="7" fillId="0" borderId="11" xfId="68" applyNumberFormat="1" applyFont="1" applyBorder="1" applyAlignment="1">
      <alignment horizontal="right"/>
      <protection/>
    </xf>
    <xf numFmtId="1" fontId="7" fillId="35" borderId="37" xfId="68" applyNumberFormat="1" applyFont="1" applyFill="1" applyBorder="1" applyAlignment="1">
      <alignment horizontal="right"/>
      <protection/>
    </xf>
    <xf numFmtId="205" fontId="7" fillId="35" borderId="12" xfId="68" applyNumberFormat="1" applyFont="1" applyFill="1" applyBorder="1" applyAlignment="1">
      <alignment horizontal="right"/>
      <protection/>
    </xf>
    <xf numFmtId="205" fontId="7" fillId="35" borderId="38" xfId="68" applyNumberFormat="1" applyFont="1" applyFill="1" applyBorder="1" applyAlignment="1">
      <alignment horizontal="right"/>
      <protection/>
    </xf>
    <xf numFmtId="203" fontId="7" fillId="35" borderId="37" xfId="68" applyNumberFormat="1" applyFont="1" applyFill="1" applyBorder="1" applyAlignment="1">
      <alignment horizontal="right"/>
      <protection/>
    </xf>
    <xf numFmtId="203" fontId="7" fillId="35" borderId="12" xfId="68" applyNumberFormat="1" applyFont="1" applyFill="1" applyBorder="1" applyAlignment="1">
      <alignment horizontal="right"/>
      <protection/>
    </xf>
    <xf numFmtId="203" fontId="7" fillId="35" borderId="38" xfId="68" applyNumberFormat="1" applyFont="1" applyFill="1" applyBorder="1" applyAlignment="1">
      <alignment horizontal="right"/>
      <protection/>
    </xf>
    <xf numFmtId="206" fontId="10" fillId="0" borderId="0" xfId="61" applyNumberFormat="1" applyFont="1" applyAlignment="1">
      <alignment horizontal="center"/>
      <protection/>
    </xf>
    <xf numFmtId="204" fontId="5" fillId="0" borderId="0" xfId="46" applyNumberFormat="1" applyFont="1" applyFill="1" applyBorder="1" applyAlignment="1">
      <alignment vertical="center"/>
    </xf>
    <xf numFmtId="0" fontId="5" fillId="0" borderId="12" xfId="61" applyFont="1" applyBorder="1" applyAlignment="1">
      <alignment vertical="center"/>
      <protection/>
    </xf>
    <xf numFmtId="204" fontId="11" fillId="0" borderId="12" xfId="46" applyNumberFormat="1" applyFont="1" applyBorder="1" applyAlignment="1">
      <alignment horizontal="right" vertical="center"/>
    </xf>
    <xf numFmtId="205" fontId="11" fillId="0" borderId="12" xfId="46" applyNumberFormat="1" applyFont="1" applyBorder="1" applyAlignment="1">
      <alignment horizontal="right" vertical="center"/>
    </xf>
    <xf numFmtId="0" fontId="11" fillId="0" borderId="39" xfId="61" applyFont="1" applyBorder="1" applyAlignment="1">
      <alignment horizontal="center" vertical="top" wrapText="1"/>
      <protection/>
    </xf>
    <xf numFmtId="43" fontId="24" fillId="0" borderId="32" xfId="61" applyNumberFormat="1" applyFont="1" applyBorder="1" applyAlignment="1">
      <alignment vertical="top"/>
      <protection/>
    </xf>
    <xf numFmtId="43" fontId="11" fillId="0" borderId="39" xfId="61" applyNumberFormat="1" applyFont="1" applyBorder="1" applyAlignment="1">
      <alignment horizontal="center" vertical="top" wrapText="1"/>
      <protection/>
    </xf>
    <xf numFmtId="43" fontId="11" fillId="0" borderId="28" xfId="61" applyNumberFormat="1" applyFont="1" applyBorder="1" applyAlignment="1">
      <alignment horizontal="center" vertical="top" wrapText="1"/>
      <protection/>
    </xf>
    <xf numFmtId="43" fontId="11" fillId="0" borderId="30" xfId="61" applyNumberFormat="1" applyFont="1" applyBorder="1" applyAlignment="1">
      <alignment horizontal="center" vertical="top" wrapText="1"/>
      <protection/>
    </xf>
    <xf numFmtId="43" fontId="11" fillId="0" borderId="32" xfId="61" applyNumberFormat="1" applyFont="1" applyBorder="1" applyAlignment="1">
      <alignment horizontal="center" vertical="top" wrapText="1"/>
      <protection/>
    </xf>
    <xf numFmtId="43" fontId="5" fillId="0" borderId="12" xfId="60" applyNumberFormat="1" applyFont="1" applyBorder="1">
      <alignment/>
      <protection/>
    </xf>
    <xf numFmtId="216" fontId="16" fillId="0" borderId="0" xfId="60" applyNumberFormat="1" applyFont="1" applyBorder="1" applyAlignment="1">
      <alignment horizontal="right"/>
      <protection/>
    </xf>
    <xf numFmtId="43" fontId="5" fillId="0" borderId="0" xfId="45" applyNumberFormat="1" applyFont="1" applyBorder="1" applyAlignment="1">
      <alignment horizontal="right"/>
    </xf>
    <xf numFmtId="203" fontId="5" fillId="0" borderId="0" xfId="45" applyNumberFormat="1" applyFont="1" applyBorder="1" applyAlignment="1">
      <alignment horizontal="right"/>
    </xf>
    <xf numFmtId="205" fontId="5" fillId="0" borderId="0" xfId="45" applyNumberFormat="1" applyFont="1" applyBorder="1" applyAlignment="1">
      <alignment horizontal="right"/>
    </xf>
    <xf numFmtId="203" fontId="5" fillId="0" borderId="13" xfId="60" applyNumberFormat="1" applyFont="1" applyBorder="1" applyAlignment="1">
      <alignment horizontal="right"/>
      <protection/>
    </xf>
    <xf numFmtId="43" fontId="5" fillId="33" borderId="32" xfId="61" applyNumberFormat="1" applyFont="1" applyFill="1" applyBorder="1" applyAlignment="1">
      <alignment vertical="center"/>
      <protection/>
    </xf>
    <xf numFmtId="0" fontId="16" fillId="0" borderId="16" xfId="60" applyFont="1" applyBorder="1" applyAlignment="1">
      <alignment horizontal="right"/>
      <protection/>
    </xf>
    <xf numFmtId="205" fontId="16" fillId="0" borderId="16" xfId="60" applyNumberFormat="1" applyFont="1" applyBorder="1" applyAlignment="1">
      <alignment horizontal="right"/>
      <protection/>
    </xf>
    <xf numFmtId="1" fontId="16" fillId="0" borderId="16" xfId="60" applyNumberFormat="1" applyFont="1" applyBorder="1" applyAlignment="1">
      <alignment horizontal="right"/>
      <protection/>
    </xf>
    <xf numFmtId="208" fontId="16" fillId="0" borderId="16" xfId="42" applyNumberFormat="1" applyFont="1" applyBorder="1" applyAlignment="1">
      <alignment horizontal="right"/>
    </xf>
    <xf numFmtId="43" fontId="5" fillId="0" borderId="16" xfId="45" applyNumberFormat="1" applyFont="1" applyBorder="1" applyAlignment="1">
      <alignment horizontal="right"/>
    </xf>
    <xf numFmtId="203" fontId="5" fillId="0" borderId="16" xfId="45" applyNumberFormat="1" applyFont="1" applyBorder="1" applyAlignment="1">
      <alignment horizontal="right"/>
    </xf>
    <xf numFmtId="1" fontId="5" fillId="0" borderId="16" xfId="45" applyNumberFormat="1" applyFont="1" applyBorder="1" applyAlignment="1">
      <alignment horizontal="right"/>
    </xf>
    <xf numFmtId="208" fontId="5" fillId="0" borderId="16" xfId="42" applyNumberFormat="1" applyFont="1" applyBorder="1" applyAlignment="1">
      <alignment horizontal="right"/>
    </xf>
    <xf numFmtId="0" fontId="70" fillId="0" borderId="0" xfId="61" applyFont="1" applyBorder="1">
      <alignment/>
      <protection/>
    </xf>
    <xf numFmtId="0" fontId="70" fillId="0" borderId="0" xfId="61" applyFont="1" applyBorder="1" quotePrefix="1">
      <alignment/>
      <protection/>
    </xf>
    <xf numFmtId="0" fontId="8" fillId="36" borderId="15" xfId="61" applyFont="1" applyFill="1" applyBorder="1" applyAlignment="1">
      <alignment horizontal="center" vertical="center"/>
      <protection/>
    </xf>
    <xf numFmtId="0" fontId="8" fillId="36" borderId="12" xfId="61" applyFont="1" applyFill="1" applyBorder="1" applyAlignment="1">
      <alignment horizontal="center" vertical="center"/>
      <protection/>
    </xf>
    <xf numFmtId="0" fontId="9" fillId="36" borderId="13" xfId="61" applyFont="1" applyFill="1" applyBorder="1" applyAlignment="1">
      <alignment horizontal="center" vertical="center"/>
      <protection/>
    </xf>
    <xf numFmtId="204" fontId="9" fillId="36" borderId="13" xfId="45" applyNumberFormat="1" applyFont="1" applyFill="1" applyBorder="1" applyAlignment="1">
      <alignment horizontal="center" vertical="center"/>
    </xf>
    <xf numFmtId="204" fontId="9" fillId="36" borderId="13" xfId="45" applyNumberFormat="1" applyFont="1" applyFill="1" applyBorder="1" applyAlignment="1">
      <alignment horizontal="center" vertical="center" wrapText="1"/>
    </xf>
    <xf numFmtId="0" fontId="19" fillId="36" borderId="15" xfId="60" applyFont="1" applyFill="1" applyBorder="1" applyAlignment="1">
      <alignment horizontal="center" vertical="center"/>
      <protection/>
    </xf>
    <xf numFmtId="0" fontId="19" fillId="36" borderId="12" xfId="60" applyFont="1" applyFill="1" applyBorder="1" applyAlignment="1">
      <alignment vertical="center"/>
      <protection/>
    </xf>
    <xf numFmtId="204" fontId="20" fillId="36" borderId="13" xfId="45" applyNumberFormat="1" applyFont="1" applyFill="1" applyBorder="1" applyAlignment="1">
      <alignment horizontal="center" vertical="center" textRotation="59" wrapText="1"/>
    </xf>
    <xf numFmtId="204" fontId="21" fillId="36" borderId="13" xfId="45" applyNumberFormat="1" applyFont="1" applyFill="1" applyBorder="1" applyAlignment="1">
      <alignment horizontal="center" vertical="center" textRotation="61" wrapText="1"/>
    </xf>
    <xf numFmtId="204" fontId="21" fillId="36" borderId="13" xfId="45" applyNumberFormat="1" applyFont="1" applyFill="1" applyBorder="1" applyAlignment="1">
      <alignment horizontal="center" vertical="center" textRotation="60" wrapText="1"/>
    </xf>
    <xf numFmtId="204" fontId="21" fillId="36" borderId="15" xfId="45" applyNumberFormat="1" applyFont="1" applyFill="1" applyBorder="1" applyAlignment="1">
      <alignment vertical="center" textRotation="60" wrapText="1"/>
    </xf>
    <xf numFmtId="204" fontId="21" fillId="36" borderId="13" xfId="45" applyNumberFormat="1" applyFont="1" applyFill="1" applyBorder="1" applyAlignment="1">
      <alignment vertical="center" textRotation="61" wrapText="1"/>
    </xf>
    <xf numFmtId="204" fontId="21" fillId="36" borderId="15" xfId="45" applyNumberFormat="1" applyFont="1" applyFill="1" applyBorder="1" applyAlignment="1">
      <alignment vertical="center" textRotation="61" wrapText="1"/>
    </xf>
    <xf numFmtId="204" fontId="9" fillId="36" borderId="13" xfId="45" applyNumberFormat="1" applyFont="1" applyFill="1" applyBorder="1" applyAlignment="1">
      <alignment vertical="center"/>
    </xf>
    <xf numFmtId="204" fontId="5" fillId="36" borderId="15" xfId="45" applyNumberFormat="1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5" fillId="36" borderId="40" xfId="68" applyFont="1" applyFill="1" applyBorder="1" applyAlignment="1">
      <alignment horizontal="center" vertical="center"/>
      <protection/>
    </xf>
    <xf numFmtId="0" fontId="5" fillId="36" borderId="41" xfId="68" applyFont="1" applyFill="1" applyBorder="1" applyAlignment="1">
      <alignment horizontal="center" vertical="center"/>
      <protection/>
    </xf>
    <xf numFmtId="204" fontId="5" fillId="36" borderId="42" xfId="45" applyNumberFormat="1" applyFont="1" applyFill="1" applyBorder="1" applyAlignment="1">
      <alignment horizontal="center" vertical="center" wrapText="1"/>
    </xf>
    <xf numFmtId="204" fontId="5" fillId="36" borderId="15" xfId="45" applyNumberFormat="1" applyFont="1" applyFill="1" applyBorder="1" applyAlignment="1">
      <alignment horizontal="center" vertical="center" wrapText="1"/>
    </xf>
    <xf numFmtId="0" fontId="0" fillId="36" borderId="43" xfId="0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5" fillId="36" borderId="43" xfId="68" applyFont="1" applyFill="1" applyBorder="1" applyAlignment="1">
      <alignment horizontal="center" vertical="center"/>
      <protection/>
    </xf>
    <xf numFmtId="204" fontId="5" fillId="36" borderId="44" xfId="45" applyNumberFormat="1" applyFont="1" applyFill="1" applyBorder="1" applyAlignment="1">
      <alignment horizontal="center" vertical="center"/>
    </xf>
    <xf numFmtId="204" fontId="5" fillId="36" borderId="45" xfId="45" applyNumberFormat="1" applyFont="1" applyFill="1" applyBorder="1" applyAlignment="1">
      <alignment horizontal="center" vertical="center"/>
    </xf>
    <xf numFmtId="204" fontId="5" fillId="36" borderId="46" xfId="45" applyNumberFormat="1" applyFont="1" applyFill="1" applyBorder="1" applyAlignment="1">
      <alignment horizontal="center" vertical="center"/>
    </xf>
    <xf numFmtId="204" fontId="5" fillId="36" borderId="23" xfId="45" applyNumberFormat="1" applyFont="1" applyFill="1" applyBorder="1" applyAlignment="1">
      <alignment horizontal="center" vertical="center"/>
    </xf>
    <xf numFmtId="0" fontId="5" fillId="36" borderId="15" xfId="60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0" fillId="36" borderId="12" xfId="0" applyFill="1" applyBorder="1" applyAlignment="1">
      <alignment/>
    </xf>
    <xf numFmtId="0" fontId="5" fillId="36" borderId="44" xfId="68" applyFont="1" applyFill="1" applyBorder="1" applyAlignment="1">
      <alignment horizontal="center" vertical="center"/>
      <protection/>
    </xf>
    <xf numFmtId="0" fontId="5" fillId="36" borderId="45" xfId="68" applyFont="1" applyFill="1" applyBorder="1" applyAlignment="1">
      <alignment horizontal="center" vertical="center"/>
      <protection/>
    </xf>
    <xf numFmtId="0" fontId="5" fillId="36" borderId="46" xfId="68" applyFont="1" applyFill="1" applyBorder="1" applyAlignment="1">
      <alignment horizontal="center" vertical="center"/>
      <protection/>
    </xf>
    <xf numFmtId="203" fontId="5" fillId="36" borderId="15" xfId="45" applyNumberFormat="1" applyFont="1" applyFill="1" applyBorder="1" applyAlignment="1">
      <alignment horizontal="center" vertical="center"/>
    </xf>
    <xf numFmtId="203" fontId="0" fillId="36" borderId="40" xfId="0" applyNumberFormat="1" applyFont="1" applyFill="1" applyBorder="1" applyAlignment="1">
      <alignment horizontal="center" vertical="center"/>
    </xf>
    <xf numFmtId="204" fontId="5" fillId="36" borderId="27" xfId="45" applyNumberFormat="1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204" fontId="26" fillId="0" borderId="13" xfId="45" applyNumberFormat="1" applyFont="1" applyFill="1" applyBorder="1" applyAlignment="1">
      <alignment horizontal="center" textRotation="60" wrapText="1"/>
    </xf>
    <xf numFmtId="204" fontId="26" fillId="0" borderId="15" xfId="45" applyNumberFormat="1" applyFont="1" applyFill="1" applyBorder="1" applyAlignment="1">
      <alignment horizontal="center" textRotation="60" wrapText="1"/>
    </xf>
    <xf numFmtId="204" fontId="26" fillId="0" borderId="15" xfId="45" applyNumberFormat="1" applyFont="1" applyBorder="1" applyAlignment="1">
      <alignment horizontal="center" textRotation="60" wrapText="1"/>
    </xf>
    <xf numFmtId="0" fontId="8" fillId="0" borderId="15" xfId="60" applyFont="1" applyBorder="1" applyAlignment="1">
      <alignment horizontal="center" vertical="center"/>
      <protection/>
    </xf>
    <xf numFmtId="0" fontId="8" fillId="0" borderId="12" xfId="60" applyFont="1" applyBorder="1" applyAlignment="1">
      <alignment vertical="center"/>
      <protection/>
    </xf>
    <xf numFmtId="204" fontId="26" fillId="0" borderId="13" xfId="45" applyNumberFormat="1" applyFont="1" applyBorder="1" applyAlignment="1">
      <alignment horizontal="center" textRotation="60" wrapText="1"/>
    </xf>
    <xf numFmtId="204" fontId="9" fillId="0" borderId="13" xfId="45" applyNumberFormat="1" applyFont="1" applyBorder="1" applyAlignment="1">
      <alignment horizontal="center" vertical="center"/>
    </xf>
    <xf numFmtId="0" fontId="5" fillId="33" borderId="35" xfId="60" applyFont="1" applyFill="1" applyBorder="1" applyAlignment="1">
      <alignment horizontal="center" vertical="center"/>
      <protection/>
    </xf>
    <xf numFmtId="194" fontId="5" fillId="0" borderId="35" xfId="42" applyFont="1" applyBorder="1" applyAlignment="1">
      <alignment horizontal="center"/>
    </xf>
    <xf numFmtId="208" fontId="5" fillId="0" borderId="36" xfId="42" applyNumberFormat="1" applyFont="1" applyBorder="1" applyAlignment="1">
      <alignment horizontal="right" vertical="center" textRotation="60"/>
    </xf>
    <xf numFmtId="208" fontId="5" fillId="0" borderId="31" xfId="42" applyNumberFormat="1" applyFont="1" applyBorder="1" applyAlignment="1">
      <alignment horizontal="right" vertical="center" textRotation="60"/>
    </xf>
    <xf numFmtId="208" fontId="5" fillId="0" borderId="36" xfId="42" applyNumberFormat="1" applyFont="1" applyBorder="1" applyAlignment="1">
      <alignment horizontal="center" vertical="center"/>
    </xf>
    <xf numFmtId="208" fontId="5" fillId="0" borderId="31" xfId="42" applyNumberFormat="1" applyFont="1" applyBorder="1" applyAlignment="1">
      <alignment horizontal="center" vertical="center"/>
    </xf>
    <xf numFmtId="0" fontId="5" fillId="0" borderId="36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top"/>
      <protection/>
    </xf>
    <xf numFmtId="0" fontId="4" fillId="0" borderId="31" xfId="60" applyFont="1" applyBorder="1" applyAlignment="1">
      <alignment horizontal="center" vertical="top"/>
      <protection/>
    </xf>
    <xf numFmtId="0" fontId="5" fillId="0" borderId="31" xfId="60" applyFont="1" applyBorder="1" applyAlignment="1">
      <alignment horizontal="center" vertical="center"/>
      <protection/>
    </xf>
    <xf numFmtId="204" fontId="8" fillId="0" borderId="45" xfId="46" applyNumberFormat="1" applyFont="1" applyBorder="1" applyAlignment="1">
      <alignment horizontal="center" vertical="center"/>
    </xf>
    <xf numFmtId="204" fontId="26" fillId="0" borderId="45" xfId="46" applyNumberFormat="1" applyFont="1" applyBorder="1" applyAlignment="1">
      <alignment horizontal="center" textRotation="60" wrapText="1"/>
    </xf>
    <xf numFmtId="204" fontId="26" fillId="0" borderId="45" xfId="45" applyNumberFormat="1" applyFont="1" applyBorder="1" applyAlignment="1">
      <alignment horizontal="center" textRotation="69" wrapText="1"/>
    </xf>
    <xf numFmtId="204" fontId="26" fillId="0" borderId="13" xfId="45" applyNumberFormat="1" applyFont="1" applyBorder="1" applyAlignment="1">
      <alignment horizontal="center" textRotation="69" wrapText="1"/>
    </xf>
    <xf numFmtId="204" fontId="26" fillId="0" borderId="13" xfId="45" applyNumberFormat="1" applyFont="1" applyBorder="1" applyAlignment="1">
      <alignment horizontal="center" textRotation="70" wrapText="1"/>
    </xf>
    <xf numFmtId="204" fontId="26" fillId="0" borderId="13" xfId="45" applyNumberFormat="1" applyFont="1" applyBorder="1" applyAlignment="1">
      <alignment horizontal="left" textRotation="66" wrapText="1"/>
    </xf>
    <xf numFmtId="204" fontId="20" fillId="0" borderId="13" xfId="45" applyNumberFormat="1" applyFont="1" applyBorder="1" applyAlignment="1">
      <alignment horizontal="center" textRotation="60" wrapText="1"/>
    </xf>
    <xf numFmtId="204" fontId="20" fillId="0" borderId="15" xfId="45" applyNumberFormat="1" applyFont="1" applyBorder="1" applyAlignment="1">
      <alignment horizontal="center" textRotation="60" wrapText="1"/>
    </xf>
    <xf numFmtId="0" fontId="19" fillId="0" borderId="15" xfId="60" applyFont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15" xfId="0" applyFont="1" applyBorder="1" applyAlignment="1">
      <alignment horizontal="left" vertical="center" textRotation="7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204" fontId="5" fillId="0" borderId="45" xfId="45" applyNumberFormat="1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9" fillId="0" borderId="15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textRotation="58"/>
      <protection/>
    </xf>
    <xf numFmtId="0" fontId="26" fillId="0" borderId="13" xfId="61" applyFont="1" applyBorder="1" applyAlignment="1">
      <alignment horizontal="center" textRotation="58" wrapText="1"/>
      <protection/>
    </xf>
    <xf numFmtId="0" fontId="9" fillId="0" borderId="13" xfId="61" applyFont="1" applyBorder="1" applyAlignment="1">
      <alignment horizontal="center" vertical="center"/>
      <protection/>
    </xf>
    <xf numFmtId="204" fontId="26" fillId="0" borderId="13" xfId="46" applyNumberFormat="1" applyFont="1" applyBorder="1" applyAlignment="1">
      <alignment horizontal="center" textRotation="58" wrapText="1"/>
    </xf>
    <xf numFmtId="204" fontId="26" fillId="0" borderId="13" xfId="46" applyNumberFormat="1" applyFont="1" applyBorder="1" applyAlignment="1">
      <alignment horizontal="center" textRotation="58"/>
    </xf>
    <xf numFmtId="208" fontId="5" fillId="0" borderId="22" xfId="42" applyNumberFormat="1" applyFont="1" applyBorder="1" applyAlignment="1">
      <alignment horizontal="center" vertical="center"/>
    </xf>
    <xf numFmtId="208" fontId="5" fillId="0" borderId="34" xfId="42" applyNumberFormat="1" applyFont="1" applyBorder="1" applyAlignment="1">
      <alignment horizontal="center" vertical="center"/>
    </xf>
    <xf numFmtId="208" fontId="5" fillId="0" borderId="36" xfId="42" applyNumberFormat="1" applyFont="1" applyBorder="1" applyAlignment="1">
      <alignment horizontal="right" vertical="center"/>
    </xf>
    <xf numFmtId="208" fontId="5" fillId="0" borderId="31" xfId="42" applyNumberFormat="1" applyFont="1" applyBorder="1" applyAlignment="1">
      <alignment horizontal="right" vertical="center"/>
    </xf>
    <xf numFmtId="208" fontId="5" fillId="0" borderId="36" xfId="42" applyNumberFormat="1" applyFont="1" applyBorder="1" applyAlignment="1">
      <alignment vertical="center"/>
    </xf>
    <xf numFmtId="208" fontId="5" fillId="0" borderId="31" xfId="42" applyNumberFormat="1" applyFont="1" applyBorder="1" applyAlignment="1">
      <alignment vertical="center"/>
    </xf>
    <xf numFmtId="0" fontId="9" fillId="0" borderId="15" xfId="6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208" fontId="5" fillId="0" borderId="36" xfId="42" applyNumberFormat="1" applyFont="1" applyBorder="1" applyAlignment="1">
      <alignment vertical="center" textRotation="60"/>
    </xf>
    <xf numFmtId="208" fontId="5" fillId="0" borderId="31" xfId="42" applyNumberFormat="1" applyFont="1" applyBorder="1" applyAlignment="1">
      <alignment vertical="center" textRotation="60"/>
    </xf>
    <xf numFmtId="204" fontId="26" fillId="0" borderId="45" xfId="45" applyNumberFormat="1" applyFont="1" applyBorder="1" applyAlignment="1">
      <alignment horizontal="center" textRotation="78" wrapText="1"/>
    </xf>
    <xf numFmtId="204" fontId="26" fillId="0" borderId="45" xfId="45" applyNumberFormat="1" applyFont="1" applyBorder="1" applyAlignment="1">
      <alignment horizontal="left" textRotation="78" wrapText="1"/>
    </xf>
    <xf numFmtId="204" fontId="9" fillId="0" borderId="45" xfId="45" applyNumberFormat="1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Ann Report 2005 June_30" xfId="44"/>
    <cellStyle name="Comma_Annual TICP Report 2005" xfId="45"/>
    <cellStyle name="Comma_Draft Ann Rep 2005 June_30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nnual Report 2001new" xfId="60"/>
    <cellStyle name="Normal_Publish Annual Report 2001new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ปกติ_Annual Report 2003 27Ju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\\\\\\\\\\\\\\\\\\\\\\\\\\\\\\\\\\\\\\\\\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T10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6" sqref="G36"/>
    </sheetView>
  </sheetViews>
  <sheetFormatPr defaultColWidth="9.140625" defaultRowHeight="12.75"/>
  <cols>
    <col min="1" max="1" width="26.28125" style="26" customWidth="1"/>
    <col min="2" max="2" width="6.7109375" style="25" customWidth="1"/>
    <col min="3" max="3" width="10.57421875" style="423" customWidth="1"/>
    <col min="4" max="4" width="4.7109375" style="26" customWidth="1"/>
    <col min="5" max="5" width="9.28125" style="423" bestFit="1" customWidth="1"/>
    <col min="6" max="6" width="5.421875" style="31" customWidth="1"/>
    <col min="7" max="7" width="9.8515625" style="426" customWidth="1"/>
    <col min="8" max="8" width="5.8515625" style="24" customWidth="1"/>
    <col min="9" max="9" width="9.8515625" style="423" customWidth="1"/>
    <col min="10" max="10" width="6.57421875" style="25" customWidth="1"/>
    <col min="11" max="11" width="9.7109375" style="423" customWidth="1"/>
    <col min="12" max="12" width="5.28125" style="24" customWidth="1"/>
    <col min="13" max="13" width="9.57421875" style="24" customWidth="1"/>
    <col min="14" max="14" width="7.00390625" style="25" customWidth="1"/>
    <col min="15" max="15" width="10.140625" style="426" customWidth="1"/>
    <col min="16" max="16" width="10.7109375" style="62" customWidth="1"/>
    <col min="17" max="17" width="9.140625" style="62" customWidth="1"/>
    <col min="18" max="18" width="6.28125" style="62" customWidth="1"/>
    <col min="19" max="19" width="9.7109375" style="62" customWidth="1"/>
    <col min="20" max="20" width="9.140625" style="62" customWidth="1"/>
    <col min="21" max="16384" width="9.140625" style="131" customWidth="1"/>
  </cols>
  <sheetData>
    <row r="1" spans="1:15" ht="29.25" customHeight="1" thickBot="1">
      <c r="A1" s="1" t="s">
        <v>319</v>
      </c>
      <c r="B1" s="2"/>
      <c r="C1" s="417"/>
      <c r="D1" s="3"/>
      <c r="E1" s="417"/>
      <c r="F1" s="4"/>
      <c r="G1" s="425"/>
      <c r="H1" s="5"/>
      <c r="I1" s="417"/>
      <c r="J1" s="2"/>
      <c r="K1" s="417"/>
      <c r="L1" s="5"/>
      <c r="M1" s="521"/>
      <c r="O1" s="522" t="s">
        <v>95</v>
      </c>
    </row>
    <row r="2" spans="1:20" s="7" customFormat="1" ht="32.25" customHeight="1" thickBot="1">
      <c r="A2" s="1145" t="s">
        <v>1</v>
      </c>
      <c r="B2" s="1147" t="s">
        <v>2</v>
      </c>
      <c r="C2" s="1147"/>
      <c r="D2" s="1147" t="s">
        <v>3</v>
      </c>
      <c r="E2" s="1147"/>
      <c r="F2" s="1148" t="s">
        <v>4</v>
      </c>
      <c r="G2" s="1148"/>
      <c r="H2" s="1148" t="s">
        <v>5</v>
      </c>
      <c r="I2" s="1148"/>
      <c r="J2" s="1148" t="s">
        <v>6</v>
      </c>
      <c r="K2" s="1148"/>
      <c r="L2" s="1149" t="s">
        <v>135</v>
      </c>
      <c r="M2" s="1149"/>
      <c r="N2" s="1147" t="s">
        <v>7</v>
      </c>
      <c r="O2" s="1147"/>
      <c r="P2" s="62"/>
      <c r="Q2" s="62"/>
      <c r="R2" s="62"/>
      <c r="S2" s="62"/>
      <c r="T2" s="62"/>
    </row>
    <row r="3" spans="1:20" s="7" customFormat="1" ht="21.75" customHeight="1" thickBot="1">
      <c r="A3" s="1146"/>
      <c r="B3" s="476" t="s">
        <v>8</v>
      </c>
      <c r="C3" s="477" t="s">
        <v>9</v>
      </c>
      <c r="D3" s="476" t="s">
        <v>10</v>
      </c>
      <c r="E3" s="477" t="s">
        <v>9</v>
      </c>
      <c r="F3" s="478" t="s">
        <v>10</v>
      </c>
      <c r="G3" s="477" t="s">
        <v>9</v>
      </c>
      <c r="H3" s="478" t="s">
        <v>10</v>
      </c>
      <c r="I3" s="477" t="s">
        <v>9</v>
      </c>
      <c r="J3" s="476" t="s">
        <v>10</v>
      </c>
      <c r="K3" s="477" t="s">
        <v>9</v>
      </c>
      <c r="L3" s="476" t="s">
        <v>10</v>
      </c>
      <c r="M3" s="478" t="s">
        <v>9</v>
      </c>
      <c r="N3" s="476" t="s">
        <v>199</v>
      </c>
      <c r="O3" s="477" t="s">
        <v>9</v>
      </c>
      <c r="P3" s="62"/>
      <c r="Q3" s="62"/>
      <c r="R3" s="62"/>
      <c r="S3" s="62"/>
      <c r="T3" s="62"/>
    </row>
    <row r="4" spans="1:15" ht="21.75" customHeight="1">
      <c r="A4" s="447" t="s">
        <v>142</v>
      </c>
      <c r="B4" s="448"/>
      <c r="C4" s="449"/>
      <c r="D4" s="450"/>
      <c r="E4" s="449"/>
      <c r="F4" s="451"/>
      <c r="G4" s="452"/>
      <c r="H4" s="453"/>
      <c r="I4" s="449"/>
      <c r="J4" s="448"/>
      <c r="K4" s="449"/>
      <c r="L4" s="453"/>
      <c r="M4" s="453"/>
      <c r="N4" s="448"/>
      <c r="O4" s="452"/>
    </row>
    <row r="5" spans="1:16" ht="19.5" customHeight="1">
      <c r="A5" s="10" t="s">
        <v>11</v>
      </c>
      <c r="B5" s="11">
        <f>ApIII!R6</f>
        <v>98</v>
      </c>
      <c r="C5" s="419">
        <f>ApIII!S6</f>
        <v>71512.6</v>
      </c>
      <c r="D5" s="12"/>
      <c r="E5" s="424">
        <f>ApVII!S5</f>
        <v>243.8</v>
      </c>
      <c r="F5" s="11">
        <f>ApX!R5</f>
        <v>2</v>
      </c>
      <c r="G5" s="371">
        <f>ApX!S5</f>
        <v>129.6</v>
      </c>
      <c r="H5" s="11"/>
      <c r="I5" s="419"/>
      <c r="J5" s="13">
        <f>ApXII!V5</f>
        <v>22</v>
      </c>
      <c r="K5" s="419">
        <f>ApXII!W5</f>
        <v>1382.6</v>
      </c>
      <c r="L5" s="12">
        <v>6</v>
      </c>
      <c r="M5" s="398">
        <v>280.8</v>
      </c>
      <c r="N5" s="172">
        <f aca="true" t="shared" si="0" ref="N5:O8">SUM(B5,D5,F5,H5,J5,L5)</f>
        <v>128</v>
      </c>
      <c r="O5" s="428">
        <f t="shared" si="0"/>
        <v>73549.40000000002</v>
      </c>
      <c r="P5" s="905"/>
    </row>
    <row r="6" spans="1:16" ht="19.5" customHeight="1">
      <c r="A6" s="10" t="s">
        <v>12</v>
      </c>
      <c r="B6" s="11">
        <f>ApIII!R7</f>
        <v>344</v>
      </c>
      <c r="C6" s="419">
        <f>ApIII!S7</f>
        <v>62206.200000000004</v>
      </c>
      <c r="D6" s="12"/>
      <c r="E6" s="424">
        <f>ApVII!S6</f>
        <v>170.1</v>
      </c>
      <c r="F6" s="11">
        <f>ApX!R6</f>
        <v>2</v>
      </c>
      <c r="G6" s="371">
        <f>ApX!S6</f>
        <v>126.2</v>
      </c>
      <c r="H6" s="11"/>
      <c r="I6" s="419"/>
      <c r="J6" s="13">
        <f>ApXII!V6</f>
        <v>13</v>
      </c>
      <c r="K6" s="419">
        <f>ApXII!W6</f>
        <v>1877.3</v>
      </c>
      <c r="L6" s="12">
        <v>6</v>
      </c>
      <c r="M6" s="398">
        <f>282+184.6</f>
        <v>466.6</v>
      </c>
      <c r="N6" s="172">
        <f t="shared" si="0"/>
        <v>365</v>
      </c>
      <c r="O6" s="428">
        <f t="shared" si="0"/>
        <v>64846.4</v>
      </c>
      <c r="P6" s="905"/>
    </row>
    <row r="7" spans="1:16" ht="19.5" customHeight="1">
      <c r="A7" s="10" t="s">
        <v>13</v>
      </c>
      <c r="B7" s="11">
        <f>ApIII!R8</f>
        <v>205</v>
      </c>
      <c r="C7" s="419">
        <f>ApIII!S8</f>
        <v>20918.399999999998</v>
      </c>
      <c r="D7" s="12">
        <f>ApVII!R7</f>
        <v>0</v>
      </c>
      <c r="E7" s="424">
        <f>ApVII!S7</f>
        <v>714.7</v>
      </c>
      <c r="F7" s="11"/>
      <c r="G7" s="371"/>
      <c r="H7" s="11"/>
      <c r="I7" s="419"/>
      <c r="J7" s="13">
        <f>ApXII!V7</f>
        <v>64</v>
      </c>
      <c r="K7" s="419">
        <f>ApXII!W7</f>
        <v>2736.9</v>
      </c>
      <c r="L7" s="12">
        <v>7</v>
      </c>
      <c r="M7" s="398">
        <f>638.3+326.3</f>
        <v>964.5999999999999</v>
      </c>
      <c r="N7" s="172">
        <f t="shared" si="0"/>
        <v>276</v>
      </c>
      <c r="O7" s="428">
        <f t="shared" si="0"/>
        <v>25334.6</v>
      </c>
      <c r="P7" s="905"/>
    </row>
    <row r="8" spans="1:16" ht="19.5" customHeight="1">
      <c r="A8" s="10" t="s">
        <v>14</v>
      </c>
      <c r="B8" s="11">
        <f>ApIII!R9</f>
        <v>60</v>
      </c>
      <c r="C8" s="419">
        <f>ApIII!S9</f>
        <v>6954.8</v>
      </c>
      <c r="D8" s="12"/>
      <c r="E8" s="424">
        <f>ApVII!S8</f>
        <v>170.3</v>
      </c>
      <c r="F8" s="11">
        <f>ApX!R7</f>
        <v>2</v>
      </c>
      <c r="G8" s="371">
        <f>ApX!S7</f>
        <v>133.9</v>
      </c>
      <c r="H8" s="11"/>
      <c r="I8" s="419"/>
      <c r="J8" s="13">
        <f>ApXII!V8</f>
        <v>41</v>
      </c>
      <c r="K8" s="419">
        <f>ApXII!W8</f>
        <v>1830.9</v>
      </c>
      <c r="L8" s="12">
        <v>2</v>
      </c>
      <c r="M8" s="398">
        <v>104.7</v>
      </c>
      <c r="N8" s="172">
        <f t="shared" si="0"/>
        <v>105</v>
      </c>
      <c r="O8" s="428">
        <f t="shared" si="0"/>
        <v>9194.6</v>
      </c>
      <c r="P8" s="905"/>
    </row>
    <row r="9" spans="1:15" ht="21.75" customHeight="1">
      <c r="A9" s="454" t="s">
        <v>15</v>
      </c>
      <c r="B9" s="455"/>
      <c r="C9" s="456"/>
      <c r="D9" s="457"/>
      <c r="E9" s="456"/>
      <c r="F9" s="455"/>
      <c r="G9" s="458"/>
      <c r="H9" s="457"/>
      <c r="I9" s="456"/>
      <c r="J9" s="459"/>
      <c r="K9" s="456"/>
      <c r="L9" s="457"/>
      <c r="M9" s="457"/>
      <c r="N9" s="460"/>
      <c r="O9" s="461"/>
    </row>
    <row r="10" spans="1:15" ht="19.5" customHeight="1">
      <c r="A10" s="10" t="s">
        <v>16</v>
      </c>
      <c r="B10" s="11"/>
      <c r="C10" s="419"/>
      <c r="D10" s="12">
        <f>ApVII!R10</f>
        <v>0</v>
      </c>
      <c r="E10" s="424">
        <f>ApVII!S10</f>
        <v>157.60000000000002</v>
      </c>
      <c r="F10" s="15">
        <f>ApX!R9</f>
        <v>8</v>
      </c>
      <c r="G10" s="867">
        <f>ApX!S9</f>
        <v>835.9000000000001</v>
      </c>
      <c r="H10" s="11"/>
      <c r="I10" s="419"/>
      <c r="J10" s="11"/>
      <c r="K10" s="371"/>
      <c r="L10" s="11"/>
      <c r="M10" s="371"/>
      <c r="N10" s="172">
        <f aca="true" t="shared" si="1" ref="N10:O13">SUM(B10,D10,F10,H10,J10,L10)</f>
        <v>8</v>
      </c>
      <c r="O10" s="428">
        <f t="shared" si="1"/>
        <v>993.5000000000001</v>
      </c>
    </row>
    <row r="11" spans="1:15" ht="19.5" customHeight="1">
      <c r="A11" s="10" t="s">
        <v>17</v>
      </c>
      <c r="B11" s="11"/>
      <c r="C11" s="11"/>
      <c r="D11" s="11"/>
      <c r="E11" s="419"/>
      <c r="F11" s="15"/>
      <c r="G11" s="867"/>
      <c r="H11" s="11"/>
      <c r="I11" s="419"/>
      <c r="J11" s="11">
        <f>ApXII!V10</f>
        <v>2</v>
      </c>
      <c r="K11" s="371">
        <f>ApXII!W10</f>
        <v>226</v>
      </c>
      <c r="L11" s="11"/>
      <c r="M11" s="371"/>
      <c r="N11" s="172">
        <f t="shared" si="1"/>
        <v>2</v>
      </c>
      <c r="O11" s="428">
        <f t="shared" si="1"/>
        <v>226</v>
      </c>
    </row>
    <row r="12" spans="1:15" ht="19.5" customHeight="1">
      <c r="A12" s="10" t="s">
        <v>18</v>
      </c>
      <c r="B12" s="11"/>
      <c r="C12" s="371"/>
      <c r="D12" s="11">
        <v>2</v>
      </c>
      <c r="E12" s="419">
        <v>271.7</v>
      </c>
      <c r="F12" s="15">
        <f>ApX!R10</f>
        <v>4</v>
      </c>
      <c r="G12" s="867">
        <f>ApX!S10</f>
        <v>451.6</v>
      </c>
      <c r="H12" s="11"/>
      <c r="I12" s="419"/>
      <c r="J12" s="11">
        <f>ApXII!V11</f>
        <v>1</v>
      </c>
      <c r="K12" s="371">
        <f>ApXII!W11</f>
        <v>138.4</v>
      </c>
      <c r="L12" s="11"/>
      <c r="M12" s="371"/>
      <c r="N12" s="172">
        <f t="shared" si="1"/>
        <v>7</v>
      </c>
      <c r="O12" s="428">
        <f t="shared" si="1"/>
        <v>861.6999999999999</v>
      </c>
    </row>
    <row r="13" spans="1:15" ht="19.5" customHeight="1">
      <c r="A13" s="16" t="s">
        <v>19</v>
      </c>
      <c r="B13" s="17">
        <f>ApIII!R11</f>
        <v>17</v>
      </c>
      <c r="C13" s="446">
        <f>ApIII!S11</f>
        <v>8122.900000000001</v>
      </c>
      <c r="D13" s="17"/>
      <c r="E13" s="420"/>
      <c r="F13" s="18">
        <f>ApX!R11</f>
        <v>6</v>
      </c>
      <c r="G13" s="868">
        <f>ApX!S11</f>
        <v>683.6</v>
      </c>
      <c r="H13" s="17"/>
      <c r="I13" s="420"/>
      <c r="J13" s="258">
        <f>ApXII!V12</f>
        <v>2</v>
      </c>
      <c r="K13" s="258">
        <f>ApXII!W12</f>
        <v>275.4</v>
      </c>
      <c r="L13" s="17"/>
      <c r="M13" s="446"/>
      <c r="N13" s="173">
        <f t="shared" si="1"/>
        <v>25</v>
      </c>
      <c r="O13" s="429">
        <f t="shared" si="1"/>
        <v>9081.9</v>
      </c>
    </row>
    <row r="14" spans="1:15" ht="21.75" customHeight="1">
      <c r="A14" s="447" t="s">
        <v>20</v>
      </c>
      <c r="B14" s="451"/>
      <c r="C14" s="449"/>
      <c r="D14" s="462"/>
      <c r="E14" s="452"/>
      <c r="F14" s="451"/>
      <c r="G14" s="452"/>
      <c r="H14" s="453"/>
      <c r="I14" s="449"/>
      <c r="J14" s="448"/>
      <c r="K14" s="449"/>
      <c r="L14" s="453"/>
      <c r="M14" s="453"/>
      <c r="N14" s="463"/>
      <c r="O14" s="464"/>
    </row>
    <row r="15" spans="1:15" ht="19.5" customHeight="1">
      <c r="A15" s="10" t="s">
        <v>21</v>
      </c>
      <c r="B15" s="11"/>
      <c r="C15" s="371"/>
      <c r="D15" s="11"/>
      <c r="E15" s="419"/>
      <c r="F15" s="11"/>
      <c r="G15" s="371"/>
      <c r="H15" s="11">
        <f>ApIX!D30</f>
        <v>75</v>
      </c>
      <c r="I15" s="371">
        <f>ApIX!E30</f>
        <v>1903.9</v>
      </c>
      <c r="J15" s="13"/>
      <c r="K15" s="980"/>
      <c r="L15" s="11"/>
      <c r="M15" s="371"/>
      <c r="N15" s="172">
        <f>SUM(B15,D15,F15,H15,J15,L15)</f>
        <v>75</v>
      </c>
      <c r="O15" s="428">
        <f>SUM(C15,E15,G15,I15,K15,M15)</f>
        <v>1903.9</v>
      </c>
    </row>
    <row r="16" spans="1:20" s="259" customFormat="1" ht="19.5" customHeight="1">
      <c r="A16" s="16" t="s">
        <v>22</v>
      </c>
      <c r="B16" s="17">
        <f>ApIII!R13</f>
        <v>67</v>
      </c>
      <c r="C16" s="446">
        <f>ApIII!S13</f>
        <v>8486.1</v>
      </c>
      <c r="D16" s="17"/>
      <c r="E16" s="420"/>
      <c r="F16" s="17"/>
      <c r="G16" s="446"/>
      <c r="H16" s="17"/>
      <c r="I16" s="420"/>
      <c r="J16" s="258"/>
      <c r="K16" s="420"/>
      <c r="L16" s="17"/>
      <c r="M16" s="17"/>
      <c r="N16" s="173">
        <f>SUM(B16,D16,F16,H16,J16,L16)</f>
        <v>67</v>
      </c>
      <c r="O16" s="429">
        <f>SUM(C16,E16,G16,I16,K16,M16)</f>
        <v>8486.1</v>
      </c>
      <c r="P16" s="254"/>
      <c r="Q16" s="254"/>
      <c r="R16" s="254"/>
      <c r="S16" s="254"/>
      <c r="T16" s="254"/>
    </row>
    <row r="17" spans="1:15" ht="21.75" customHeight="1">
      <c r="A17" s="465" t="s">
        <v>23</v>
      </c>
      <c r="B17" s="451"/>
      <c r="C17" s="449"/>
      <c r="D17" s="453"/>
      <c r="E17" s="449"/>
      <c r="F17" s="451"/>
      <c r="G17" s="452"/>
      <c r="H17" s="453"/>
      <c r="I17" s="449"/>
      <c r="J17" s="466"/>
      <c r="K17" s="449"/>
      <c r="L17" s="453"/>
      <c r="M17" s="453"/>
      <c r="N17" s="463"/>
      <c r="O17" s="464"/>
    </row>
    <row r="18" spans="1:15" ht="19.5" customHeight="1">
      <c r="A18" s="10" t="s">
        <v>24</v>
      </c>
      <c r="B18" s="11">
        <f>ApIII!R16</f>
        <v>6</v>
      </c>
      <c r="C18" s="371">
        <f>ApIII!S16</f>
        <v>2579.1</v>
      </c>
      <c r="D18" s="11">
        <f>ApVII!R13</f>
        <v>1</v>
      </c>
      <c r="E18" s="419">
        <f>ApVII!S13</f>
        <v>532.5</v>
      </c>
      <c r="F18" s="11">
        <f>ApX!R13</f>
        <v>15</v>
      </c>
      <c r="G18" s="371">
        <f>ApX!S13</f>
        <v>1773.1</v>
      </c>
      <c r="H18" s="11"/>
      <c r="I18" s="419"/>
      <c r="J18" s="13"/>
      <c r="K18" s="419"/>
      <c r="L18" s="11"/>
      <c r="M18" s="371"/>
      <c r="N18" s="172">
        <f>SUM(B18,D18,F18,H18,J18,L18)</f>
        <v>22</v>
      </c>
      <c r="O18" s="428">
        <f aca="true" t="shared" si="2" ref="O18:O29">SUM(C18,E18,G18,I18,K18,M18)</f>
        <v>4884.7</v>
      </c>
    </row>
    <row r="19" spans="1:15" ht="19.5" customHeight="1">
      <c r="A19" s="10" t="s">
        <v>25</v>
      </c>
      <c r="B19" s="11">
        <f>ApIII!R17</f>
        <v>92</v>
      </c>
      <c r="C19" s="419">
        <f>ApIII!S17</f>
        <v>27720.200000000004</v>
      </c>
      <c r="D19" s="11">
        <f>ApVII!R14</f>
        <v>0</v>
      </c>
      <c r="E19" s="419">
        <f>ApVII!S14</f>
        <v>80</v>
      </c>
      <c r="F19" s="11"/>
      <c r="G19" s="371"/>
      <c r="H19" s="11"/>
      <c r="I19" s="419"/>
      <c r="J19" s="13"/>
      <c r="K19" s="419"/>
      <c r="L19" s="11"/>
      <c r="M19" s="371"/>
      <c r="N19" s="172">
        <f aca="true" t="shared" si="3" ref="N19:N29">SUM(B19,D19,F19,H19,J19,L19)</f>
        <v>92</v>
      </c>
      <c r="O19" s="428">
        <f t="shared" si="2"/>
        <v>27800.200000000004</v>
      </c>
    </row>
    <row r="20" spans="1:15" ht="19.5" customHeight="1">
      <c r="A20" s="10" t="s">
        <v>26</v>
      </c>
      <c r="B20" s="11">
        <f>ApIII!R18</f>
        <v>1</v>
      </c>
      <c r="C20" s="371">
        <f>ApIII!S18</f>
        <v>105.2</v>
      </c>
      <c r="D20" s="11"/>
      <c r="E20" s="419"/>
      <c r="F20" s="11"/>
      <c r="G20" s="371"/>
      <c r="H20" s="11"/>
      <c r="I20" s="419"/>
      <c r="J20" s="13"/>
      <c r="K20" s="419"/>
      <c r="L20" s="11"/>
      <c r="M20" s="371"/>
      <c r="N20" s="172">
        <f t="shared" si="3"/>
        <v>1</v>
      </c>
      <c r="O20" s="428">
        <f t="shared" si="2"/>
        <v>105.2</v>
      </c>
    </row>
    <row r="21" spans="1:15" ht="19.5" customHeight="1">
      <c r="A21" s="10" t="s">
        <v>27</v>
      </c>
      <c r="B21" s="11"/>
      <c r="C21" s="419"/>
      <c r="D21" s="11"/>
      <c r="E21" s="419"/>
      <c r="F21" s="11">
        <f>ApX!R14</f>
        <v>1</v>
      </c>
      <c r="G21" s="371">
        <f>ApX!S14</f>
        <v>106.7</v>
      </c>
      <c r="H21" s="11"/>
      <c r="I21" s="419"/>
      <c r="J21" s="13"/>
      <c r="K21" s="419"/>
      <c r="L21" s="11"/>
      <c r="M21" s="11"/>
      <c r="N21" s="172">
        <f>SUM(B21,D21,F21,H21,J21,L21)</f>
        <v>1</v>
      </c>
      <c r="O21" s="428">
        <f>SUM(C21,E21,G21,I21,K21,M21)</f>
        <v>106.7</v>
      </c>
    </row>
    <row r="22" spans="1:15" ht="19.5" customHeight="1">
      <c r="A22" s="10" t="s">
        <v>28</v>
      </c>
      <c r="B22" s="11">
        <f>ApIII!R19</f>
        <v>8</v>
      </c>
      <c r="C22" s="419">
        <f>ApIII!S19</f>
        <v>30.4</v>
      </c>
      <c r="D22" s="11"/>
      <c r="E22" s="419"/>
      <c r="F22" s="15">
        <f>ApX!R15</f>
        <v>9</v>
      </c>
      <c r="G22" s="867">
        <f>ApX!S15</f>
        <v>1489.1000000000001</v>
      </c>
      <c r="H22" s="11"/>
      <c r="I22" s="419"/>
      <c r="J22" s="11"/>
      <c r="K22" s="371"/>
      <c r="L22" s="11"/>
      <c r="M22" s="11"/>
      <c r="N22" s="172">
        <f t="shared" si="3"/>
        <v>17</v>
      </c>
      <c r="O22" s="428">
        <f t="shared" si="2"/>
        <v>1519.5000000000002</v>
      </c>
    </row>
    <row r="23" spans="1:15" ht="19.5" customHeight="1">
      <c r="A23" s="10" t="s">
        <v>29</v>
      </c>
      <c r="B23" s="11">
        <f>ApIII!R20</f>
        <v>1</v>
      </c>
      <c r="C23" s="419">
        <f>ApIII!S20</f>
        <v>59.7</v>
      </c>
      <c r="D23" s="11">
        <f>ApVII!R15</f>
        <v>2</v>
      </c>
      <c r="E23" s="419">
        <f>ApVII!S15</f>
        <v>452.7</v>
      </c>
      <c r="F23" s="15">
        <f>ApX!R16</f>
        <v>6</v>
      </c>
      <c r="G23" s="867">
        <f>ApX!S16</f>
        <v>789.6000000000001</v>
      </c>
      <c r="H23" s="11"/>
      <c r="I23" s="419"/>
      <c r="J23" s="11"/>
      <c r="K23" s="419"/>
      <c r="L23" s="11"/>
      <c r="M23" s="371"/>
      <c r="N23" s="172">
        <f t="shared" si="3"/>
        <v>9</v>
      </c>
      <c r="O23" s="428">
        <f t="shared" si="2"/>
        <v>1302</v>
      </c>
    </row>
    <row r="24" spans="1:15" ht="19.5" customHeight="1">
      <c r="A24" s="10" t="s">
        <v>30</v>
      </c>
      <c r="B24" s="11"/>
      <c r="C24" s="419"/>
      <c r="D24" s="11">
        <f>ApVII!R16</f>
        <v>2</v>
      </c>
      <c r="E24" s="419">
        <f>ApVII!S16</f>
        <v>156.6</v>
      </c>
      <c r="F24" s="15">
        <f>ApX!R17</f>
        <v>10</v>
      </c>
      <c r="G24" s="867">
        <f>ApX!S17</f>
        <v>1116.7</v>
      </c>
      <c r="H24" s="11"/>
      <c r="I24" s="419"/>
      <c r="J24" s="13"/>
      <c r="K24" s="419"/>
      <c r="L24" s="11"/>
      <c r="M24" s="371"/>
      <c r="N24" s="172">
        <f t="shared" si="3"/>
        <v>12</v>
      </c>
      <c r="O24" s="428">
        <f t="shared" si="2"/>
        <v>1273.3</v>
      </c>
    </row>
    <row r="25" spans="1:15" ht="19.5" customHeight="1">
      <c r="A25" s="10" t="s">
        <v>298</v>
      </c>
      <c r="B25" s="11"/>
      <c r="C25" s="419"/>
      <c r="D25" s="11"/>
      <c r="E25" s="419"/>
      <c r="F25" s="15">
        <f>ApX!R18</f>
        <v>1</v>
      </c>
      <c r="G25" s="867">
        <f>ApX!S18</f>
        <v>155.6</v>
      </c>
      <c r="H25" s="11"/>
      <c r="I25" s="419"/>
      <c r="J25" s="13"/>
      <c r="K25" s="419"/>
      <c r="L25" s="11"/>
      <c r="M25" s="371"/>
      <c r="N25" s="172">
        <f aca="true" t="shared" si="4" ref="N25:O28">SUM(B25,D25,F25,H25,J25,L25)</f>
        <v>1</v>
      </c>
      <c r="O25" s="428">
        <f t="shared" si="4"/>
        <v>155.6</v>
      </c>
    </row>
    <row r="26" spans="1:15" ht="19.5" customHeight="1">
      <c r="A26" s="10" t="s">
        <v>31</v>
      </c>
      <c r="B26" s="11">
        <f>ApIII!R21</f>
        <v>1</v>
      </c>
      <c r="C26" s="419">
        <f>ApIII!S21</f>
        <v>60</v>
      </c>
      <c r="D26" s="11">
        <f>ApVII!R17</f>
        <v>2</v>
      </c>
      <c r="E26" s="419">
        <f>ApVII!S17</f>
        <v>932.6</v>
      </c>
      <c r="F26" s="15">
        <f>ApX!R19</f>
        <v>10</v>
      </c>
      <c r="G26" s="867">
        <f>ApX!S19</f>
        <v>1116.3999999999999</v>
      </c>
      <c r="H26" s="11"/>
      <c r="I26" s="419"/>
      <c r="J26" s="11"/>
      <c r="K26" s="419"/>
      <c r="L26" s="11"/>
      <c r="M26" s="11"/>
      <c r="N26" s="172">
        <f t="shared" si="4"/>
        <v>13</v>
      </c>
      <c r="O26" s="428">
        <f t="shared" si="4"/>
        <v>2109</v>
      </c>
    </row>
    <row r="27" spans="1:15" ht="19.5" customHeight="1">
      <c r="A27" s="10" t="s">
        <v>233</v>
      </c>
      <c r="B27" s="11"/>
      <c r="C27" s="419"/>
      <c r="D27" s="11"/>
      <c r="E27" s="419"/>
      <c r="F27" s="15">
        <f>ApX!R20</f>
        <v>2</v>
      </c>
      <c r="G27" s="867">
        <f>ApX!S20</f>
        <v>247.8</v>
      </c>
      <c r="H27" s="11"/>
      <c r="I27" s="419"/>
      <c r="J27" s="11">
        <f>ApXII!V14</f>
        <v>7</v>
      </c>
      <c r="K27" s="371">
        <f>ApXII!W14</f>
        <v>150.5</v>
      </c>
      <c r="L27" s="11"/>
      <c r="M27" s="11"/>
      <c r="N27" s="525">
        <f t="shared" si="4"/>
        <v>9</v>
      </c>
      <c r="O27" s="428">
        <f t="shared" si="4"/>
        <v>398.3</v>
      </c>
    </row>
    <row r="28" spans="1:20" s="256" customFormat="1" ht="19.5" customHeight="1">
      <c r="A28" s="10" t="s">
        <v>32</v>
      </c>
      <c r="B28" s="11">
        <f>ApIII!R22</f>
        <v>18</v>
      </c>
      <c r="C28" s="419">
        <f>ApIII!S22</f>
        <v>1010.3</v>
      </c>
      <c r="D28" s="12">
        <f>ApVII!R18</f>
        <v>7</v>
      </c>
      <c r="E28" s="398">
        <f>ApVII!S18</f>
        <v>742</v>
      </c>
      <c r="F28" s="15">
        <f>ApX!R21</f>
        <v>22</v>
      </c>
      <c r="G28" s="867">
        <f>ApX!S21</f>
        <v>2873.7999999999997</v>
      </c>
      <c r="H28" s="11"/>
      <c r="I28" s="419"/>
      <c r="J28" s="13"/>
      <c r="K28" s="419"/>
      <c r="L28" s="11"/>
      <c r="M28" s="371"/>
      <c r="N28" s="172">
        <f t="shared" si="4"/>
        <v>47</v>
      </c>
      <c r="O28" s="428">
        <f t="shared" si="4"/>
        <v>4626.099999999999</v>
      </c>
      <c r="P28" s="217"/>
      <c r="Q28" s="217"/>
      <c r="R28" s="217"/>
      <c r="S28" s="217"/>
      <c r="T28" s="217"/>
    </row>
    <row r="29" spans="1:20" s="256" customFormat="1" ht="19.5" customHeight="1">
      <c r="A29" s="16" t="s">
        <v>235</v>
      </c>
      <c r="B29" s="17">
        <f>ApIII!R23</f>
        <v>1</v>
      </c>
      <c r="C29" s="420">
        <f>ApIII!S23</f>
        <v>60.3</v>
      </c>
      <c r="D29" s="686"/>
      <c r="E29" s="687"/>
      <c r="F29" s="18"/>
      <c r="G29" s="868"/>
      <c r="H29" s="17"/>
      <c r="I29" s="420"/>
      <c r="J29" s="258"/>
      <c r="K29" s="420"/>
      <c r="L29" s="17"/>
      <c r="M29" s="446"/>
      <c r="N29" s="173">
        <f t="shared" si="3"/>
        <v>1</v>
      </c>
      <c r="O29" s="429">
        <f t="shared" si="2"/>
        <v>60.3</v>
      </c>
      <c r="P29" s="217"/>
      <c r="Q29" s="217"/>
      <c r="R29" s="217"/>
      <c r="S29" s="217"/>
      <c r="T29" s="217"/>
    </row>
    <row r="30" spans="1:15" ht="21.75" customHeight="1">
      <c r="A30" s="447" t="s">
        <v>33</v>
      </c>
      <c r="B30" s="462"/>
      <c r="C30" s="449"/>
      <c r="D30" s="453"/>
      <c r="E30" s="449"/>
      <c r="F30" s="451"/>
      <c r="G30" s="452"/>
      <c r="H30" s="453"/>
      <c r="I30" s="449"/>
      <c r="J30" s="448"/>
      <c r="K30" s="449"/>
      <c r="L30" s="453"/>
      <c r="M30" s="453"/>
      <c r="N30" s="463"/>
      <c r="O30" s="464"/>
    </row>
    <row r="31" spans="1:15" ht="21.75" customHeight="1">
      <c r="A31" s="10" t="s">
        <v>183</v>
      </c>
      <c r="B31" s="11"/>
      <c r="C31" s="371"/>
      <c r="D31" s="11"/>
      <c r="E31" s="419">
        <f>ApVII!S19</f>
        <v>0</v>
      </c>
      <c r="F31" s="11">
        <f>ApX!R23</f>
        <v>2</v>
      </c>
      <c r="G31" s="371">
        <f>ApX!S23</f>
        <v>450.9</v>
      </c>
      <c r="H31" s="11"/>
      <c r="I31" s="419"/>
      <c r="J31" s="11"/>
      <c r="K31" s="419"/>
      <c r="L31" s="11"/>
      <c r="M31" s="11"/>
      <c r="N31" s="172">
        <f aca="true" t="shared" si="5" ref="N31:O33">SUM(B31,D31,F31,H31,J31,L31)</f>
        <v>2</v>
      </c>
      <c r="O31" s="428">
        <f t="shared" si="5"/>
        <v>450.9</v>
      </c>
    </row>
    <row r="32" spans="1:15" ht="19.5" customHeight="1">
      <c r="A32" s="10" t="s">
        <v>143</v>
      </c>
      <c r="B32" s="11"/>
      <c r="C32" s="371"/>
      <c r="D32" s="11">
        <f>ApVII!R20</f>
        <v>0</v>
      </c>
      <c r="E32" s="419">
        <f>ApVII!S20</f>
        <v>208.7</v>
      </c>
      <c r="F32" s="11">
        <f>ApX!R24</f>
        <v>3</v>
      </c>
      <c r="G32" s="371">
        <f>ApX!S24</f>
        <v>636.7</v>
      </c>
      <c r="H32" s="11"/>
      <c r="I32" s="419"/>
      <c r="J32" s="11"/>
      <c r="K32" s="371"/>
      <c r="L32" s="11"/>
      <c r="M32" s="11"/>
      <c r="N32" s="172">
        <f t="shared" si="5"/>
        <v>3</v>
      </c>
      <c r="O32" s="428">
        <f t="shared" si="5"/>
        <v>845.4000000000001</v>
      </c>
    </row>
    <row r="33" spans="1:15" ht="19.5" customHeight="1">
      <c r="A33" s="10" t="s">
        <v>258</v>
      </c>
      <c r="B33" s="11"/>
      <c r="C33" s="371"/>
      <c r="D33" s="11"/>
      <c r="E33" s="419"/>
      <c r="F33" s="11">
        <f>ApX!R25</f>
        <v>10</v>
      </c>
      <c r="G33" s="371">
        <f>ApX!S25</f>
        <v>2874.1</v>
      </c>
      <c r="H33" s="11"/>
      <c r="I33" s="419"/>
      <c r="J33" s="11"/>
      <c r="K33" s="371"/>
      <c r="L33" s="11"/>
      <c r="M33" s="11"/>
      <c r="N33" s="172">
        <f t="shared" si="5"/>
        <v>10</v>
      </c>
      <c r="O33" s="428">
        <f t="shared" si="5"/>
        <v>2874.1</v>
      </c>
    </row>
    <row r="34" spans="1:15" ht="19.5" customHeight="1">
      <c r="A34" s="10" t="s">
        <v>464</v>
      </c>
      <c r="B34" s="11"/>
      <c r="C34" s="371"/>
      <c r="D34" s="11"/>
      <c r="E34" s="419"/>
      <c r="F34" s="11">
        <f>ApX!R26</f>
        <v>1</v>
      </c>
      <c r="G34" s="371">
        <f>ApX!S26</f>
        <v>323.1</v>
      </c>
      <c r="H34" s="11"/>
      <c r="I34" s="419"/>
      <c r="J34" s="11"/>
      <c r="K34" s="371"/>
      <c r="L34" s="11"/>
      <c r="M34" s="11"/>
      <c r="N34" s="172">
        <f>SUM(B34,D34,F34,H34,J34,L34)</f>
        <v>1</v>
      </c>
      <c r="O34" s="428">
        <f>SUM(C34,E34,G34,I34,K34,M34)</f>
        <v>323.1</v>
      </c>
    </row>
    <row r="35" spans="1:15" ht="21.75" customHeight="1">
      <c r="A35" s="454" t="s">
        <v>65</v>
      </c>
      <c r="B35" s="467"/>
      <c r="C35" s="458"/>
      <c r="D35" s="467"/>
      <c r="E35" s="458"/>
      <c r="F35" s="455"/>
      <c r="G35" s="458"/>
      <c r="H35" s="457"/>
      <c r="I35" s="456"/>
      <c r="J35" s="468"/>
      <c r="K35" s="458"/>
      <c r="L35" s="467"/>
      <c r="M35" s="467"/>
      <c r="N35" s="460"/>
      <c r="O35" s="461"/>
    </row>
    <row r="36" spans="1:15" ht="19.5" customHeight="1">
      <c r="A36" s="1143" t="s">
        <v>463</v>
      </c>
      <c r="B36" s="11"/>
      <c r="C36" s="419"/>
      <c r="D36" s="11"/>
      <c r="E36" s="419"/>
      <c r="F36" s="11">
        <f>ApX!R28</f>
        <v>1</v>
      </c>
      <c r="G36" s="371">
        <f>ApX!S28</f>
        <v>124</v>
      </c>
      <c r="H36" s="11"/>
      <c r="I36" s="419"/>
      <c r="J36" s="11"/>
      <c r="K36" s="371"/>
      <c r="L36" s="11"/>
      <c r="M36" s="11"/>
      <c r="N36" s="172">
        <f aca="true" t="shared" si="6" ref="N36:N49">SUM(B36,D36,F36,H36,J36,L36)</f>
        <v>1</v>
      </c>
      <c r="O36" s="428">
        <f aca="true" t="shared" si="7" ref="O36:O41">SUM(C36,E36,G36,I36,K36,M36)</f>
        <v>124</v>
      </c>
    </row>
    <row r="37" spans="1:15" ht="19.5" customHeight="1">
      <c r="A37" s="1143" t="s">
        <v>156</v>
      </c>
      <c r="B37" s="11">
        <f>ApIII!R25</f>
        <v>0</v>
      </c>
      <c r="C37" s="371">
        <f>ApIII!S25</f>
        <v>337.9</v>
      </c>
      <c r="D37" s="11"/>
      <c r="E37" s="419"/>
      <c r="F37" s="11"/>
      <c r="G37" s="371"/>
      <c r="H37" s="11"/>
      <c r="I37" s="419"/>
      <c r="J37" s="11"/>
      <c r="K37" s="419"/>
      <c r="L37" s="11"/>
      <c r="M37" s="11"/>
      <c r="N37" s="172">
        <f t="shared" si="6"/>
        <v>0</v>
      </c>
      <c r="O37" s="428">
        <f t="shared" si="7"/>
        <v>337.9</v>
      </c>
    </row>
    <row r="38" spans="1:15" ht="19.5" customHeight="1">
      <c r="A38" s="1143" t="s">
        <v>36</v>
      </c>
      <c r="B38" s="11"/>
      <c r="C38" s="371"/>
      <c r="D38" s="11"/>
      <c r="E38" s="419"/>
      <c r="F38" s="11">
        <f>ApX!R29</f>
        <v>1</v>
      </c>
      <c r="G38" s="371">
        <f>ApX!S29</f>
        <v>233.6</v>
      </c>
      <c r="H38" s="11"/>
      <c r="I38" s="419"/>
      <c r="J38" s="11"/>
      <c r="K38" s="419"/>
      <c r="L38" s="11"/>
      <c r="M38" s="11"/>
      <c r="N38" s="172">
        <f>SUM(B38,D38,F38,H38,J38,L38)</f>
        <v>1</v>
      </c>
      <c r="O38" s="428">
        <f t="shared" si="7"/>
        <v>233.6</v>
      </c>
    </row>
    <row r="39" spans="1:15" ht="19.5" customHeight="1">
      <c r="A39" s="1143" t="s">
        <v>37</v>
      </c>
      <c r="B39" s="11">
        <f>ApIII!R26</f>
        <v>1</v>
      </c>
      <c r="C39" s="419">
        <f>ApIII!S26</f>
        <v>137.4</v>
      </c>
      <c r="D39" s="11"/>
      <c r="E39" s="419"/>
      <c r="F39" s="11">
        <f>ApX!R30</f>
        <v>2</v>
      </c>
      <c r="G39" s="371">
        <f>ApX!S30</f>
        <v>384.4</v>
      </c>
      <c r="H39" s="11"/>
      <c r="I39" s="419"/>
      <c r="J39" s="11"/>
      <c r="K39" s="419"/>
      <c r="L39" s="11"/>
      <c r="M39" s="11"/>
      <c r="N39" s="172">
        <f t="shared" si="6"/>
        <v>3</v>
      </c>
      <c r="O39" s="428">
        <f t="shared" si="7"/>
        <v>521.8</v>
      </c>
    </row>
    <row r="40" spans="1:15" ht="19.5" customHeight="1">
      <c r="A40" s="1144" t="s">
        <v>462</v>
      </c>
      <c r="B40" s="11">
        <f>ApIII!R27</f>
        <v>2</v>
      </c>
      <c r="C40" s="419">
        <f>ApIII!S27</f>
        <v>404.5</v>
      </c>
      <c r="D40" s="11">
        <f>ApVII!R22</f>
        <v>4</v>
      </c>
      <c r="E40" s="371">
        <f>ApVII!S22</f>
        <v>898.9000000000001</v>
      </c>
      <c r="F40" s="11"/>
      <c r="G40" s="371"/>
      <c r="H40" s="11"/>
      <c r="I40" s="419"/>
      <c r="J40" s="11"/>
      <c r="K40" s="371"/>
      <c r="L40" s="11"/>
      <c r="M40" s="11"/>
      <c r="N40" s="172">
        <f>SUM(B40,D40,F40,H40,J40,L40)</f>
        <v>6</v>
      </c>
      <c r="O40" s="428">
        <f t="shared" si="7"/>
        <v>1303.4</v>
      </c>
    </row>
    <row r="41" spans="1:15" ht="19.5" customHeight="1">
      <c r="A41" s="10" t="s">
        <v>185</v>
      </c>
      <c r="B41" s="11">
        <f>ApIII!R28</f>
        <v>2</v>
      </c>
      <c r="C41" s="419">
        <f>ApIII!S28</f>
        <v>414.8</v>
      </c>
      <c r="D41" s="11"/>
      <c r="E41" s="419"/>
      <c r="F41" s="11">
        <f>ApX!R31</f>
        <v>2</v>
      </c>
      <c r="G41" s="371">
        <f>ApX!S31</f>
        <v>311.3</v>
      </c>
      <c r="H41" s="11"/>
      <c r="I41" s="419"/>
      <c r="J41" s="11">
        <f>ApXII!V16</f>
        <v>2</v>
      </c>
      <c r="K41" s="371">
        <f>ApXII!W16</f>
        <v>122.8</v>
      </c>
      <c r="L41" s="11"/>
      <c r="M41" s="11"/>
      <c r="N41" s="172">
        <f>SUM(B41,D41,F41,H41,J41,L41)</f>
        <v>6</v>
      </c>
      <c r="O41" s="428">
        <f t="shared" si="7"/>
        <v>848.9</v>
      </c>
    </row>
    <row r="42" spans="1:15" ht="19.5" customHeight="1">
      <c r="A42" s="10" t="s">
        <v>38</v>
      </c>
      <c r="B42" s="11">
        <f>ApIII!R29</f>
        <v>1</v>
      </c>
      <c r="C42" s="419">
        <f>ApIII!S29</f>
        <v>200</v>
      </c>
      <c r="D42" s="11">
        <f>ApVII!R23</f>
        <v>3</v>
      </c>
      <c r="E42" s="371">
        <f>ApVII!S23</f>
        <v>781.5</v>
      </c>
      <c r="F42" s="11">
        <f>ApX!R32</f>
        <v>9</v>
      </c>
      <c r="G42" s="371">
        <f>ApX!S32</f>
        <v>1653.9</v>
      </c>
      <c r="H42" s="11"/>
      <c r="I42" s="419"/>
      <c r="J42" s="11">
        <f>ApXII!V17</f>
        <v>5</v>
      </c>
      <c r="K42" s="371">
        <f>ApXII!W17</f>
        <v>299.6</v>
      </c>
      <c r="L42" s="11"/>
      <c r="M42" s="11"/>
      <c r="N42" s="172">
        <f t="shared" si="6"/>
        <v>18</v>
      </c>
      <c r="O42" s="428">
        <f aca="true" t="shared" si="8" ref="O42:O49">SUM(C42,E42,G42,I42,K42,M42)</f>
        <v>2935</v>
      </c>
    </row>
    <row r="43" spans="1:15" ht="19.5" customHeight="1">
      <c r="A43" s="10" t="s">
        <v>231</v>
      </c>
      <c r="B43" s="11"/>
      <c r="C43" s="419"/>
      <c r="D43" s="11">
        <f>ApVII!R24</f>
        <v>1</v>
      </c>
      <c r="E43" s="371">
        <f>ApVII!S24</f>
        <v>185.2</v>
      </c>
      <c r="F43" s="11"/>
      <c r="G43" s="419"/>
      <c r="H43" s="11"/>
      <c r="I43" s="419"/>
      <c r="J43" s="11"/>
      <c r="K43" s="371"/>
      <c r="L43" s="11"/>
      <c r="M43" s="11"/>
      <c r="N43" s="172">
        <f>SUM(B43,D43,F43,H43,J43,L43)</f>
        <v>1</v>
      </c>
      <c r="O43" s="428">
        <f>SUM(C43,E43,G43,I43,K43,M43)</f>
        <v>185.2</v>
      </c>
    </row>
    <row r="44" spans="1:15" ht="19.5" customHeight="1">
      <c r="A44" s="1143" t="s">
        <v>39</v>
      </c>
      <c r="B44" s="11">
        <f>ApIII!R30</f>
        <v>13</v>
      </c>
      <c r="C44" s="419">
        <f>ApIII!S30</f>
        <v>2005.3</v>
      </c>
      <c r="D44" s="11">
        <f>ApVII!R25</f>
        <v>1</v>
      </c>
      <c r="E44" s="371">
        <f>ApVII!S25</f>
        <v>318.9</v>
      </c>
      <c r="F44" s="11"/>
      <c r="G44" s="371"/>
      <c r="H44" s="11"/>
      <c r="I44" s="419"/>
      <c r="J44" s="11">
        <f>ApXII!V18</f>
        <v>5</v>
      </c>
      <c r="K44" s="371">
        <f>ApXII!W18</f>
        <v>299.6</v>
      </c>
      <c r="L44" s="11"/>
      <c r="M44" s="11"/>
      <c r="N44" s="172">
        <f t="shared" si="6"/>
        <v>19</v>
      </c>
      <c r="O44" s="428">
        <f t="shared" si="8"/>
        <v>2623.7999999999997</v>
      </c>
    </row>
    <row r="45" spans="1:15" ht="19.5" customHeight="1">
      <c r="A45" s="10" t="s">
        <v>40</v>
      </c>
      <c r="B45" s="11">
        <f>ApIII!R31</f>
        <v>1</v>
      </c>
      <c r="C45" s="419">
        <f>ApIII!S31</f>
        <v>137.8</v>
      </c>
      <c r="D45" s="11"/>
      <c r="E45" s="419"/>
      <c r="F45" s="11">
        <f>ApX!R33</f>
        <v>1</v>
      </c>
      <c r="G45" s="371">
        <f>ApX!S33</f>
        <v>195.4</v>
      </c>
      <c r="H45" s="11"/>
      <c r="I45" s="419"/>
      <c r="J45" s="11"/>
      <c r="K45" s="419"/>
      <c r="L45" s="11"/>
      <c r="M45" s="11"/>
      <c r="N45" s="172">
        <f t="shared" si="6"/>
        <v>2</v>
      </c>
      <c r="O45" s="428">
        <f t="shared" si="8"/>
        <v>333.20000000000005</v>
      </c>
    </row>
    <row r="46" spans="1:15" ht="19.5" customHeight="1">
      <c r="A46" s="10" t="s">
        <v>41</v>
      </c>
      <c r="B46" s="11"/>
      <c r="C46" s="419"/>
      <c r="D46" s="11">
        <f>ApVII!R26</f>
        <v>8</v>
      </c>
      <c r="E46" s="371">
        <f>ApVII!S26</f>
        <v>2014.9</v>
      </c>
      <c r="F46" s="11">
        <f>ApX!R34</f>
        <v>3</v>
      </c>
      <c r="G46" s="371">
        <f>ApX!S34</f>
        <v>623.3</v>
      </c>
      <c r="H46" s="11"/>
      <c r="I46" s="419"/>
      <c r="J46" s="11"/>
      <c r="K46" s="419"/>
      <c r="L46" s="11"/>
      <c r="M46" s="11"/>
      <c r="N46" s="172">
        <f t="shared" si="6"/>
        <v>11</v>
      </c>
      <c r="O46" s="428">
        <f t="shared" si="8"/>
        <v>2638.2</v>
      </c>
    </row>
    <row r="47" spans="1:15" ht="19.5" customHeight="1">
      <c r="A47" s="1143" t="s">
        <v>42</v>
      </c>
      <c r="B47" s="11"/>
      <c r="C47" s="419"/>
      <c r="D47" s="11"/>
      <c r="E47" s="371"/>
      <c r="F47" s="11">
        <f>ApX!R35</f>
        <v>3</v>
      </c>
      <c r="G47" s="371">
        <f>ApX!S35</f>
        <v>530.8</v>
      </c>
      <c r="H47" s="11"/>
      <c r="I47" s="419"/>
      <c r="J47" s="11"/>
      <c r="K47" s="419"/>
      <c r="L47" s="11"/>
      <c r="M47" s="11"/>
      <c r="N47" s="172">
        <f>SUM(B47,D47,F47,H47,J47,L47)</f>
        <v>3</v>
      </c>
      <c r="O47" s="428">
        <f t="shared" si="8"/>
        <v>530.8</v>
      </c>
    </row>
    <row r="48" spans="1:15" ht="19.5" customHeight="1">
      <c r="A48" s="1143" t="s">
        <v>43</v>
      </c>
      <c r="B48" s="11">
        <f>ApIII!R32</f>
        <v>1</v>
      </c>
      <c r="C48" s="419">
        <f>ApIII!S32</f>
        <v>158.6</v>
      </c>
      <c r="D48" s="11"/>
      <c r="E48" s="419"/>
      <c r="F48" s="11"/>
      <c r="G48" s="371"/>
      <c r="H48" s="11"/>
      <c r="I48" s="419"/>
      <c r="J48" s="11"/>
      <c r="K48" s="419"/>
      <c r="L48" s="11"/>
      <c r="M48" s="11"/>
      <c r="N48" s="172">
        <f t="shared" si="6"/>
        <v>1</v>
      </c>
      <c r="O48" s="428">
        <f t="shared" si="8"/>
        <v>158.6</v>
      </c>
    </row>
    <row r="49" spans="1:15" ht="19.5" customHeight="1">
      <c r="A49" s="1143" t="s">
        <v>44</v>
      </c>
      <c r="B49" s="11">
        <f>ApIII!R33</f>
        <v>38</v>
      </c>
      <c r="C49" s="419">
        <f>ApIII!S33</f>
        <v>7132.2</v>
      </c>
      <c r="D49" s="11"/>
      <c r="E49" s="419"/>
      <c r="F49" s="11"/>
      <c r="G49" s="371"/>
      <c r="H49" s="11"/>
      <c r="I49" s="419"/>
      <c r="J49" s="11">
        <f>ApXII!V19</f>
        <v>1</v>
      </c>
      <c r="K49" s="371">
        <f>ApXII!W19</f>
        <v>61.4</v>
      </c>
      <c r="L49" s="11"/>
      <c r="M49" s="11"/>
      <c r="N49" s="172">
        <f t="shared" si="6"/>
        <v>39</v>
      </c>
      <c r="O49" s="428">
        <f t="shared" si="8"/>
        <v>7193.599999999999</v>
      </c>
    </row>
    <row r="50" spans="1:15" ht="19.5" customHeight="1">
      <c r="A50" s="1143" t="s">
        <v>45</v>
      </c>
      <c r="B50" s="11"/>
      <c r="C50" s="419"/>
      <c r="D50" s="11"/>
      <c r="E50" s="419"/>
      <c r="F50" s="11"/>
      <c r="G50" s="371"/>
      <c r="H50" s="11"/>
      <c r="I50" s="419"/>
      <c r="J50" s="11">
        <f>ApXII!V20</f>
        <v>4</v>
      </c>
      <c r="K50" s="371">
        <f>ApXII!W20</f>
        <v>238.2</v>
      </c>
      <c r="L50" s="11"/>
      <c r="M50" s="11"/>
      <c r="N50" s="172">
        <f>SUM(B50,D50,F50,H50,J50,L50)</f>
        <v>4</v>
      </c>
      <c r="O50" s="428">
        <f>SUM(C50,E50,G50,I50,K50,M50)</f>
        <v>238.2</v>
      </c>
    </row>
    <row r="51" spans="1:15" ht="19.5" customHeight="1">
      <c r="A51" s="10" t="s">
        <v>46</v>
      </c>
      <c r="B51" s="11">
        <f>ApIII!R34</f>
        <v>2</v>
      </c>
      <c r="C51" s="371">
        <f>ApIII!S34</f>
        <v>1138.9</v>
      </c>
      <c r="D51" s="11"/>
      <c r="E51" s="419"/>
      <c r="F51" s="11"/>
      <c r="G51" s="371"/>
      <c r="H51" s="11"/>
      <c r="I51" s="419"/>
      <c r="J51" s="11"/>
      <c r="K51" s="371"/>
      <c r="L51" s="11"/>
      <c r="M51" s="11"/>
      <c r="N51" s="172">
        <f aca="true" t="shared" si="9" ref="N51:O54">SUM(B51,D51,F51,H51,J51,L51)</f>
        <v>2</v>
      </c>
      <c r="O51" s="428">
        <f t="shared" si="9"/>
        <v>1138.9</v>
      </c>
    </row>
    <row r="52" spans="1:15" ht="19.5" customHeight="1">
      <c r="A52" s="10" t="s">
        <v>200</v>
      </c>
      <c r="B52" s="11">
        <f>ApIII!R35</f>
        <v>5</v>
      </c>
      <c r="C52" s="371">
        <f>ApIII!S35</f>
        <v>849</v>
      </c>
      <c r="D52" s="11"/>
      <c r="E52" s="419"/>
      <c r="F52" s="11"/>
      <c r="G52" s="371"/>
      <c r="H52" s="11"/>
      <c r="I52" s="419"/>
      <c r="J52" s="11"/>
      <c r="K52" s="371"/>
      <c r="L52" s="11"/>
      <c r="M52" s="11"/>
      <c r="N52" s="172">
        <f t="shared" si="9"/>
        <v>5</v>
      </c>
      <c r="O52" s="428">
        <f t="shared" si="9"/>
        <v>849</v>
      </c>
    </row>
    <row r="53" spans="1:15" ht="19.5" customHeight="1">
      <c r="A53" s="1143" t="s">
        <v>234</v>
      </c>
      <c r="B53" s="11">
        <f>ApIII!R36</f>
        <v>1</v>
      </c>
      <c r="C53" s="371">
        <f>ApIII!S36</f>
        <v>62</v>
      </c>
      <c r="D53" s="11"/>
      <c r="E53" s="419"/>
      <c r="F53" s="11"/>
      <c r="G53" s="371"/>
      <c r="H53" s="11"/>
      <c r="I53" s="419"/>
      <c r="J53" s="11"/>
      <c r="K53" s="371"/>
      <c r="L53" s="11"/>
      <c r="M53" s="11"/>
      <c r="N53" s="172">
        <f t="shared" si="9"/>
        <v>1</v>
      </c>
      <c r="O53" s="428">
        <f t="shared" si="9"/>
        <v>62</v>
      </c>
    </row>
    <row r="54" spans="1:15" ht="19.5" customHeight="1">
      <c r="A54" s="1143" t="s">
        <v>47</v>
      </c>
      <c r="B54" s="11">
        <f>ApIII!R37</f>
        <v>1</v>
      </c>
      <c r="C54" s="419">
        <f>ApIII!S37</f>
        <v>198.2</v>
      </c>
      <c r="D54" s="11">
        <f>ApVII!R27</f>
        <v>3</v>
      </c>
      <c r="E54" s="371">
        <f>ApVII!S27</f>
        <v>527.7</v>
      </c>
      <c r="F54" s="11"/>
      <c r="G54" s="371"/>
      <c r="H54" s="11"/>
      <c r="I54" s="419"/>
      <c r="J54" s="11"/>
      <c r="K54" s="371"/>
      <c r="L54" s="11"/>
      <c r="M54" s="11"/>
      <c r="N54" s="172">
        <f t="shared" si="9"/>
        <v>4</v>
      </c>
      <c r="O54" s="428">
        <f t="shared" si="9"/>
        <v>725.9000000000001</v>
      </c>
    </row>
    <row r="55" spans="1:15" ht="19.5" customHeight="1">
      <c r="A55" s="10" t="s">
        <v>152</v>
      </c>
      <c r="B55" s="11">
        <f>ApIII!R38</f>
        <v>1</v>
      </c>
      <c r="C55" s="419">
        <f>ApIII!S38</f>
        <v>273.2</v>
      </c>
      <c r="D55" s="11"/>
      <c r="E55" s="419"/>
      <c r="F55" s="11"/>
      <c r="G55" s="371"/>
      <c r="H55" s="11"/>
      <c r="I55" s="419"/>
      <c r="J55" s="11"/>
      <c r="K55" s="419"/>
      <c r="L55" s="11"/>
      <c r="M55" s="11"/>
      <c r="N55" s="172">
        <f aca="true" t="shared" si="10" ref="N55:O58">SUM(B55,D55,F55,H55,J55,L55)</f>
        <v>1</v>
      </c>
      <c r="O55" s="428">
        <f t="shared" si="10"/>
        <v>273.2</v>
      </c>
    </row>
    <row r="56" spans="1:16" ht="19.5" customHeight="1">
      <c r="A56" s="10" t="s">
        <v>48</v>
      </c>
      <c r="B56" s="11">
        <f>ApIII!R39</f>
        <v>4</v>
      </c>
      <c r="C56" s="419">
        <f>ApIII!S39</f>
        <v>750</v>
      </c>
      <c r="D56" s="11">
        <f>ApVII!R28</f>
        <v>10</v>
      </c>
      <c r="E56" s="371">
        <f>ApVII!S28</f>
        <v>1463.2</v>
      </c>
      <c r="F56" s="11"/>
      <c r="G56" s="371"/>
      <c r="H56" s="11"/>
      <c r="I56" s="419"/>
      <c r="J56" s="11">
        <f>ApXII!V21</f>
        <v>4</v>
      </c>
      <c r="K56" s="371">
        <f>ApXII!W21</f>
        <v>238.2</v>
      </c>
      <c r="L56" s="11"/>
      <c r="M56" s="11"/>
      <c r="N56" s="172">
        <f t="shared" si="10"/>
        <v>18</v>
      </c>
      <c r="O56" s="428">
        <f t="shared" si="10"/>
        <v>2451.3999999999996</v>
      </c>
      <c r="P56" s="193"/>
    </row>
    <row r="57" spans="1:16" ht="18" customHeight="1">
      <c r="A57" s="10" t="s">
        <v>49</v>
      </c>
      <c r="B57" s="11">
        <f>ApIII!R40</f>
        <v>8</v>
      </c>
      <c r="C57" s="419">
        <f>ApIII!S40</f>
        <v>1008.4</v>
      </c>
      <c r="D57" s="11">
        <f>ApVII!R29</f>
        <v>3</v>
      </c>
      <c r="E57" s="371">
        <f>ApVII!S29</f>
        <v>505.9</v>
      </c>
      <c r="F57" s="11"/>
      <c r="G57" s="371"/>
      <c r="H57" s="11"/>
      <c r="I57" s="419"/>
      <c r="J57" s="11">
        <f>ApXII!V22</f>
        <v>3</v>
      </c>
      <c r="K57" s="371">
        <f>ApXII!W22</f>
        <v>184.2</v>
      </c>
      <c r="L57" s="11"/>
      <c r="M57" s="11"/>
      <c r="N57" s="172">
        <f t="shared" si="10"/>
        <v>14</v>
      </c>
      <c r="O57" s="428">
        <f t="shared" si="10"/>
        <v>1698.5</v>
      </c>
      <c r="P57" s="193"/>
    </row>
    <row r="58" spans="1:20" s="256" customFormat="1" ht="18" customHeight="1">
      <c r="A58" s="10" t="s">
        <v>50</v>
      </c>
      <c r="B58" s="11">
        <f>ApIII!R41</f>
        <v>1</v>
      </c>
      <c r="C58" s="419">
        <f>ApIII!S41</f>
        <v>176.1</v>
      </c>
      <c r="D58" s="11"/>
      <c r="E58" s="419"/>
      <c r="F58" s="11">
        <f>ApX!R36</f>
        <v>2</v>
      </c>
      <c r="G58" s="371">
        <f>ApX!S36</f>
        <v>168.7</v>
      </c>
      <c r="H58" s="11"/>
      <c r="I58" s="419"/>
      <c r="J58" s="11"/>
      <c r="K58" s="419"/>
      <c r="L58" s="11"/>
      <c r="M58" s="11"/>
      <c r="N58" s="172">
        <f t="shared" si="10"/>
        <v>3</v>
      </c>
      <c r="O58" s="428">
        <f t="shared" si="10"/>
        <v>344.79999999999995</v>
      </c>
      <c r="P58" s="372"/>
      <c r="Q58" s="217"/>
      <c r="R58" s="217"/>
      <c r="S58" s="217"/>
      <c r="T58" s="217"/>
    </row>
    <row r="59" spans="1:16" ht="21.75" customHeight="1">
      <c r="A59" s="454" t="s">
        <v>136</v>
      </c>
      <c r="B59" s="467"/>
      <c r="C59" s="458"/>
      <c r="D59" s="467"/>
      <c r="E59" s="458"/>
      <c r="F59" s="467"/>
      <c r="G59" s="458"/>
      <c r="H59" s="467"/>
      <c r="I59" s="458"/>
      <c r="J59" s="467"/>
      <c r="K59" s="458"/>
      <c r="L59" s="467"/>
      <c r="M59" s="467"/>
      <c r="N59" s="460"/>
      <c r="O59" s="461"/>
      <c r="P59" s="193"/>
    </row>
    <row r="60" spans="1:15" ht="19.5" customHeight="1">
      <c r="A60" s="10" t="s">
        <v>34</v>
      </c>
      <c r="B60" s="11"/>
      <c r="C60" s="371"/>
      <c r="D60" s="11"/>
      <c r="E60" s="419"/>
      <c r="F60" s="11">
        <f>ApX!R38</f>
        <v>1</v>
      </c>
      <c r="G60" s="371">
        <f>ApX!S38</f>
        <v>111.1</v>
      </c>
      <c r="H60" s="11"/>
      <c r="I60" s="419"/>
      <c r="J60" s="11"/>
      <c r="K60" s="419"/>
      <c r="L60" s="11"/>
      <c r="M60" s="11"/>
      <c r="N60" s="172">
        <f>SUM(B60,D60,F60,H60,J60,L60)</f>
        <v>1</v>
      </c>
      <c r="O60" s="428">
        <f>SUM(C60,E60,G60,I60,K60,M60)</f>
        <v>111.1</v>
      </c>
    </row>
    <row r="61" spans="1:15" ht="19.5" customHeight="1">
      <c r="A61" s="16" t="s">
        <v>35</v>
      </c>
      <c r="B61" s="17"/>
      <c r="C61" s="446"/>
      <c r="D61" s="17"/>
      <c r="E61" s="420"/>
      <c r="F61" s="17">
        <f>ApX!R39</f>
        <v>2</v>
      </c>
      <c r="G61" s="446">
        <f>ApX!S39</f>
        <v>345.3</v>
      </c>
      <c r="H61" s="17"/>
      <c r="I61" s="420"/>
      <c r="J61" s="17"/>
      <c r="K61" s="420"/>
      <c r="L61" s="17"/>
      <c r="M61" s="17"/>
      <c r="N61" s="173">
        <f>SUM(B61,D61,F61,H61,J61,L61)</f>
        <v>2</v>
      </c>
      <c r="O61" s="429">
        <f>SUM(C61,E61,G61,I61,K61,M61)</f>
        <v>345.3</v>
      </c>
    </row>
    <row r="62" spans="1:16" ht="21.75" customHeight="1">
      <c r="A62" s="454" t="s">
        <v>243</v>
      </c>
      <c r="B62" s="467"/>
      <c r="C62" s="458"/>
      <c r="D62" s="467"/>
      <c r="E62" s="458"/>
      <c r="F62" s="467"/>
      <c r="G62" s="458"/>
      <c r="H62" s="467"/>
      <c r="I62" s="458"/>
      <c r="J62" s="467"/>
      <c r="K62" s="458"/>
      <c r="L62" s="467"/>
      <c r="M62" s="467"/>
      <c r="N62" s="460"/>
      <c r="O62" s="461"/>
      <c r="P62" s="193"/>
    </row>
    <row r="63" spans="1:15" ht="19.5" customHeight="1">
      <c r="A63" s="16" t="s">
        <v>350</v>
      </c>
      <c r="B63" s="17"/>
      <c r="C63" s="446"/>
      <c r="D63" s="17"/>
      <c r="E63" s="420"/>
      <c r="F63" s="17">
        <f>ApX!R41</f>
        <v>2</v>
      </c>
      <c r="G63" s="446">
        <f>ApX!S41</f>
        <v>272.79999999999995</v>
      </c>
      <c r="H63" s="17"/>
      <c r="I63" s="420"/>
      <c r="J63" s="17"/>
      <c r="K63" s="420"/>
      <c r="L63" s="17"/>
      <c r="M63" s="17"/>
      <c r="N63" s="173">
        <f>SUM(B63,D63,F63,H63,J63,L63)</f>
        <v>2</v>
      </c>
      <c r="O63" s="429">
        <f>SUM(C63,E63,G63,I63,K63,M63)</f>
        <v>272.79999999999995</v>
      </c>
    </row>
    <row r="64" spans="1:15" ht="21.75" customHeight="1">
      <c r="A64" s="454" t="s">
        <v>244</v>
      </c>
      <c r="B64" s="467"/>
      <c r="C64" s="458"/>
      <c r="D64" s="467"/>
      <c r="E64" s="458"/>
      <c r="F64" s="467"/>
      <c r="G64" s="458"/>
      <c r="H64" s="467"/>
      <c r="I64" s="458"/>
      <c r="J64" s="468"/>
      <c r="K64" s="458"/>
      <c r="L64" s="467"/>
      <c r="M64" s="467"/>
      <c r="N64" s="460"/>
      <c r="O64" s="461"/>
    </row>
    <row r="65" spans="1:15" ht="21.75" customHeight="1">
      <c r="A65" s="1143" t="s">
        <v>159</v>
      </c>
      <c r="B65" s="11">
        <f>ApIII!R43</f>
        <v>13</v>
      </c>
      <c r="C65" s="419">
        <f>ApIII!S43</f>
        <v>1086.2</v>
      </c>
      <c r="D65" s="11"/>
      <c r="E65" s="419"/>
      <c r="F65" s="11">
        <f>ApX!R43</f>
        <v>1</v>
      </c>
      <c r="G65" s="371">
        <f>ApX!S43</f>
        <v>315.5</v>
      </c>
      <c r="H65" s="11"/>
      <c r="I65" s="419"/>
      <c r="J65" s="11"/>
      <c r="K65" s="419"/>
      <c r="L65" s="11"/>
      <c r="M65" s="11"/>
      <c r="N65" s="172">
        <f aca="true" t="shared" si="11" ref="N65:N74">SUM(B65,D65,F65,H65,J65,L65)</f>
        <v>14</v>
      </c>
      <c r="O65" s="428">
        <f aca="true" t="shared" si="12" ref="O65:O74">SUM(C65,E65,G65,I65,K65,M65)</f>
        <v>1401.7</v>
      </c>
    </row>
    <row r="66" spans="1:15" ht="20.25" customHeight="1">
      <c r="A66" s="1143" t="s">
        <v>465</v>
      </c>
      <c r="B66" s="11"/>
      <c r="C66" s="419"/>
      <c r="D66" s="11"/>
      <c r="E66" s="419"/>
      <c r="F66" s="11">
        <f>ApX!R44</f>
        <v>3</v>
      </c>
      <c r="G66" s="371">
        <f>ApX!S44</f>
        <v>855</v>
      </c>
      <c r="H66" s="11"/>
      <c r="I66" s="419"/>
      <c r="J66" s="11"/>
      <c r="K66" s="371"/>
      <c r="L66" s="11"/>
      <c r="M66" s="371"/>
      <c r="N66" s="172">
        <f t="shared" si="11"/>
        <v>3</v>
      </c>
      <c r="O66" s="428">
        <f t="shared" si="12"/>
        <v>855</v>
      </c>
    </row>
    <row r="67" spans="1:15" ht="20.25" customHeight="1">
      <c r="A67" s="1143" t="s">
        <v>51</v>
      </c>
      <c r="B67" s="11">
        <f>ApIII!R44</f>
        <v>1</v>
      </c>
      <c r="C67" s="419">
        <f>ApIII!S44</f>
        <v>202.9</v>
      </c>
      <c r="D67" s="11"/>
      <c r="E67" s="419"/>
      <c r="F67" s="11">
        <f>ApX!R45</f>
        <v>5</v>
      </c>
      <c r="G67" s="371">
        <f>ApX!S45</f>
        <v>1360.3999999999999</v>
      </c>
      <c r="H67" s="11"/>
      <c r="I67" s="419"/>
      <c r="J67" s="11"/>
      <c r="K67" s="419"/>
      <c r="L67" s="11"/>
      <c r="M67" s="11"/>
      <c r="N67" s="172">
        <f t="shared" si="11"/>
        <v>6</v>
      </c>
      <c r="O67" s="428">
        <f t="shared" si="12"/>
        <v>1563.3</v>
      </c>
    </row>
    <row r="68" spans="1:15" ht="20.25" customHeight="1">
      <c r="A68" s="1143" t="s">
        <v>52</v>
      </c>
      <c r="B68" s="11">
        <f>ApIII!R45</f>
        <v>10</v>
      </c>
      <c r="C68" s="419">
        <f>ApIII!S45</f>
        <v>760.8</v>
      </c>
      <c r="D68" s="11"/>
      <c r="E68" s="419"/>
      <c r="F68" s="11"/>
      <c r="G68" s="371"/>
      <c r="H68" s="11"/>
      <c r="I68" s="419"/>
      <c r="J68" s="11"/>
      <c r="K68" s="419"/>
      <c r="L68" s="11"/>
      <c r="M68" s="11"/>
      <c r="N68" s="172">
        <f t="shared" si="11"/>
        <v>10</v>
      </c>
      <c r="O68" s="428">
        <f t="shared" si="12"/>
        <v>760.8</v>
      </c>
    </row>
    <row r="69" spans="1:15" ht="20.25" customHeight="1">
      <c r="A69" s="1143" t="s">
        <v>170</v>
      </c>
      <c r="B69" s="11">
        <f>ApIII!R46</f>
        <v>1</v>
      </c>
      <c r="C69" s="419">
        <f>ApIII!S46</f>
        <v>208.8</v>
      </c>
      <c r="D69" s="11"/>
      <c r="E69" s="419"/>
      <c r="F69" s="11">
        <f>ApX!R46</f>
        <v>3</v>
      </c>
      <c r="G69" s="371">
        <f>ApX!S46</f>
        <v>683.1</v>
      </c>
      <c r="H69" s="11"/>
      <c r="I69" s="419"/>
      <c r="J69" s="11"/>
      <c r="K69" s="419"/>
      <c r="L69" s="11"/>
      <c r="M69" s="11"/>
      <c r="N69" s="172">
        <f aca="true" t="shared" si="13" ref="N69:O71">SUM(B69,D69,F69,H69,J69,L69)</f>
        <v>4</v>
      </c>
      <c r="O69" s="428">
        <f t="shared" si="13"/>
        <v>891.9000000000001</v>
      </c>
    </row>
    <row r="70" spans="1:15" ht="20.25" customHeight="1">
      <c r="A70" s="10" t="s">
        <v>255</v>
      </c>
      <c r="B70" s="11"/>
      <c r="C70" s="371"/>
      <c r="D70" s="11"/>
      <c r="E70" s="419"/>
      <c r="F70" s="11">
        <f>ApX!R47</f>
        <v>2</v>
      </c>
      <c r="G70" s="371">
        <f>ApX!S47</f>
        <v>679.2</v>
      </c>
      <c r="H70" s="11"/>
      <c r="I70" s="419"/>
      <c r="J70" s="11"/>
      <c r="K70" s="419"/>
      <c r="L70" s="11"/>
      <c r="M70" s="11"/>
      <c r="N70" s="172">
        <f t="shared" si="13"/>
        <v>2</v>
      </c>
      <c r="O70" s="428">
        <f t="shared" si="13"/>
        <v>679.2</v>
      </c>
    </row>
    <row r="71" spans="1:15" ht="20.25" customHeight="1">
      <c r="A71" s="10" t="s">
        <v>437</v>
      </c>
      <c r="B71" s="11">
        <f>ApIII!R47</f>
        <v>1</v>
      </c>
      <c r="C71" s="371">
        <f>ApIII!S47</f>
        <v>25.4</v>
      </c>
      <c r="D71" s="11"/>
      <c r="E71" s="419"/>
      <c r="F71" s="11"/>
      <c r="G71" s="371"/>
      <c r="H71" s="11"/>
      <c r="I71" s="419"/>
      <c r="J71" s="11"/>
      <c r="K71" s="419"/>
      <c r="L71" s="11"/>
      <c r="M71" s="11"/>
      <c r="N71" s="172">
        <f t="shared" si="13"/>
        <v>1</v>
      </c>
      <c r="O71" s="428">
        <f t="shared" si="13"/>
        <v>25.4</v>
      </c>
    </row>
    <row r="72" spans="1:15" ht="20.25" customHeight="1">
      <c r="A72" s="10" t="s">
        <v>53</v>
      </c>
      <c r="B72" s="11"/>
      <c r="C72" s="419"/>
      <c r="D72" s="11"/>
      <c r="E72" s="419"/>
      <c r="F72" s="11">
        <f>ApX!R48</f>
        <v>1</v>
      </c>
      <c r="G72" s="371">
        <f>ApX!S48</f>
        <v>271</v>
      </c>
      <c r="H72" s="11"/>
      <c r="I72" s="419"/>
      <c r="J72" s="11"/>
      <c r="K72" s="419"/>
      <c r="L72" s="11"/>
      <c r="M72" s="11"/>
      <c r="N72" s="172">
        <f t="shared" si="11"/>
        <v>1</v>
      </c>
      <c r="O72" s="428">
        <f t="shared" si="12"/>
        <v>271</v>
      </c>
    </row>
    <row r="73" spans="1:15" ht="20.25" customHeight="1">
      <c r="A73" s="10" t="s">
        <v>177</v>
      </c>
      <c r="B73" s="11">
        <f>ApIII!R48</f>
        <v>1</v>
      </c>
      <c r="C73" s="419">
        <f>ApIII!S48</f>
        <v>206.5</v>
      </c>
      <c r="D73" s="11">
        <f>ApVII!R31</f>
        <v>1</v>
      </c>
      <c r="E73" s="371">
        <f>ApVII!S31</f>
        <v>113</v>
      </c>
      <c r="F73" s="11">
        <f>ApX!R49</f>
        <v>6</v>
      </c>
      <c r="G73" s="371">
        <f>ApX!S49</f>
        <v>1967.6</v>
      </c>
      <c r="H73" s="11"/>
      <c r="I73" s="419"/>
      <c r="J73" s="11"/>
      <c r="K73" s="419"/>
      <c r="L73" s="11"/>
      <c r="M73" s="11"/>
      <c r="N73" s="172">
        <f t="shared" si="11"/>
        <v>8</v>
      </c>
      <c r="O73" s="428">
        <f t="shared" si="12"/>
        <v>2287.1</v>
      </c>
    </row>
    <row r="74" spans="1:15" ht="20.25" customHeight="1">
      <c r="A74" s="10" t="s">
        <v>438</v>
      </c>
      <c r="B74" s="11">
        <f>ApIII!R49</f>
        <v>1</v>
      </c>
      <c r="C74" s="419">
        <f>ApIII!S49</f>
        <v>129.5</v>
      </c>
      <c r="D74" s="11"/>
      <c r="E74" s="419"/>
      <c r="F74" s="11"/>
      <c r="G74" s="371"/>
      <c r="H74" s="11"/>
      <c r="I74" s="419"/>
      <c r="J74" s="11"/>
      <c r="K74" s="419"/>
      <c r="L74" s="11"/>
      <c r="M74" s="11"/>
      <c r="N74" s="172">
        <f t="shared" si="11"/>
        <v>1</v>
      </c>
      <c r="O74" s="428">
        <f t="shared" si="12"/>
        <v>129.5</v>
      </c>
    </row>
    <row r="75" spans="1:15" ht="20.25" customHeight="1">
      <c r="A75" s="10" t="s">
        <v>54</v>
      </c>
      <c r="B75" s="11">
        <f>ApIII!R50</f>
        <v>1</v>
      </c>
      <c r="C75" s="419">
        <f>ApIII!S50</f>
        <v>143.6</v>
      </c>
      <c r="D75" s="11"/>
      <c r="E75" s="419"/>
      <c r="F75" s="11">
        <f>ApX!R50</f>
        <v>8</v>
      </c>
      <c r="G75" s="419">
        <f>ApX!S50</f>
        <v>1741.9</v>
      </c>
      <c r="H75" s="11"/>
      <c r="I75" s="419"/>
      <c r="J75" s="11"/>
      <c r="K75" s="419"/>
      <c r="L75" s="11"/>
      <c r="M75" s="371"/>
      <c r="N75" s="172">
        <f aca="true" t="shared" si="14" ref="N75:O77">SUM(B75,D75,F75,H75,J75,L75)</f>
        <v>9</v>
      </c>
      <c r="O75" s="428">
        <f t="shared" si="14"/>
        <v>1885.5</v>
      </c>
    </row>
    <row r="76" spans="1:15" ht="20.25" customHeight="1">
      <c r="A76" s="10" t="s">
        <v>439</v>
      </c>
      <c r="B76" s="11">
        <f>ApIII!R51</f>
        <v>1</v>
      </c>
      <c r="C76" s="419">
        <f>ApIII!S51</f>
        <v>25.4</v>
      </c>
      <c r="D76" s="11"/>
      <c r="E76" s="419"/>
      <c r="F76" s="11"/>
      <c r="G76" s="419"/>
      <c r="H76" s="11"/>
      <c r="I76" s="419"/>
      <c r="J76" s="11"/>
      <c r="K76" s="419"/>
      <c r="L76" s="11"/>
      <c r="M76" s="371"/>
      <c r="N76" s="172">
        <f>SUM(B76,D76,F76,H76,J76,L76)</f>
        <v>1</v>
      </c>
      <c r="O76" s="428">
        <f>SUM(C76,E76,G76,I76,K76,M76)</f>
        <v>25.4</v>
      </c>
    </row>
    <row r="77" spans="1:15" ht="20.25" customHeight="1">
      <c r="A77" s="10" t="s">
        <v>178</v>
      </c>
      <c r="B77" s="11">
        <f>ApIII!R52</f>
        <v>1</v>
      </c>
      <c r="C77" s="371">
        <f>ApIII!S52</f>
        <v>309.7</v>
      </c>
      <c r="D77" s="11"/>
      <c r="E77" s="419"/>
      <c r="F77" s="11">
        <f>ApX!R51</f>
        <v>1</v>
      </c>
      <c r="G77" s="371">
        <f>ApX!S51</f>
        <v>197.5</v>
      </c>
      <c r="H77" s="11"/>
      <c r="I77" s="419"/>
      <c r="J77" s="11"/>
      <c r="K77" s="419"/>
      <c r="L77" s="11"/>
      <c r="M77" s="11"/>
      <c r="N77" s="172">
        <f t="shared" si="14"/>
        <v>2</v>
      </c>
      <c r="O77" s="428">
        <f t="shared" si="14"/>
        <v>507.2</v>
      </c>
    </row>
    <row r="78" spans="1:15" ht="20.25" customHeight="1">
      <c r="A78" s="16" t="s">
        <v>55</v>
      </c>
      <c r="B78" s="17">
        <f>ApIII!R53</f>
        <v>1</v>
      </c>
      <c r="C78" s="420">
        <f>ApIII!S53</f>
        <v>198.9</v>
      </c>
      <c r="D78" s="17"/>
      <c r="E78" s="420"/>
      <c r="F78" s="17">
        <f>ApX!R52</f>
        <v>4</v>
      </c>
      <c r="G78" s="446">
        <f>ApX!S52</f>
        <v>952.4000000000001</v>
      </c>
      <c r="H78" s="17"/>
      <c r="I78" s="420"/>
      <c r="J78" s="17"/>
      <c r="K78" s="420"/>
      <c r="L78" s="17"/>
      <c r="M78" s="17"/>
      <c r="N78" s="173">
        <f>SUM(B78,D78,F78,H78,J78,L78)</f>
        <v>5</v>
      </c>
      <c r="O78" s="429">
        <f>SUM(C78,E78,G78,I78,K78,M78)</f>
        <v>1151.3000000000002</v>
      </c>
    </row>
    <row r="79" spans="1:17" ht="22.5" customHeight="1" thickBot="1">
      <c r="A79" s="447" t="s">
        <v>161</v>
      </c>
      <c r="B79" s="469">
        <f>ApIII!R54</f>
        <v>8</v>
      </c>
      <c r="C79" s="471">
        <f>ApIII!S54</f>
        <v>15064.099999999999</v>
      </c>
      <c r="D79" s="469"/>
      <c r="E79" s="470"/>
      <c r="F79" s="469">
        <f>ApX!R53</f>
        <v>23</v>
      </c>
      <c r="G79" s="471">
        <f>ApX!S53</f>
        <v>1961.7</v>
      </c>
      <c r="H79" s="469"/>
      <c r="I79" s="470">
        <f>ApVIII!S8</f>
        <v>3105</v>
      </c>
      <c r="J79" s="469">
        <f>ApXII!V23</f>
        <v>0</v>
      </c>
      <c r="K79" s="470">
        <f>ApXII!W23</f>
        <v>637.3</v>
      </c>
      <c r="L79" s="469"/>
      <c r="M79" s="471"/>
      <c r="N79" s="463">
        <f>SUM(B79,D79,F79,H79,J79,L79)</f>
        <v>31</v>
      </c>
      <c r="O79" s="464">
        <f>SUM(C79,E79,G79,I79,K79,M79)</f>
        <v>20768.1</v>
      </c>
      <c r="P79" s="193"/>
      <c r="Q79" s="262"/>
    </row>
    <row r="80" spans="1:15" ht="22.5" thickBot="1">
      <c r="A80" s="472" t="s">
        <v>56</v>
      </c>
      <c r="B80" s="899">
        <f aca="true" t="shared" si="15" ref="B80:O80">SUM(B5:B79)</f>
        <v>1041</v>
      </c>
      <c r="C80" s="479">
        <f t="shared" si="15"/>
        <v>243572.3</v>
      </c>
      <c r="D80" s="899">
        <f t="shared" si="15"/>
        <v>50</v>
      </c>
      <c r="E80" s="479">
        <f t="shared" si="15"/>
        <v>11642.5</v>
      </c>
      <c r="F80" s="899">
        <f t="shared" si="15"/>
        <v>202</v>
      </c>
      <c r="G80" s="479">
        <f t="shared" si="15"/>
        <v>32254.300000000003</v>
      </c>
      <c r="H80" s="899">
        <f t="shared" si="15"/>
        <v>75</v>
      </c>
      <c r="I80" s="479">
        <f t="shared" si="15"/>
        <v>5008.9</v>
      </c>
      <c r="J80" s="899">
        <f t="shared" si="15"/>
        <v>176</v>
      </c>
      <c r="K80" s="479">
        <f t="shared" si="15"/>
        <v>10699.3</v>
      </c>
      <c r="L80" s="899">
        <f t="shared" si="15"/>
        <v>21</v>
      </c>
      <c r="M80" s="479">
        <f t="shared" si="15"/>
        <v>1816.7</v>
      </c>
      <c r="N80" s="899">
        <f t="shared" si="15"/>
        <v>1565</v>
      </c>
      <c r="O80" s="479">
        <f t="shared" si="15"/>
        <v>304994.0000000001</v>
      </c>
    </row>
    <row r="81" spans="1:15" ht="20.25" customHeight="1">
      <c r="A81" s="8" t="s">
        <v>139</v>
      </c>
      <c r="B81" s="20"/>
      <c r="C81" s="421"/>
      <c r="D81" s="21"/>
      <c r="E81" s="421"/>
      <c r="F81" s="22"/>
      <c r="G81" s="349"/>
      <c r="H81" s="23"/>
      <c r="I81" s="421"/>
      <c r="J81" s="20"/>
      <c r="K81" s="421"/>
      <c r="L81" s="23"/>
      <c r="M81" s="23"/>
      <c r="N81" s="20"/>
      <c r="O81" s="349"/>
    </row>
    <row r="82" spans="1:13" ht="20.25" customHeight="1">
      <c r="A82" s="27" t="s">
        <v>164</v>
      </c>
      <c r="B82" s="20"/>
      <c r="C82" s="421"/>
      <c r="D82" s="21"/>
      <c r="E82" s="421"/>
      <c r="F82" s="22"/>
      <c r="J82" s="20"/>
      <c r="K82" s="421"/>
      <c r="L82" s="23"/>
      <c r="M82" s="314"/>
    </row>
    <row r="83" spans="1:20" s="29" customFormat="1" ht="20.25" customHeight="1">
      <c r="A83" s="34" t="s">
        <v>141</v>
      </c>
      <c r="B83" s="28"/>
      <c r="C83" s="422"/>
      <c r="E83" s="422"/>
      <c r="F83" s="28"/>
      <c r="G83" s="427"/>
      <c r="I83" s="422"/>
      <c r="J83" s="28"/>
      <c r="K83" s="421"/>
      <c r="L83" s="30"/>
      <c r="M83" s="27"/>
      <c r="N83" s="28"/>
      <c r="O83" s="349"/>
      <c r="P83" s="62"/>
      <c r="Q83" s="62"/>
      <c r="R83" s="62"/>
      <c r="S83" s="62"/>
      <c r="T83" s="62"/>
    </row>
    <row r="84" spans="1:15" ht="20.25" customHeight="1">
      <c r="A84" s="8" t="s">
        <v>140</v>
      </c>
      <c r="N84" s="32"/>
      <c r="O84" s="349"/>
    </row>
    <row r="85" spans="1:2" ht="21.75">
      <c r="A85" s="131"/>
      <c r="B85" s="33"/>
    </row>
    <row r="86" spans="1:5" ht="21.75">
      <c r="A86" s="131"/>
      <c r="C86" s="421"/>
      <c r="D86" s="30"/>
      <c r="E86" s="421"/>
    </row>
    <row r="87" spans="1:3" ht="21.75">
      <c r="A87" s="131"/>
      <c r="C87" s="418"/>
    </row>
    <row r="88" spans="1:10" ht="21.75">
      <c r="A88" s="131"/>
      <c r="J88" s="25" t="s">
        <v>107</v>
      </c>
    </row>
    <row r="105" ht="21.75">
      <c r="F105" s="423"/>
    </row>
  </sheetData>
  <sheetProtection/>
  <mergeCells count="8">
    <mergeCell ref="A2:A3"/>
    <mergeCell ref="B2:C2"/>
    <mergeCell ref="F2:G2"/>
    <mergeCell ref="D2:E2"/>
    <mergeCell ref="J2:K2"/>
    <mergeCell ref="N2:O2"/>
    <mergeCell ref="L2:M2"/>
    <mergeCell ref="H2:I2"/>
  </mergeCells>
  <printOptions horizontalCentered="1"/>
  <pageMargins left="0.2362204724409449" right="0.3937007874015748" top="0.3937007874015748" bottom="0.3937007874015748" header="0.4330708661417323" footer="0.2755905511811024"/>
  <pageSetup horizontalDpi="600" verticalDpi="600" orientation="landscape" paperSize="9" r:id="rId1"/>
  <rowBreaks count="3" manualBreakCount="3">
    <brk id="24" max="14" man="1"/>
    <brk id="45" max="14" man="1"/>
    <brk id="6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BS1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3" sqref="E53"/>
    </sheetView>
  </sheetViews>
  <sheetFormatPr defaultColWidth="9.140625" defaultRowHeight="12.75"/>
  <cols>
    <col min="1" max="1" width="26.28125" style="108" customWidth="1"/>
    <col min="2" max="2" width="4.8515625" style="108" customWidth="1"/>
    <col min="3" max="3" width="9.421875" style="263" customWidth="1"/>
    <col min="4" max="4" width="5.00390625" style="108" bestFit="1" customWidth="1"/>
    <col min="5" max="5" width="8.421875" style="263" customWidth="1"/>
    <col min="6" max="6" width="5.57421875" style="108" customWidth="1"/>
    <col min="7" max="7" width="8.28125" style="263" bestFit="1" customWidth="1"/>
    <col min="8" max="8" width="4.00390625" style="108" customWidth="1"/>
    <col min="9" max="9" width="8.28125" style="263" bestFit="1" customWidth="1"/>
    <col min="10" max="10" width="4.28125" style="108" customWidth="1"/>
    <col min="11" max="11" width="8.28125" style="263" bestFit="1" customWidth="1"/>
    <col min="12" max="12" width="5.00390625" style="108" customWidth="1"/>
    <col min="13" max="13" width="8.28125" style="263" bestFit="1" customWidth="1"/>
    <col min="14" max="14" width="5.00390625" style="108" bestFit="1" customWidth="1"/>
    <col min="15" max="15" width="8.28125" style="108" bestFit="1" customWidth="1"/>
    <col min="16" max="16" width="6.28125" style="108" customWidth="1"/>
    <col min="17" max="17" width="9.8515625" style="108" customWidth="1"/>
    <col min="18" max="18" width="6.28125" style="181" customWidth="1"/>
    <col min="19" max="19" width="10.28125" style="180" customWidth="1"/>
    <col min="20" max="26" width="10.8515625" style="180" customWidth="1"/>
    <col min="27" max="40" width="11.421875" style="54" customWidth="1"/>
    <col min="41" max="41" width="17.421875" style="0" customWidth="1"/>
    <col min="42" max="42" width="5.00390625" style="0" customWidth="1"/>
    <col min="44" max="44" width="4.7109375" style="0" customWidth="1"/>
    <col min="45" max="45" width="7.7109375" style="0" customWidth="1"/>
    <col min="46" max="46" width="4.7109375" style="0" customWidth="1"/>
    <col min="47" max="47" width="8.140625" style="0" customWidth="1"/>
    <col min="48" max="48" width="4.7109375" style="0" customWidth="1"/>
    <col min="49" max="49" width="8.140625" style="0" customWidth="1"/>
    <col min="50" max="50" width="4.7109375" style="0" customWidth="1"/>
    <col min="51" max="51" width="7.7109375" style="0" customWidth="1"/>
    <col min="52" max="52" width="4.00390625" style="0" customWidth="1"/>
    <col min="53" max="53" width="7.28125" style="0" customWidth="1"/>
    <col min="54" max="54" width="4.7109375" style="0" customWidth="1"/>
    <col min="55" max="55" width="8.28125" style="0" customWidth="1"/>
    <col min="56" max="56" width="4.7109375" style="0" customWidth="1"/>
    <col min="57" max="57" width="8.7109375" style="0" customWidth="1"/>
    <col min="58" max="58" width="4.7109375" style="0" customWidth="1"/>
    <col min="59" max="59" width="8.28125" style="0" customWidth="1"/>
    <col min="60" max="60" width="4.7109375" style="0" customWidth="1"/>
    <col min="62" max="62" width="4.7109375" style="0" customWidth="1"/>
    <col min="72" max="16384" width="9.140625" style="108" customWidth="1"/>
  </cols>
  <sheetData>
    <row r="1" spans="1:71" s="56" customFormat="1" ht="25.5" customHeight="1" thickBot="1">
      <c r="A1" s="175" t="s">
        <v>326</v>
      </c>
      <c r="B1" s="107"/>
      <c r="C1" s="260"/>
      <c r="D1" s="107"/>
      <c r="E1" s="260"/>
      <c r="F1" s="107"/>
      <c r="G1" s="260"/>
      <c r="H1" s="107"/>
      <c r="I1" s="260"/>
      <c r="J1" s="107"/>
      <c r="K1" s="260"/>
      <c r="L1" s="107"/>
      <c r="M1" s="260"/>
      <c r="N1" s="71"/>
      <c r="O1" s="71"/>
      <c r="P1" s="71"/>
      <c r="Q1" s="39" t="s">
        <v>112</v>
      </c>
      <c r="R1" s="181"/>
      <c r="S1" s="180"/>
      <c r="T1" s="180"/>
      <c r="U1" s="180"/>
      <c r="V1" s="180"/>
      <c r="W1" s="180"/>
      <c r="X1" s="180"/>
      <c r="Y1" s="180"/>
      <c r="Z1" s="180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49" s="7" customFormat="1" ht="69.75" customHeight="1" thickBot="1">
      <c r="A2" s="1218" t="s">
        <v>1</v>
      </c>
      <c r="B2" s="1220" t="s">
        <v>66</v>
      </c>
      <c r="C2" s="1220"/>
      <c r="D2" s="1221" t="s">
        <v>79</v>
      </c>
      <c r="E2" s="1221"/>
      <c r="F2" s="1221" t="s">
        <v>144</v>
      </c>
      <c r="G2" s="1221"/>
      <c r="H2" s="1223" t="s">
        <v>72</v>
      </c>
      <c r="I2" s="1223"/>
      <c r="J2" s="1221" t="s">
        <v>73</v>
      </c>
      <c r="K2" s="1221"/>
      <c r="L2" s="1224" t="s">
        <v>74</v>
      </c>
      <c r="M2" s="1224"/>
      <c r="N2" s="1223" t="s">
        <v>75</v>
      </c>
      <c r="O2" s="1223"/>
      <c r="P2" s="1223" t="s">
        <v>76</v>
      </c>
      <c r="Q2" s="1223"/>
      <c r="R2" s="1222" t="s">
        <v>61</v>
      </c>
      <c r="S2" s="122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</row>
    <row r="3" spans="1:49" s="119" customFormat="1" ht="28.5" customHeight="1" thickBot="1">
      <c r="A3" s="1219"/>
      <c r="B3" s="129" t="s">
        <v>10</v>
      </c>
      <c r="C3" s="288" t="s">
        <v>9</v>
      </c>
      <c r="D3" s="129" t="s">
        <v>10</v>
      </c>
      <c r="E3" s="288" t="s">
        <v>9</v>
      </c>
      <c r="F3" s="129" t="s">
        <v>10</v>
      </c>
      <c r="G3" s="296" t="s">
        <v>9</v>
      </c>
      <c r="H3" s="129" t="s">
        <v>10</v>
      </c>
      <c r="I3" s="296" t="s">
        <v>9</v>
      </c>
      <c r="J3" s="129" t="s">
        <v>10</v>
      </c>
      <c r="K3" s="296" t="s">
        <v>9</v>
      </c>
      <c r="L3" s="129" t="s">
        <v>10</v>
      </c>
      <c r="M3" s="296" t="s">
        <v>9</v>
      </c>
      <c r="N3" s="129" t="s">
        <v>10</v>
      </c>
      <c r="O3" s="296" t="s">
        <v>9</v>
      </c>
      <c r="P3" s="129" t="s">
        <v>10</v>
      </c>
      <c r="Q3" s="296" t="s">
        <v>9</v>
      </c>
      <c r="R3" s="129" t="s">
        <v>10</v>
      </c>
      <c r="S3" s="288" t="s">
        <v>9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</row>
    <row r="4" spans="1:49" s="119" customFormat="1" ht="23.25" customHeight="1">
      <c r="A4" s="120" t="s">
        <v>130</v>
      </c>
      <c r="B4" s="121"/>
      <c r="C4" s="289"/>
      <c r="D4" s="121"/>
      <c r="E4" s="289"/>
      <c r="F4" s="121"/>
      <c r="G4" s="297"/>
      <c r="H4" s="122"/>
      <c r="I4" s="297"/>
      <c r="J4" s="121"/>
      <c r="K4" s="297"/>
      <c r="L4" s="121"/>
      <c r="M4" s="297"/>
      <c r="N4" s="122"/>
      <c r="O4" s="297"/>
      <c r="P4" s="121"/>
      <c r="Q4" s="297"/>
      <c r="R4" s="120"/>
      <c r="S4" s="302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</row>
    <row r="5" spans="1:49" s="119" customFormat="1" ht="19.5" customHeight="1">
      <c r="A5" s="123" t="s">
        <v>81</v>
      </c>
      <c r="B5" s="166">
        <v>2</v>
      </c>
      <c r="C5" s="290">
        <v>129.6</v>
      </c>
      <c r="D5" s="166"/>
      <c r="E5" s="290"/>
      <c r="F5" s="166"/>
      <c r="G5" s="290"/>
      <c r="H5" s="166"/>
      <c r="I5" s="290"/>
      <c r="J5" s="166"/>
      <c r="K5" s="290"/>
      <c r="L5" s="166"/>
      <c r="M5" s="290"/>
      <c r="N5" s="166"/>
      <c r="O5" s="290"/>
      <c r="P5" s="166"/>
      <c r="Q5" s="290"/>
      <c r="R5" s="168">
        <f aca="true" t="shared" si="0" ref="R5:S7">SUM(B5,J5,N5,D5,F5,H5,L5,P5)</f>
        <v>2</v>
      </c>
      <c r="S5" s="711">
        <f t="shared" si="0"/>
        <v>129.6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 s="119" customFormat="1" ht="19.5" customHeight="1">
      <c r="A6" s="123" t="s">
        <v>82</v>
      </c>
      <c r="B6" s="166">
        <v>2</v>
      </c>
      <c r="C6" s="290">
        <v>126.2</v>
      </c>
      <c r="D6" s="166"/>
      <c r="E6" s="290"/>
      <c r="F6" s="166"/>
      <c r="G6" s="290"/>
      <c r="H6" s="166"/>
      <c r="I6" s="290"/>
      <c r="J6" s="166"/>
      <c r="K6" s="290"/>
      <c r="L6" s="166"/>
      <c r="M6" s="290"/>
      <c r="N6" s="166"/>
      <c r="O6" s="290"/>
      <c r="P6" s="166"/>
      <c r="Q6" s="290"/>
      <c r="R6" s="168">
        <f t="shared" si="0"/>
        <v>2</v>
      </c>
      <c r="S6" s="711">
        <f t="shared" si="0"/>
        <v>126.2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 s="119" customFormat="1" ht="19.5" customHeight="1">
      <c r="A7" s="125" t="s">
        <v>84</v>
      </c>
      <c r="B7" s="305">
        <v>2</v>
      </c>
      <c r="C7" s="306">
        <v>133.9</v>
      </c>
      <c r="D7" s="305"/>
      <c r="E7" s="306"/>
      <c r="F7" s="305"/>
      <c r="G7" s="306"/>
      <c r="H7" s="305"/>
      <c r="I7" s="306"/>
      <c r="J7" s="305"/>
      <c r="K7" s="306"/>
      <c r="L7" s="305"/>
      <c r="M7" s="306"/>
      <c r="N7" s="305"/>
      <c r="O7" s="306"/>
      <c r="P7" s="305"/>
      <c r="Q7" s="306"/>
      <c r="R7" s="168">
        <f t="shared" si="0"/>
        <v>2</v>
      </c>
      <c r="S7" s="711">
        <f t="shared" si="0"/>
        <v>133.9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1:49" s="119" customFormat="1" ht="23.25" customHeight="1">
      <c r="A8" s="124" t="s">
        <v>15</v>
      </c>
      <c r="B8" s="171"/>
      <c r="C8" s="291"/>
      <c r="D8" s="171"/>
      <c r="E8" s="291"/>
      <c r="F8" s="171"/>
      <c r="G8" s="291"/>
      <c r="H8" s="171"/>
      <c r="I8" s="291"/>
      <c r="J8" s="171"/>
      <c r="K8" s="291"/>
      <c r="L8" s="171"/>
      <c r="M8" s="291"/>
      <c r="N8" s="171"/>
      <c r="O8" s="291"/>
      <c r="P8" s="171"/>
      <c r="Q8" s="291"/>
      <c r="R8" s="169"/>
      <c r="S8" s="304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49" s="119" customFormat="1" ht="19.5" customHeight="1">
      <c r="A9" s="123" t="s">
        <v>90</v>
      </c>
      <c r="B9" s="166">
        <v>6</v>
      </c>
      <c r="C9" s="290">
        <v>541.2</v>
      </c>
      <c r="D9" s="166"/>
      <c r="E9" s="290"/>
      <c r="F9" s="166"/>
      <c r="G9" s="290"/>
      <c r="H9" s="166"/>
      <c r="I9" s="290"/>
      <c r="J9" s="166">
        <v>2</v>
      </c>
      <c r="K9" s="290">
        <v>294.7</v>
      </c>
      <c r="L9" s="166"/>
      <c r="M9" s="290"/>
      <c r="N9" s="166"/>
      <c r="O9" s="290"/>
      <c r="P9" s="166"/>
      <c r="Q9" s="290"/>
      <c r="R9" s="168">
        <f aca="true" t="shared" si="1" ref="R9:S11">SUM(B9,J9,N9,D9,F9,H9,L9,P9)</f>
        <v>8</v>
      </c>
      <c r="S9" s="711">
        <f t="shared" si="1"/>
        <v>835.9000000000001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49" s="119" customFormat="1" ht="19.5" customHeight="1">
      <c r="A10" s="123" t="s">
        <v>91</v>
      </c>
      <c r="B10" s="166">
        <v>3</v>
      </c>
      <c r="C10" s="290">
        <v>303.3</v>
      </c>
      <c r="D10" s="166"/>
      <c r="E10" s="290"/>
      <c r="F10" s="166"/>
      <c r="G10" s="290"/>
      <c r="H10" s="166"/>
      <c r="I10" s="290"/>
      <c r="J10" s="166">
        <v>1</v>
      </c>
      <c r="K10" s="290">
        <v>148.3</v>
      </c>
      <c r="L10" s="166"/>
      <c r="M10" s="290"/>
      <c r="N10" s="166"/>
      <c r="O10" s="290"/>
      <c r="P10" s="166"/>
      <c r="Q10" s="290"/>
      <c r="R10" s="168">
        <f t="shared" si="1"/>
        <v>4</v>
      </c>
      <c r="S10" s="711">
        <f t="shared" si="1"/>
        <v>451.6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</row>
    <row r="11" spans="1:49" s="119" customFormat="1" ht="19.5" customHeight="1">
      <c r="A11" s="16" t="s">
        <v>86</v>
      </c>
      <c r="B11" s="305">
        <v>3</v>
      </c>
      <c r="C11" s="306">
        <v>272.8</v>
      </c>
      <c r="D11" s="305"/>
      <c r="E11" s="306"/>
      <c r="F11" s="305"/>
      <c r="G11" s="306"/>
      <c r="H11" s="305"/>
      <c r="I11" s="306"/>
      <c r="J11" s="305"/>
      <c r="K11" s="306"/>
      <c r="L11" s="305">
        <v>1</v>
      </c>
      <c r="M11" s="306">
        <v>95</v>
      </c>
      <c r="N11" s="305"/>
      <c r="O11" s="306"/>
      <c r="P11" s="305">
        <v>2</v>
      </c>
      <c r="Q11" s="306">
        <v>315.8</v>
      </c>
      <c r="R11" s="307">
        <f t="shared" si="1"/>
        <v>6</v>
      </c>
      <c r="S11" s="712">
        <f t="shared" si="1"/>
        <v>683.6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</row>
    <row r="12" spans="1:49" s="119" customFormat="1" ht="23.25" customHeight="1">
      <c r="A12" s="126" t="s">
        <v>356</v>
      </c>
      <c r="B12" s="165"/>
      <c r="C12" s="292"/>
      <c r="D12" s="165"/>
      <c r="E12" s="292"/>
      <c r="F12" s="165"/>
      <c r="G12" s="292"/>
      <c r="H12" s="165"/>
      <c r="I12" s="292"/>
      <c r="J12" s="165"/>
      <c r="K12" s="292"/>
      <c r="L12" s="165"/>
      <c r="M12" s="292"/>
      <c r="N12" s="165"/>
      <c r="O12" s="292"/>
      <c r="P12" s="165"/>
      <c r="Q12" s="292"/>
      <c r="R12" s="168"/>
      <c r="S12" s="30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1:49" s="119" customFormat="1" ht="20.25" customHeight="1">
      <c r="A13" s="123" t="s">
        <v>92</v>
      </c>
      <c r="B13" s="166">
        <v>7</v>
      </c>
      <c r="C13" s="290">
        <v>640.9</v>
      </c>
      <c r="D13" s="166">
        <v>2</v>
      </c>
      <c r="E13" s="290">
        <v>347.4</v>
      </c>
      <c r="F13" s="166"/>
      <c r="G13" s="290"/>
      <c r="H13" s="166"/>
      <c r="I13" s="290"/>
      <c r="J13" s="166"/>
      <c r="K13" s="290"/>
      <c r="L13" s="166">
        <v>2</v>
      </c>
      <c r="M13" s="290">
        <v>223.1</v>
      </c>
      <c r="N13" s="166">
        <v>2</v>
      </c>
      <c r="O13" s="290">
        <v>243.2</v>
      </c>
      <c r="P13" s="166">
        <v>2</v>
      </c>
      <c r="Q13" s="290">
        <v>318.5</v>
      </c>
      <c r="R13" s="168">
        <f aca="true" t="shared" si="2" ref="R13:R21">SUM(B13,J13,N13,D13,F13,H13,L13,P13)</f>
        <v>15</v>
      </c>
      <c r="S13" s="711">
        <f aca="true" t="shared" si="3" ref="S13:S21">SUM(C13,K13,O13,E13,G13,I13,M13,Q13)</f>
        <v>1773.1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1:49" s="119" customFormat="1" ht="20.25" customHeight="1">
      <c r="A14" s="123" t="s">
        <v>114</v>
      </c>
      <c r="B14" s="166"/>
      <c r="C14" s="290"/>
      <c r="D14" s="166"/>
      <c r="E14" s="290"/>
      <c r="F14" s="166"/>
      <c r="G14" s="290"/>
      <c r="H14" s="166">
        <v>1</v>
      </c>
      <c r="I14" s="290">
        <v>106.7</v>
      </c>
      <c r="J14" s="166"/>
      <c r="K14" s="290"/>
      <c r="L14" s="166"/>
      <c r="M14" s="290"/>
      <c r="N14" s="166"/>
      <c r="O14" s="290"/>
      <c r="P14" s="166"/>
      <c r="Q14" s="290"/>
      <c r="R14" s="168">
        <f t="shared" si="2"/>
        <v>1</v>
      </c>
      <c r="S14" s="711">
        <f t="shared" si="3"/>
        <v>106.7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</row>
    <row r="15" spans="1:49" s="119" customFormat="1" ht="20.25" customHeight="1">
      <c r="A15" s="123" t="s">
        <v>115</v>
      </c>
      <c r="B15" s="166">
        <v>1</v>
      </c>
      <c r="C15" s="290">
        <v>223.8</v>
      </c>
      <c r="D15" s="166"/>
      <c r="E15" s="290"/>
      <c r="F15" s="166"/>
      <c r="G15" s="290"/>
      <c r="H15" s="166">
        <v>1</v>
      </c>
      <c r="I15" s="290">
        <v>103.2</v>
      </c>
      <c r="J15" s="166">
        <v>3</v>
      </c>
      <c r="K15" s="290">
        <v>552.8</v>
      </c>
      <c r="L15" s="166">
        <v>2</v>
      </c>
      <c r="M15" s="290">
        <v>260.4</v>
      </c>
      <c r="N15" s="166">
        <v>1</v>
      </c>
      <c r="O15" s="290">
        <v>157.2</v>
      </c>
      <c r="P15" s="166">
        <v>1</v>
      </c>
      <c r="Q15" s="290">
        <v>191.7</v>
      </c>
      <c r="R15" s="168">
        <f t="shared" si="2"/>
        <v>9</v>
      </c>
      <c r="S15" s="711">
        <f t="shared" si="3"/>
        <v>1489.1000000000001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1:49" s="119" customFormat="1" ht="20.25" customHeight="1">
      <c r="A16" s="123" t="s">
        <v>116</v>
      </c>
      <c r="B16" s="166">
        <v>3</v>
      </c>
      <c r="C16" s="290">
        <v>436.7</v>
      </c>
      <c r="D16" s="166"/>
      <c r="E16" s="290"/>
      <c r="F16" s="166"/>
      <c r="G16" s="290"/>
      <c r="H16" s="166"/>
      <c r="I16" s="290"/>
      <c r="J16" s="166"/>
      <c r="K16" s="290"/>
      <c r="L16" s="166">
        <v>1</v>
      </c>
      <c r="M16" s="290">
        <v>160.2</v>
      </c>
      <c r="N16" s="166">
        <v>1</v>
      </c>
      <c r="O16" s="290">
        <v>131</v>
      </c>
      <c r="P16" s="166">
        <v>1</v>
      </c>
      <c r="Q16" s="290">
        <v>61.7</v>
      </c>
      <c r="R16" s="168">
        <f t="shared" si="2"/>
        <v>6</v>
      </c>
      <c r="S16" s="711">
        <f t="shared" si="3"/>
        <v>789.6000000000001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119" customFormat="1" ht="20.25" customHeight="1">
      <c r="A17" s="123" t="s">
        <v>93</v>
      </c>
      <c r="B17" s="166">
        <v>6</v>
      </c>
      <c r="C17" s="290">
        <v>771.4</v>
      </c>
      <c r="D17" s="166"/>
      <c r="E17" s="290"/>
      <c r="F17" s="166"/>
      <c r="G17" s="290"/>
      <c r="H17" s="166"/>
      <c r="I17" s="290"/>
      <c r="J17" s="166">
        <v>1</v>
      </c>
      <c r="K17" s="290">
        <v>153.7</v>
      </c>
      <c r="L17" s="166">
        <v>2</v>
      </c>
      <c r="M17" s="290">
        <v>73.2</v>
      </c>
      <c r="N17" s="166">
        <v>1</v>
      </c>
      <c r="O17" s="290">
        <v>118.4</v>
      </c>
      <c r="P17" s="166"/>
      <c r="Q17" s="290"/>
      <c r="R17" s="168">
        <f t="shared" si="2"/>
        <v>10</v>
      </c>
      <c r="S17" s="711">
        <f t="shared" si="3"/>
        <v>1116.7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119" customFormat="1" ht="20.25" customHeight="1">
      <c r="A18" s="123" t="s">
        <v>293</v>
      </c>
      <c r="B18" s="166"/>
      <c r="C18" s="290"/>
      <c r="D18" s="166"/>
      <c r="E18" s="290"/>
      <c r="F18" s="166"/>
      <c r="G18" s="290"/>
      <c r="H18" s="166"/>
      <c r="I18" s="290"/>
      <c r="J18" s="166">
        <v>1</v>
      </c>
      <c r="K18" s="290">
        <v>155.6</v>
      </c>
      <c r="L18" s="166"/>
      <c r="M18" s="290"/>
      <c r="N18" s="166"/>
      <c r="O18" s="290"/>
      <c r="P18" s="166"/>
      <c r="Q18" s="290"/>
      <c r="R18" s="168">
        <f t="shared" si="2"/>
        <v>1</v>
      </c>
      <c r="S18" s="711">
        <f t="shared" si="3"/>
        <v>155.6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119" customFormat="1" ht="20.25" customHeight="1">
      <c r="A19" s="123" t="s">
        <v>117</v>
      </c>
      <c r="B19" s="166">
        <v>3</v>
      </c>
      <c r="C19" s="290">
        <v>281.6</v>
      </c>
      <c r="D19" s="166">
        <v>2</v>
      </c>
      <c r="E19" s="290">
        <v>253.3</v>
      </c>
      <c r="F19" s="166"/>
      <c r="G19" s="290"/>
      <c r="H19" s="166"/>
      <c r="I19" s="290"/>
      <c r="J19" s="166"/>
      <c r="K19" s="290"/>
      <c r="L19" s="166">
        <v>2</v>
      </c>
      <c r="M19" s="290">
        <v>217.1</v>
      </c>
      <c r="N19" s="166">
        <v>3</v>
      </c>
      <c r="O19" s="290">
        <v>364.4</v>
      </c>
      <c r="P19" s="166"/>
      <c r="Q19" s="290"/>
      <c r="R19" s="168">
        <f t="shared" si="2"/>
        <v>10</v>
      </c>
      <c r="S19" s="711">
        <f t="shared" si="3"/>
        <v>1116.3999999999999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 s="119" customFormat="1" ht="20.25" customHeight="1">
      <c r="A20" s="123" t="s">
        <v>352</v>
      </c>
      <c r="B20" s="166"/>
      <c r="C20" s="290"/>
      <c r="D20" s="166"/>
      <c r="E20" s="290"/>
      <c r="F20" s="166"/>
      <c r="G20" s="290"/>
      <c r="H20" s="166">
        <v>1</v>
      </c>
      <c r="I20" s="290">
        <v>106.8</v>
      </c>
      <c r="J20" s="166"/>
      <c r="K20" s="290"/>
      <c r="L20" s="166">
        <v>1</v>
      </c>
      <c r="M20" s="290">
        <v>141</v>
      </c>
      <c r="N20" s="166"/>
      <c r="O20" s="290"/>
      <c r="P20" s="166"/>
      <c r="Q20" s="290"/>
      <c r="R20" s="168">
        <f t="shared" si="2"/>
        <v>2</v>
      </c>
      <c r="S20" s="711">
        <f t="shared" si="3"/>
        <v>247.8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</row>
    <row r="21" spans="1:49" s="671" customFormat="1" ht="20.25" customHeight="1">
      <c r="A21" s="125" t="s">
        <v>94</v>
      </c>
      <c r="B21" s="305">
        <v>6</v>
      </c>
      <c r="C21" s="306">
        <v>789.2</v>
      </c>
      <c r="D21" s="305"/>
      <c r="E21" s="306"/>
      <c r="F21" s="305"/>
      <c r="G21" s="306"/>
      <c r="H21" s="305"/>
      <c r="I21" s="306"/>
      <c r="J21" s="305">
        <v>4</v>
      </c>
      <c r="K21" s="306">
        <v>597</v>
      </c>
      <c r="L21" s="305">
        <v>4</v>
      </c>
      <c r="M21" s="306">
        <v>386.1</v>
      </c>
      <c r="N21" s="305">
        <v>3</v>
      </c>
      <c r="O21" s="306">
        <v>338.4</v>
      </c>
      <c r="P21" s="305">
        <v>5</v>
      </c>
      <c r="Q21" s="306">
        <v>763.1</v>
      </c>
      <c r="R21" s="307">
        <f t="shared" si="2"/>
        <v>22</v>
      </c>
      <c r="S21" s="712">
        <f t="shared" si="3"/>
        <v>2873.7999999999997</v>
      </c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</row>
    <row r="22" spans="1:49" s="119" customFormat="1" ht="20.25" customHeight="1">
      <c r="A22" s="126" t="s">
        <v>357</v>
      </c>
      <c r="B22" s="170"/>
      <c r="C22" s="292"/>
      <c r="D22" s="170"/>
      <c r="E22" s="292"/>
      <c r="F22" s="170"/>
      <c r="G22" s="292"/>
      <c r="H22" s="170"/>
      <c r="I22" s="292"/>
      <c r="J22" s="170"/>
      <c r="K22" s="292"/>
      <c r="L22" s="170"/>
      <c r="M22" s="292"/>
      <c r="N22" s="170"/>
      <c r="O22" s="292"/>
      <c r="P22" s="170"/>
      <c r="Q22" s="292"/>
      <c r="R22" s="167"/>
      <c r="S22" s="29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710" customFormat="1" ht="20.25" customHeight="1">
      <c r="A23" s="123" t="s">
        <v>184</v>
      </c>
      <c r="B23" s="166"/>
      <c r="C23" s="290"/>
      <c r="D23" s="166"/>
      <c r="E23" s="290"/>
      <c r="F23" s="166"/>
      <c r="G23" s="290"/>
      <c r="H23" s="166"/>
      <c r="I23" s="290"/>
      <c r="J23" s="166"/>
      <c r="K23" s="290"/>
      <c r="L23" s="166">
        <v>1</v>
      </c>
      <c r="M23" s="290">
        <v>211.9</v>
      </c>
      <c r="N23" s="166"/>
      <c r="O23" s="290"/>
      <c r="P23" s="166">
        <v>1</v>
      </c>
      <c r="Q23" s="290">
        <v>239</v>
      </c>
      <c r="R23" s="168">
        <f aca="true" t="shared" si="4" ref="R23:S25">SUM(B23,J23,N23,D23,F23,H23,L23,P23)</f>
        <v>2</v>
      </c>
      <c r="S23" s="711">
        <f t="shared" si="4"/>
        <v>450.9</v>
      </c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</row>
    <row r="24" spans="1:49" s="710" customFormat="1" ht="20.25" customHeight="1">
      <c r="A24" s="123" t="s">
        <v>145</v>
      </c>
      <c r="B24" s="166">
        <v>1</v>
      </c>
      <c r="C24" s="290">
        <v>173.5</v>
      </c>
      <c r="D24" s="166"/>
      <c r="E24" s="290"/>
      <c r="F24" s="166"/>
      <c r="G24" s="290"/>
      <c r="H24" s="166">
        <v>1</v>
      </c>
      <c r="I24" s="290">
        <v>209.6</v>
      </c>
      <c r="J24" s="166"/>
      <c r="K24" s="290"/>
      <c r="L24" s="166"/>
      <c r="M24" s="290"/>
      <c r="N24" s="166">
        <v>1</v>
      </c>
      <c r="O24" s="290">
        <v>253.6</v>
      </c>
      <c r="P24" s="166"/>
      <c r="Q24" s="290"/>
      <c r="R24" s="168">
        <f t="shared" si="4"/>
        <v>3</v>
      </c>
      <c r="S24" s="711">
        <f t="shared" si="4"/>
        <v>636.7</v>
      </c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</row>
    <row r="25" spans="1:49" s="710" customFormat="1" ht="20.25" customHeight="1">
      <c r="A25" s="123" t="s">
        <v>259</v>
      </c>
      <c r="B25" s="166">
        <v>3</v>
      </c>
      <c r="C25" s="290">
        <v>819.2</v>
      </c>
      <c r="D25" s="166">
        <v>2</v>
      </c>
      <c r="E25" s="290">
        <v>580</v>
      </c>
      <c r="F25" s="166"/>
      <c r="G25" s="290"/>
      <c r="H25" s="166"/>
      <c r="I25" s="290"/>
      <c r="J25" s="166"/>
      <c r="K25" s="290"/>
      <c r="L25" s="166">
        <v>3</v>
      </c>
      <c r="M25" s="290">
        <v>750.5</v>
      </c>
      <c r="N25" s="166"/>
      <c r="O25" s="290"/>
      <c r="P25" s="166">
        <v>2</v>
      </c>
      <c r="Q25" s="290">
        <v>724.4</v>
      </c>
      <c r="R25" s="168">
        <f t="shared" si="4"/>
        <v>10</v>
      </c>
      <c r="S25" s="711">
        <f t="shared" si="4"/>
        <v>2874.1</v>
      </c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</row>
    <row r="26" spans="1:49" s="710" customFormat="1" ht="20.25" customHeight="1">
      <c r="A26" s="125" t="s">
        <v>355</v>
      </c>
      <c r="B26" s="305">
        <v>1</v>
      </c>
      <c r="C26" s="306">
        <v>323.1</v>
      </c>
      <c r="D26" s="305"/>
      <c r="E26" s="306"/>
      <c r="F26" s="305"/>
      <c r="G26" s="306"/>
      <c r="H26" s="305"/>
      <c r="I26" s="306"/>
      <c r="J26" s="305"/>
      <c r="K26" s="306"/>
      <c r="L26" s="305"/>
      <c r="M26" s="306"/>
      <c r="N26" s="305"/>
      <c r="O26" s="306"/>
      <c r="P26" s="305"/>
      <c r="Q26" s="306"/>
      <c r="R26" s="307">
        <f>SUM(B26,J26,N26,D26,F26,H26,L26,P26)</f>
        <v>1</v>
      </c>
      <c r="S26" s="712">
        <f>SUM(C26,K26,O26,E26,G26,I26,M26,Q26)</f>
        <v>323.1</v>
      </c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</row>
    <row r="27" spans="1:49" s="119" customFormat="1" ht="23.25" customHeight="1">
      <c r="A27" s="126" t="s">
        <v>358</v>
      </c>
      <c r="B27" s="166"/>
      <c r="C27" s="290"/>
      <c r="D27" s="166"/>
      <c r="E27" s="290"/>
      <c r="F27" s="166"/>
      <c r="G27" s="290"/>
      <c r="H27" s="166"/>
      <c r="I27" s="290"/>
      <c r="J27" s="166"/>
      <c r="K27" s="290"/>
      <c r="L27" s="166"/>
      <c r="M27" s="290"/>
      <c r="N27" s="166"/>
      <c r="O27" s="290"/>
      <c r="P27" s="166"/>
      <c r="Q27" s="290"/>
      <c r="R27" s="166"/>
      <c r="S27" s="29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1:49" s="119" customFormat="1" ht="20.25" customHeight="1">
      <c r="A28" s="123" t="s">
        <v>348</v>
      </c>
      <c r="B28" s="166">
        <v>1</v>
      </c>
      <c r="C28" s="290">
        <v>124</v>
      </c>
      <c r="D28" s="166"/>
      <c r="E28" s="290"/>
      <c r="F28" s="166"/>
      <c r="G28" s="290"/>
      <c r="H28" s="166"/>
      <c r="I28" s="290"/>
      <c r="J28" s="166"/>
      <c r="K28" s="290"/>
      <c r="L28" s="166"/>
      <c r="M28" s="290"/>
      <c r="N28" s="166"/>
      <c r="O28" s="290"/>
      <c r="P28" s="166"/>
      <c r="Q28" s="290"/>
      <c r="R28" s="168">
        <f aca="true" t="shared" si="5" ref="R28:R33">SUM(B28,J28,N28,D28,F28,H28,L28,P28)</f>
        <v>1</v>
      </c>
      <c r="S28" s="711">
        <f aca="true" t="shared" si="6" ref="S28:S33">SUM(C28,K28,O28,E28,G28,I28,M28,Q28)</f>
        <v>124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</row>
    <row r="29" spans="1:49" s="119" customFormat="1" ht="20.25" customHeight="1">
      <c r="A29" s="123" t="s">
        <v>202</v>
      </c>
      <c r="B29" s="166"/>
      <c r="C29" s="290"/>
      <c r="D29" s="166"/>
      <c r="E29" s="290"/>
      <c r="F29" s="166"/>
      <c r="G29" s="290"/>
      <c r="H29" s="166"/>
      <c r="I29" s="290"/>
      <c r="J29" s="166">
        <v>1</v>
      </c>
      <c r="K29" s="290">
        <v>233.6</v>
      </c>
      <c r="L29" s="166"/>
      <c r="M29" s="290"/>
      <c r="N29" s="166"/>
      <c r="O29" s="290"/>
      <c r="P29" s="166"/>
      <c r="Q29" s="290"/>
      <c r="R29" s="168">
        <f t="shared" si="5"/>
        <v>1</v>
      </c>
      <c r="S29" s="711">
        <f t="shared" si="6"/>
        <v>233.6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</row>
    <row r="30" spans="1:49" s="119" customFormat="1" ht="20.25" customHeight="1">
      <c r="A30" s="123" t="s">
        <v>118</v>
      </c>
      <c r="B30" s="166">
        <v>2</v>
      </c>
      <c r="C30" s="290">
        <v>384.4</v>
      </c>
      <c r="D30" s="166"/>
      <c r="E30" s="290"/>
      <c r="F30" s="166"/>
      <c r="G30" s="290"/>
      <c r="H30" s="166"/>
      <c r="I30" s="290"/>
      <c r="J30" s="166"/>
      <c r="K30" s="290"/>
      <c r="L30" s="166"/>
      <c r="M30" s="290"/>
      <c r="N30" s="166"/>
      <c r="O30" s="290"/>
      <c r="P30" s="166"/>
      <c r="Q30" s="290"/>
      <c r="R30" s="168">
        <f t="shared" si="5"/>
        <v>2</v>
      </c>
      <c r="S30" s="711">
        <f t="shared" si="6"/>
        <v>384.4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</row>
    <row r="31" spans="1:49" s="119" customFormat="1" ht="20.25" customHeight="1">
      <c r="A31" s="123" t="s">
        <v>256</v>
      </c>
      <c r="B31" s="166"/>
      <c r="C31" s="290"/>
      <c r="D31" s="166"/>
      <c r="E31" s="290"/>
      <c r="F31" s="166"/>
      <c r="G31" s="290"/>
      <c r="H31" s="166">
        <v>1</v>
      </c>
      <c r="I31" s="290">
        <v>121.5</v>
      </c>
      <c r="J31" s="166"/>
      <c r="K31" s="290"/>
      <c r="L31" s="166">
        <v>1</v>
      </c>
      <c r="M31" s="290">
        <v>189.8</v>
      </c>
      <c r="N31" s="166"/>
      <c r="O31" s="290"/>
      <c r="P31" s="166"/>
      <c r="Q31" s="290"/>
      <c r="R31" s="168">
        <f>SUM(B31,J31,N31,D31,F31,H31,L31,P31)</f>
        <v>2</v>
      </c>
      <c r="S31" s="711">
        <f>SUM(C31,K31,O31,E31,G31,I31,M31,Q31)</f>
        <v>311.3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</row>
    <row r="32" spans="1:49" s="119" customFormat="1" ht="20.25" customHeight="1">
      <c r="A32" s="123" t="s">
        <v>227</v>
      </c>
      <c r="B32" s="166">
        <v>7</v>
      </c>
      <c r="C32" s="290">
        <v>1111.3</v>
      </c>
      <c r="D32" s="166"/>
      <c r="E32" s="290"/>
      <c r="F32" s="166"/>
      <c r="G32" s="290"/>
      <c r="H32" s="166"/>
      <c r="I32" s="290"/>
      <c r="J32" s="166"/>
      <c r="K32" s="290"/>
      <c r="L32" s="166"/>
      <c r="M32" s="290"/>
      <c r="N32" s="166"/>
      <c r="O32" s="290"/>
      <c r="P32" s="166">
        <v>2</v>
      </c>
      <c r="Q32" s="290">
        <v>542.6</v>
      </c>
      <c r="R32" s="168">
        <f>SUM(B32,J32,N32,D32,F32,H32,L32,P32)</f>
        <v>9</v>
      </c>
      <c r="S32" s="711">
        <f>SUM(C32,K32,O32,E32,G32,I32,M32,Q32)</f>
        <v>1653.9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</row>
    <row r="33" spans="1:49" s="119" customFormat="1" ht="20.25" customHeight="1">
      <c r="A33" s="123" t="s">
        <v>120</v>
      </c>
      <c r="B33" s="166">
        <v>1</v>
      </c>
      <c r="C33" s="290">
        <v>195.4</v>
      </c>
      <c r="D33" s="166"/>
      <c r="E33" s="290"/>
      <c r="F33" s="166"/>
      <c r="G33" s="290"/>
      <c r="H33" s="166"/>
      <c r="I33" s="290"/>
      <c r="J33" s="166"/>
      <c r="K33" s="290"/>
      <c r="L33" s="166"/>
      <c r="M33" s="290"/>
      <c r="N33" s="166"/>
      <c r="O33" s="290"/>
      <c r="P33" s="166"/>
      <c r="Q33" s="290"/>
      <c r="R33" s="168">
        <f t="shared" si="5"/>
        <v>1</v>
      </c>
      <c r="S33" s="711">
        <f t="shared" si="6"/>
        <v>195.4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</row>
    <row r="34" spans="1:49" s="119" customFormat="1" ht="20.25" customHeight="1">
      <c r="A34" s="123" t="s">
        <v>228</v>
      </c>
      <c r="B34" s="166"/>
      <c r="C34" s="290"/>
      <c r="D34" s="166"/>
      <c r="E34" s="290"/>
      <c r="F34" s="166"/>
      <c r="G34" s="290"/>
      <c r="H34" s="166"/>
      <c r="I34" s="290"/>
      <c r="J34" s="166">
        <v>1</v>
      </c>
      <c r="K34" s="290">
        <v>234.6</v>
      </c>
      <c r="L34" s="166">
        <v>2</v>
      </c>
      <c r="M34" s="290">
        <v>388.7</v>
      </c>
      <c r="N34" s="166"/>
      <c r="O34" s="290"/>
      <c r="P34" s="166"/>
      <c r="Q34" s="290"/>
      <c r="R34" s="168">
        <f aca="true" t="shared" si="7" ref="R34:S36">SUM(B34,J34,N34,D34,F34,H34,L34,P34)</f>
        <v>3</v>
      </c>
      <c r="S34" s="711">
        <f t="shared" si="7"/>
        <v>623.3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49" s="119" customFormat="1" ht="20.25" customHeight="1">
      <c r="A35" s="123" t="s">
        <v>257</v>
      </c>
      <c r="B35" s="166"/>
      <c r="C35" s="290"/>
      <c r="D35" s="166"/>
      <c r="E35" s="290"/>
      <c r="F35" s="166"/>
      <c r="G35" s="290"/>
      <c r="H35" s="166"/>
      <c r="I35" s="290"/>
      <c r="J35" s="166">
        <v>1</v>
      </c>
      <c r="K35" s="290">
        <v>210.1</v>
      </c>
      <c r="L35" s="166">
        <v>1</v>
      </c>
      <c r="M35" s="290">
        <v>148.8</v>
      </c>
      <c r="N35" s="166">
        <v>1</v>
      </c>
      <c r="O35" s="290">
        <v>171.9</v>
      </c>
      <c r="P35" s="166"/>
      <c r="Q35" s="290"/>
      <c r="R35" s="168">
        <f t="shared" si="7"/>
        <v>3</v>
      </c>
      <c r="S35" s="711">
        <f t="shared" si="7"/>
        <v>530.8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</row>
    <row r="36" spans="1:49" s="119" customFormat="1" ht="20.25" customHeight="1">
      <c r="A36" s="125" t="s">
        <v>173</v>
      </c>
      <c r="B36" s="305">
        <v>1</v>
      </c>
      <c r="C36" s="306">
        <v>18.6</v>
      </c>
      <c r="D36" s="305"/>
      <c r="E36" s="306"/>
      <c r="F36" s="305"/>
      <c r="G36" s="306"/>
      <c r="H36" s="305">
        <v>1</v>
      </c>
      <c r="I36" s="306">
        <v>150.1</v>
      </c>
      <c r="J36" s="305"/>
      <c r="K36" s="306"/>
      <c r="L36" s="305"/>
      <c r="M36" s="306"/>
      <c r="N36" s="305"/>
      <c r="O36" s="306"/>
      <c r="P36" s="305"/>
      <c r="Q36" s="306"/>
      <c r="R36" s="307">
        <f t="shared" si="7"/>
        <v>2</v>
      </c>
      <c r="S36" s="712">
        <f t="shared" si="7"/>
        <v>168.7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</row>
    <row r="37" spans="1:49" s="119" customFormat="1" ht="20.25" customHeight="1">
      <c r="A37" s="126" t="s">
        <v>359</v>
      </c>
      <c r="B37" s="166"/>
      <c r="C37" s="290"/>
      <c r="D37" s="166"/>
      <c r="E37" s="290"/>
      <c r="F37" s="166"/>
      <c r="G37" s="290"/>
      <c r="H37" s="166"/>
      <c r="I37" s="290"/>
      <c r="J37" s="166"/>
      <c r="K37" s="290"/>
      <c r="L37" s="166"/>
      <c r="M37" s="290"/>
      <c r="N37" s="166"/>
      <c r="O37" s="290"/>
      <c r="P37" s="166"/>
      <c r="Q37" s="290"/>
      <c r="R37" s="168"/>
      <c r="S37" s="303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</row>
    <row r="38" spans="1:49" s="710" customFormat="1" ht="20.25" customHeight="1">
      <c r="A38" s="10" t="s">
        <v>353</v>
      </c>
      <c r="B38" s="166">
        <v>1</v>
      </c>
      <c r="C38" s="290">
        <v>111.1</v>
      </c>
      <c r="D38" s="166"/>
      <c r="E38" s="290"/>
      <c r="F38" s="166"/>
      <c r="G38" s="290"/>
      <c r="H38" s="166"/>
      <c r="I38" s="290"/>
      <c r="J38" s="166"/>
      <c r="K38" s="290"/>
      <c r="L38" s="166"/>
      <c r="M38" s="290"/>
      <c r="N38" s="166"/>
      <c r="O38" s="290"/>
      <c r="P38" s="166"/>
      <c r="Q38" s="290"/>
      <c r="R38" s="168">
        <f>SUM(B38,J38,N38,D38,F38,H38,L38,P38)</f>
        <v>1</v>
      </c>
      <c r="S38" s="711">
        <f>SUM(C38,K38,O38,E38,G38,I38,M38,Q38)</f>
        <v>111.1</v>
      </c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</row>
    <row r="39" spans="1:49" s="119" customFormat="1" ht="20.25" customHeight="1">
      <c r="A39" s="16" t="s">
        <v>354</v>
      </c>
      <c r="B39" s="305"/>
      <c r="C39" s="306"/>
      <c r="D39" s="305">
        <v>1</v>
      </c>
      <c r="E39" s="306">
        <v>192.8</v>
      </c>
      <c r="F39" s="305"/>
      <c r="G39" s="306"/>
      <c r="H39" s="305"/>
      <c r="I39" s="306"/>
      <c r="J39" s="305"/>
      <c r="K39" s="306"/>
      <c r="L39" s="305">
        <v>1</v>
      </c>
      <c r="M39" s="306">
        <v>152.5</v>
      </c>
      <c r="N39" s="305"/>
      <c r="O39" s="306"/>
      <c r="P39" s="305"/>
      <c r="Q39" s="306"/>
      <c r="R39" s="307">
        <f>SUM(B39,J39,N39,D39,F39,H39,L39,P39)</f>
        <v>2</v>
      </c>
      <c r="S39" s="712">
        <f>SUM(C39,K39,O39,E39,G39,I39,M39,Q39)</f>
        <v>345.3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</row>
    <row r="40" spans="1:49" s="119" customFormat="1" ht="20.25" customHeight="1">
      <c r="A40" s="126" t="s">
        <v>360</v>
      </c>
      <c r="B40" s="166"/>
      <c r="C40" s="290"/>
      <c r="D40" s="166"/>
      <c r="E40" s="290"/>
      <c r="F40" s="166"/>
      <c r="G40" s="290"/>
      <c r="H40" s="166"/>
      <c r="I40" s="290"/>
      <c r="J40" s="166"/>
      <c r="K40" s="290"/>
      <c r="L40" s="166"/>
      <c r="M40" s="290"/>
      <c r="N40" s="166"/>
      <c r="O40" s="290"/>
      <c r="P40" s="166"/>
      <c r="Q40" s="290"/>
      <c r="R40" s="168"/>
      <c r="S40" s="711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119" customFormat="1" ht="20.25" customHeight="1">
      <c r="A41" s="16" t="s">
        <v>350</v>
      </c>
      <c r="B41" s="305">
        <v>1</v>
      </c>
      <c r="C41" s="306">
        <v>150.7</v>
      </c>
      <c r="D41" s="305"/>
      <c r="E41" s="306"/>
      <c r="F41" s="305"/>
      <c r="G41" s="306"/>
      <c r="H41" s="305">
        <v>1</v>
      </c>
      <c r="I41" s="306">
        <v>122.1</v>
      </c>
      <c r="J41" s="305"/>
      <c r="K41" s="306"/>
      <c r="L41" s="305"/>
      <c r="M41" s="306"/>
      <c r="N41" s="305"/>
      <c r="O41" s="306"/>
      <c r="P41" s="305"/>
      <c r="Q41" s="306"/>
      <c r="R41" s="307">
        <f>SUM(B41,J41,N41,D41,F41,H41,L41,P41)</f>
        <v>2</v>
      </c>
      <c r="S41" s="712">
        <f>SUM(C41,K41,O41,E41,G41,I41,M41,Q41)</f>
        <v>272.79999999999995</v>
      </c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119" customFormat="1" ht="20.25" customHeight="1">
      <c r="A42" s="126" t="s">
        <v>137</v>
      </c>
      <c r="B42" s="166"/>
      <c r="C42" s="290"/>
      <c r="D42" s="166"/>
      <c r="E42" s="290"/>
      <c r="F42" s="166"/>
      <c r="G42" s="290"/>
      <c r="H42" s="166"/>
      <c r="I42" s="290"/>
      <c r="J42" s="166"/>
      <c r="K42" s="290"/>
      <c r="L42" s="166"/>
      <c r="M42" s="290"/>
      <c r="N42" s="166"/>
      <c r="O42" s="290"/>
      <c r="P42" s="166"/>
      <c r="Q42" s="290"/>
      <c r="R42" s="168"/>
      <c r="S42" s="303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119" customFormat="1" ht="20.25" customHeight="1">
      <c r="A43" s="123" t="s">
        <v>182</v>
      </c>
      <c r="B43" s="166"/>
      <c r="C43" s="290"/>
      <c r="D43" s="166">
        <v>1</v>
      </c>
      <c r="E43" s="290">
        <v>315.5</v>
      </c>
      <c r="F43" s="166"/>
      <c r="G43" s="290"/>
      <c r="H43" s="166"/>
      <c r="I43" s="290"/>
      <c r="J43" s="166"/>
      <c r="K43" s="290"/>
      <c r="L43" s="166"/>
      <c r="M43" s="290"/>
      <c r="N43" s="166"/>
      <c r="O43" s="290"/>
      <c r="P43" s="166"/>
      <c r="Q43" s="290"/>
      <c r="R43" s="168">
        <f aca="true" t="shared" si="8" ref="R43:R52">SUM(B43,J43,N43,D43,F43,H43,L43,P43)</f>
        <v>1</v>
      </c>
      <c r="S43" s="673">
        <f aca="true" t="shared" si="9" ref="S43:S52">SUM(C43,K43,O43,E43,G43,I43,M43,Q43)</f>
        <v>315.5</v>
      </c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119" customFormat="1" ht="20.25" customHeight="1">
      <c r="A44" s="123" t="s">
        <v>349</v>
      </c>
      <c r="B44" s="166">
        <v>1</v>
      </c>
      <c r="C44" s="290">
        <v>221.7</v>
      </c>
      <c r="D44" s="166"/>
      <c r="E44" s="290"/>
      <c r="F44" s="166"/>
      <c r="G44" s="290"/>
      <c r="H44" s="166"/>
      <c r="I44" s="290"/>
      <c r="J44" s="166"/>
      <c r="K44" s="290"/>
      <c r="L44" s="166">
        <v>2</v>
      </c>
      <c r="M44" s="290">
        <v>633.3</v>
      </c>
      <c r="N44" s="166"/>
      <c r="O44" s="290"/>
      <c r="P44" s="166"/>
      <c r="Q44" s="290"/>
      <c r="R44" s="168">
        <f>SUM(B44,J44,N44,D44,F44,H44,L44,P44)</f>
        <v>3</v>
      </c>
      <c r="S44" s="673">
        <f>SUM(C44,K44,O44,E44,G44,I44,M44,Q44)</f>
        <v>855</v>
      </c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119" customFormat="1" ht="20.25" customHeight="1">
      <c r="A45" s="123" t="s">
        <v>171</v>
      </c>
      <c r="B45" s="166">
        <v>2</v>
      </c>
      <c r="C45" s="290">
        <v>539.8</v>
      </c>
      <c r="D45" s="166"/>
      <c r="E45" s="290"/>
      <c r="F45" s="166"/>
      <c r="G45" s="290"/>
      <c r="H45" s="166">
        <v>1</v>
      </c>
      <c r="I45" s="290">
        <v>237.2</v>
      </c>
      <c r="J45" s="166">
        <v>1</v>
      </c>
      <c r="K45" s="290">
        <v>319</v>
      </c>
      <c r="L45" s="166"/>
      <c r="M45" s="290"/>
      <c r="N45" s="166">
        <v>1</v>
      </c>
      <c r="O45" s="290">
        <v>264.4</v>
      </c>
      <c r="P45" s="166"/>
      <c r="Q45" s="290"/>
      <c r="R45" s="168">
        <f t="shared" si="8"/>
        <v>5</v>
      </c>
      <c r="S45" s="673">
        <f t="shared" si="9"/>
        <v>1360.3999999999999</v>
      </c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119" customFormat="1" ht="20.25" customHeight="1">
      <c r="A46" s="10" t="s">
        <v>170</v>
      </c>
      <c r="B46" s="166">
        <v>1</v>
      </c>
      <c r="C46" s="290">
        <v>44.1</v>
      </c>
      <c r="D46" s="166"/>
      <c r="E46" s="290"/>
      <c r="F46" s="166"/>
      <c r="G46" s="290"/>
      <c r="H46" s="166">
        <v>2</v>
      </c>
      <c r="I46" s="290">
        <v>639</v>
      </c>
      <c r="J46" s="166"/>
      <c r="K46" s="290"/>
      <c r="L46" s="166"/>
      <c r="M46" s="290"/>
      <c r="N46" s="166"/>
      <c r="O46" s="290"/>
      <c r="P46" s="166"/>
      <c r="Q46" s="290"/>
      <c r="R46" s="168">
        <f t="shared" si="8"/>
        <v>3</v>
      </c>
      <c r="S46" s="673">
        <f t="shared" si="9"/>
        <v>683.1</v>
      </c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119" customFormat="1" ht="20.25" customHeight="1">
      <c r="A47" s="10" t="s">
        <v>255</v>
      </c>
      <c r="B47" s="166"/>
      <c r="C47" s="290"/>
      <c r="D47" s="166">
        <v>2</v>
      </c>
      <c r="E47" s="290">
        <v>679.2</v>
      </c>
      <c r="F47" s="166"/>
      <c r="G47" s="290"/>
      <c r="H47" s="166"/>
      <c r="I47" s="290"/>
      <c r="J47" s="166"/>
      <c r="K47" s="290"/>
      <c r="L47" s="166"/>
      <c r="M47" s="290"/>
      <c r="N47" s="166"/>
      <c r="O47" s="290"/>
      <c r="P47" s="166"/>
      <c r="Q47" s="290"/>
      <c r="R47" s="168">
        <f>SUM(B47,J47,N47,D47,F47,H47,L47,P47)</f>
        <v>2</v>
      </c>
      <c r="S47" s="673">
        <f>SUM(C47,K47,O47,E47,G47,I47,M47,Q47)</f>
        <v>679.2</v>
      </c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119" customFormat="1" ht="20.25" customHeight="1">
      <c r="A48" s="10" t="s">
        <v>53</v>
      </c>
      <c r="B48" s="166"/>
      <c r="C48" s="290"/>
      <c r="D48" s="166"/>
      <c r="E48" s="290"/>
      <c r="F48" s="166"/>
      <c r="G48" s="290"/>
      <c r="H48" s="166"/>
      <c r="I48" s="290"/>
      <c r="J48" s="166"/>
      <c r="K48" s="290"/>
      <c r="L48" s="166"/>
      <c r="M48" s="290"/>
      <c r="N48" s="166">
        <v>1</v>
      </c>
      <c r="O48" s="290">
        <v>271</v>
      </c>
      <c r="P48" s="166"/>
      <c r="Q48" s="290"/>
      <c r="R48" s="168">
        <f t="shared" si="8"/>
        <v>1</v>
      </c>
      <c r="S48" s="673">
        <f t="shared" si="9"/>
        <v>271</v>
      </c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119" customFormat="1" ht="20.25" customHeight="1">
      <c r="A49" s="10" t="s">
        <v>177</v>
      </c>
      <c r="B49" s="166">
        <v>1</v>
      </c>
      <c r="C49" s="290">
        <v>425.3</v>
      </c>
      <c r="D49" s="166"/>
      <c r="E49" s="290"/>
      <c r="F49" s="166"/>
      <c r="G49" s="290"/>
      <c r="H49" s="166">
        <v>1</v>
      </c>
      <c r="I49" s="290">
        <v>263.2</v>
      </c>
      <c r="J49" s="166"/>
      <c r="K49" s="290"/>
      <c r="L49" s="166">
        <v>3</v>
      </c>
      <c r="M49" s="290">
        <v>998.6</v>
      </c>
      <c r="N49" s="166">
        <v>1</v>
      </c>
      <c r="O49" s="290">
        <v>280.5</v>
      </c>
      <c r="P49" s="166"/>
      <c r="Q49" s="290"/>
      <c r="R49" s="168">
        <f t="shared" si="8"/>
        <v>6</v>
      </c>
      <c r="S49" s="673">
        <f t="shared" si="9"/>
        <v>1967.6</v>
      </c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119" customFormat="1" ht="20.25" customHeight="1">
      <c r="A50" s="10" t="s">
        <v>54</v>
      </c>
      <c r="B50" s="166">
        <v>3</v>
      </c>
      <c r="C50" s="290">
        <v>650.4</v>
      </c>
      <c r="D50" s="166"/>
      <c r="E50" s="290"/>
      <c r="F50" s="166"/>
      <c r="G50" s="290"/>
      <c r="H50" s="166">
        <v>2</v>
      </c>
      <c r="I50" s="290">
        <v>380.4</v>
      </c>
      <c r="J50" s="166">
        <v>1</v>
      </c>
      <c r="K50" s="290">
        <v>280.1</v>
      </c>
      <c r="L50" s="166">
        <v>2</v>
      </c>
      <c r="M50" s="290">
        <v>431</v>
      </c>
      <c r="N50" s="166"/>
      <c r="O50" s="290"/>
      <c r="P50" s="166"/>
      <c r="Q50" s="290"/>
      <c r="R50" s="168">
        <f t="shared" si="8"/>
        <v>8</v>
      </c>
      <c r="S50" s="673">
        <f t="shared" si="9"/>
        <v>1741.9</v>
      </c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119" customFormat="1" ht="20.25" customHeight="1">
      <c r="A51" s="10" t="s">
        <v>178</v>
      </c>
      <c r="B51" s="166"/>
      <c r="C51" s="290"/>
      <c r="D51" s="166"/>
      <c r="E51" s="290"/>
      <c r="F51" s="166"/>
      <c r="G51" s="290"/>
      <c r="H51" s="166"/>
      <c r="I51" s="290"/>
      <c r="J51" s="166"/>
      <c r="K51" s="290"/>
      <c r="L51" s="166"/>
      <c r="M51" s="290"/>
      <c r="N51" s="166">
        <v>1</v>
      </c>
      <c r="O51" s="290">
        <v>197.5</v>
      </c>
      <c r="P51" s="166"/>
      <c r="Q51" s="290"/>
      <c r="R51" s="168">
        <f t="shared" si="8"/>
        <v>1</v>
      </c>
      <c r="S51" s="673">
        <f t="shared" si="9"/>
        <v>197.5</v>
      </c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s="119" customFormat="1" ht="20.25" customHeight="1" thickBot="1">
      <c r="A52" s="10" t="s">
        <v>55</v>
      </c>
      <c r="B52" s="166">
        <v>3</v>
      </c>
      <c r="C52" s="290">
        <v>714.7</v>
      </c>
      <c r="D52" s="166"/>
      <c r="E52" s="290"/>
      <c r="F52" s="166"/>
      <c r="G52" s="290"/>
      <c r="H52" s="166">
        <v>1</v>
      </c>
      <c r="I52" s="290">
        <v>237.7</v>
      </c>
      <c r="J52" s="166"/>
      <c r="K52" s="290"/>
      <c r="L52" s="166"/>
      <c r="M52" s="290"/>
      <c r="N52" s="166"/>
      <c r="O52" s="290"/>
      <c r="P52" s="166"/>
      <c r="Q52" s="290"/>
      <c r="R52" s="168">
        <f t="shared" si="8"/>
        <v>4</v>
      </c>
      <c r="S52" s="673">
        <f t="shared" si="9"/>
        <v>952.4000000000001</v>
      </c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119" customFormat="1" ht="22.5" customHeight="1" thickBot="1">
      <c r="A53" s="1073" t="s">
        <v>146</v>
      </c>
      <c r="B53" s="1074">
        <v>11</v>
      </c>
      <c r="C53" s="1075">
        <v>839.1</v>
      </c>
      <c r="D53" s="1074">
        <v>2</v>
      </c>
      <c r="E53" s="1075">
        <v>141.7</v>
      </c>
      <c r="F53" s="1074"/>
      <c r="G53" s="1075"/>
      <c r="H53" s="1074">
        <v>1</v>
      </c>
      <c r="I53" s="1075">
        <v>44.2</v>
      </c>
      <c r="J53" s="1074">
        <v>2</v>
      </c>
      <c r="K53" s="1075">
        <v>255</v>
      </c>
      <c r="L53" s="1074">
        <v>3</v>
      </c>
      <c r="M53" s="1075">
        <v>238.8</v>
      </c>
      <c r="N53" s="1074">
        <v>2</v>
      </c>
      <c r="O53" s="1075">
        <v>183.2</v>
      </c>
      <c r="P53" s="1074">
        <v>2</v>
      </c>
      <c r="Q53" s="1075">
        <v>259.7</v>
      </c>
      <c r="R53" s="1076">
        <f>SUM(B53,J53,N53,D53,F53,H53,L53,P53)</f>
        <v>23</v>
      </c>
      <c r="S53" s="672">
        <f>SUM(C53,O53,K53,E53,G53,I53,M53,Q53)</f>
        <v>1961.7</v>
      </c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119" customFormat="1" ht="23.25" customHeight="1" thickBot="1">
      <c r="A54" s="127" t="s">
        <v>56</v>
      </c>
      <c r="B54" s="128">
        <f aca="true" t="shared" si="10" ref="B54:S54">SUM(B5:B53)</f>
        <v>85</v>
      </c>
      <c r="C54" s="672">
        <f t="shared" si="10"/>
        <v>11497</v>
      </c>
      <c r="D54" s="128">
        <f t="shared" si="10"/>
        <v>12</v>
      </c>
      <c r="E54" s="672">
        <f t="shared" si="10"/>
        <v>2509.8999999999996</v>
      </c>
      <c r="F54" s="128">
        <f t="shared" si="10"/>
        <v>0</v>
      </c>
      <c r="G54" s="672">
        <f t="shared" si="10"/>
        <v>0</v>
      </c>
      <c r="H54" s="128">
        <f t="shared" si="10"/>
        <v>15</v>
      </c>
      <c r="I54" s="672">
        <f t="shared" si="10"/>
        <v>2721.7</v>
      </c>
      <c r="J54" s="128">
        <f t="shared" si="10"/>
        <v>19</v>
      </c>
      <c r="K54" s="672">
        <f t="shared" si="10"/>
        <v>3434.4999999999995</v>
      </c>
      <c r="L54" s="128">
        <f t="shared" si="10"/>
        <v>34</v>
      </c>
      <c r="M54" s="672">
        <f t="shared" si="10"/>
        <v>5700.000000000001</v>
      </c>
      <c r="N54" s="128">
        <f t="shared" si="10"/>
        <v>19</v>
      </c>
      <c r="O54" s="672">
        <f t="shared" si="10"/>
        <v>2974.7</v>
      </c>
      <c r="P54" s="128">
        <f t="shared" si="10"/>
        <v>18</v>
      </c>
      <c r="Q54" s="672">
        <f t="shared" si="10"/>
        <v>3416.5</v>
      </c>
      <c r="R54" s="128">
        <f t="shared" si="10"/>
        <v>202</v>
      </c>
      <c r="S54" s="672">
        <f t="shared" si="10"/>
        <v>32254.300000000003</v>
      </c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0" ht="18.75" customHeight="1">
      <c r="A55"/>
      <c r="B55"/>
      <c r="C55" s="293"/>
      <c r="D55"/>
      <c r="E55" s="293"/>
      <c r="F55"/>
      <c r="G55" s="293"/>
      <c r="H55" s="62"/>
      <c r="I55" s="299"/>
      <c r="J55"/>
      <c r="K55" s="293"/>
      <c r="L55" s="62"/>
      <c r="M55" s="299"/>
      <c r="N55" s="62"/>
      <c r="O55" s="299"/>
      <c r="P55"/>
      <c r="Q55" s="293"/>
      <c r="R55"/>
      <c r="S55" s="293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3:19" s="54" customFormat="1" ht="18" customHeight="1">
      <c r="C56" s="294"/>
      <c r="E56" s="294"/>
      <c r="G56" s="294"/>
      <c r="I56" s="294"/>
      <c r="K56" s="294"/>
      <c r="M56" s="294"/>
      <c r="O56" s="294"/>
      <c r="Q56" s="294"/>
      <c r="S56" s="294"/>
    </row>
    <row r="57" spans="3:19" s="54" customFormat="1" ht="15.75" customHeight="1">
      <c r="C57" s="294"/>
      <c r="E57" s="294"/>
      <c r="G57" s="294"/>
      <c r="I57" s="294"/>
      <c r="K57" s="294"/>
      <c r="M57" s="294"/>
      <c r="O57" s="294"/>
      <c r="Q57" s="294"/>
      <c r="S57" s="294"/>
    </row>
    <row r="58" spans="3:22" s="54" customFormat="1" ht="15.75" customHeight="1">
      <c r="C58" s="294"/>
      <c r="E58" s="294"/>
      <c r="G58" s="294"/>
      <c r="I58" s="294"/>
      <c r="K58" s="294"/>
      <c r="M58" s="294"/>
      <c r="O58" s="294"/>
      <c r="Q58" s="294"/>
      <c r="S58" s="294"/>
      <c r="V58" s="215"/>
    </row>
    <row r="59" spans="3:19" s="54" customFormat="1" ht="15.75" customHeight="1">
      <c r="C59" s="294"/>
      <c r="E59" s="294"/>
      <c r="G59" s="294"/>
      <c r="I59" s="294"/>
      <c r="K59" s="294"/>
      <c r="M59" s="294"/>
      <c r="O59" s="294"/>
      <c r="Q59" s="294"/>
      <c r="S59" s="294"/>
    </row>
    <row r="60" spans="3:13" s="54" customFormat="1" ht="17.25" customHeight="1">
      <c r="C60" s="261"/>
      <c r="E60" s="261"/>
      <c r="G60" s="261"/>
      <c r="I60" s="261"/>
      <c r="K60" s="261"/>
      <c r="M60" s="261"/>
    </row>
    <row r="61" spans="3:13" s="54" customFormat="1" ht="17.25" customHeight="1">
      <c r="C61" s="261"/>
      <c r="E61" s="261"/>
      <c r="G61" s="261"/>
      <c r="I61" s="261"/>
      <c r="K61" s="261"/>
      <c r="M61" s="261"/>
    </row>
    <row r="62" spans="3:26" s="54" customFormat="1" ht="17.25" customHeight="1">
      <c r="C62" s="261"/>
      <c r="E62" s="261"/>
      <c r="G62" s="261"/>
      <c r="I62" s="261"/>
      <c r="K62" s="261"/>
      <c r="M62" s="261"/>
      <c r="R62" s="181"/>
      <c r="S62" s="180"/>
      <c r="T62" s="180"/>
      <c r="U62" s="180"/>
      <c r="V62" s="180"/>
      <c r="W62" s="180"/>
      <c r="X62" s="180"/>
      <c r="Y62" s="180"/>
      <c r="Z62" s="180"/>
    </row>
    <row r="63" spans="3:26" s="54" customFormat="1" ht="17.25" customHeight="1">
      <c r="C63" s="261"/>
      <c r="E63" s="261"/>
      <c r="G63" s="261"/>
      <c r="I63" s="261"/>
      <c r="K63" s="261"/>
      <c r="M63" s="261"/>
      <c r="R63" s="181"/>
      <c r="S63" s="180"/>
      <c r="T63" s="180"/>
      <c r="U63" s="180"/>
      <c r="V63" s="180"/>
      <c r="W63" s="180"/>
      <c r="X63" s="180"/>
      <c r="Y63" s="180"/>
      <c r="Z63" s="180"/>
    </row>
    <row r="64" spans="3:26" s="54" customFormat="1" ht="17.25" customHeight="1">
      <c r="C64" s="261"/>
      <c r="E64" s="261"/>
      <c r="G64" s="261"/>
      <c r="I64" s="261"/>
      <c r="K64" s="261"/>
      <c r="M64" s="261"/>
      <c r="R64" s="181"/>
      <c r="S64" s="180"/>
      <c r="T64" s="180"/>
      <c r="U64" s="180"/>
      <c r="V64" s="180"/>
      <c r="W64" s="180"/>
      <c r="X64" s="180"/>
      <c r="Y64" s="180"/>
      <c r="Z64" s="180"/>
    </row>
    <row r="65" spans="3:26" s="54" customFormat="1" ht="17.25" customHeight="1">
      <c r="C65" s="261"/>
      <c r="E65" s="261"/>
      <c r="G65" s="261"/>
      <c r="I65" s="261"/>
      <c r="K65" s="261"/>
      <c r="M65" s="261"/>
      <c r="R65" s="181"/>
      <c r="S65" s="180"/>
      <c r="T65" s="180"/>
      <c r="U65" s="180"/>
      <c r="V65" s="180"/>
      <c r="W65" s="180"/>
      <c r="X65" s="180"/>
      <c r="Y65" s="180"/>
      <c r="Z65" s="180"/>
    </row>
    <row r="66" spans="3:26" s="54" customFormat="1" ht="17.25" customHeight="1">
      <c r="C66" s="261"/>
      <c r="E66" s="261"/>
      <c r="G66" s="261"/>
      <c r="I66" s="261"/>
      <c r="K66" s="261"/>
      <c r="M66" s="261"/>
      <c r="R66" s="181"/>
      <c r="S66" s="180"/>
      <c r="T66" s="180"/>
      <c r="U66" s="180"/>
      <c r="V66" s="180"/>
      <c r="W66" s="180"/>
      <c r="X66" s="180"/>
      <c r="Y66" s="180"/>
      <c r="Z66" s="180"/>
    </row>
    <row r="67" spans="3:26" s="54" customFormat="1" ht="35.25" customHeight="1">
      <c r="C67" s="261"/>
      <c r="E67" s="261"/>
      <c r="G67" s="261"/>
      <c r="I67" s="261"/>
      <c r="K67" s="261"/>
      <c r="M67" s="261"/>
      <c r="R67" s="181"/>
      <c r="S67" s="180"/>
      <c r="T67" s="180"/>
      <c r="U67" s="180"/>
      <c r="V67" s="180"/>
      <c r="W67" s="180"/>
      <c r="X67" s="180"/>
      <c r="Y67" s="180"/>
      <c r="Z67" s="180"/>
    </row>
    <row r="68" spans="3:26" s="54" customFormat="1" ht="20.25" customHeight="1">
      <c r="C68" s="261"/>
      <c r="E68" s="261"/>
      <c r="G68" s="261"/>
      <c r="I68" s="261"/>
      <c r="K68" s="261"/>
      <c r="M68" s="261"/>
      <c r="R68" s="181"/>
      <c r="S68" s="180"/>
      <c r="T68" s="180"/>
      <c r="U68" s="180"/>
      <c r="V68" s="180"/>
      <c r="W68" s="180"/>
      <c r="X68" s="180"/>
      <c r="Y68" s="180"/>
      <c r="Z68" s="180"/>
    </row>
    <row r="69" spans="3:26" s="54" customFormat="1" ht="11.25">
      <c r="C69" s="261"/>
      <c r="E69" s="261"/>
      <c r="G69" s="261"/>
      <c r="I69" s="261"/>
      <c r="K69" s="261"/>
      <c r="M69" s="261"/>
      <c r="R69" s="181"/>
      <c r="S69" s="180"/>
      <c r="T69" s="180"/>
      <c r="U69" s="180"/>
      <c r="V69" s="180"/>
      <c r="W69" s="180"/>
      <c r="X69" s="180"/>
      <c r="Y69" s="180"/>
      <c r="Z69" s="180"/>
    </row>
    <row r="70" spans="3:26" s="54" customFormat="1" ht="11.25">
      <c r="C70" s="261"/>
      <c r="E70" s="261"/>
      <c r="G70" s="261"/>
      <c r="I70" s="261"/>
      <c r="K70" s="261"/>
      <c r="M70" s="261"/>
      <c r="R70" s="181"/>
      <c r="S70" s="180"/>
      <c r="T70" s="180"/>
      <c r="U70" s="180"/>
      <c r="V70" s="180"/>
      <c r="W70" s="180"/>
      <c r="X70" s="180"/>
      <c r="Y70" s="180"/>
      <c r="Z70" s="180"/>
    </row>
    <row r="71" spans="3:26" s="54" customFormat="1" ht="11.25">
      <c r="C71" s="261"/>
      <c r="E71" s="261"/>
      <c r="G71" s="261"/>
      <c r="I71" s="261"/>
      <c r="K71" s="261"/>
      <c r="M71" s="261"/>
      <c r="R71" s="181"/>
      <c r="S71" s="180"/>
      <c r="T71" s="180"/>
      <c r="U71" s="180"/>
      <c r="V71" s="180"/>
      <c r="W71" s="180"/>
      <c r="X71" s="180"/>
      <c r="Y71" s="180"/>
      <c r="Z71" s="180"/>
    </row>
    <row r="72" spans="3:71" s="62" customFormat="1" ht="12.75">
      <c r="C72" s="262"/>
      <c r="E72" s="262"/>
      <c r="G72" s="262"/>
      <c r="I72" s="262"/>
      <c r="K72" s="262"/>
      <c r="M72" s="262"/>
      <c r="R72" s="181"/>
      <c r="S72" s="180"/>
      <c r="T72" s="180"/>
      <c r="U72" s="180"/>
      <c r="V72" s="180"/>
      <c r="W72" s="180"/>
      <c r="X72" s="180"/>
      <c r="Y72" s="180"/>
      <c r="Z72" s="180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3:71" s="62" customFormat="1" ht="12.75">
      <c r="C73" s="262"/>
      <c r="E73" s="262"/>
      <c r="G73" s="262"/>
      <c r="I73" s="262"/>
      <c r="K73" s="262"/>
      <c r="M73" s="262"/>
      <c r="R73" s="181"/>
      <c r="S73" s="180"/>
      <c r="T73" s="180"/>
      <c r="U73" s="180"/>
      <c r="V73" s="180"/>
      <c r="W73" s="180"/>
      <c r="X73" s="180"/>
      <c r="Y73" s="180"/>
      <c r="Z73" s="180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3:71" s="62" customFormat="1" ht="12.75">
      <c r="C74" s="262"/>
      <c r="E74" s="262"/>
      <c r="G74" s="262"/>
      <c r="I74" s="262"/>
      <c r="K74" s="262"/>
      <c r="M74" s="262"/>
      <c r="R74" s="181"/>
      <c r="S74" s="180"/>
      <c r="T74" s="180"/>
      <c r="U74" s="180"/>
      <c r="V74" s="180"/>
      <c r="W74" s="180"/>
      <c r="X74" s="180"/>
      <c r="Y74" s="180"/>
      <c r="Z74" s="180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3:71" s="62" customFormat="1" ht="12.75">
      <c r="C75" s="262"/>
      <c r="E75" s="262"/>
      <c r="G75" s="262"/>
      <c r="I75" s="262"/>
      <c r="K75" s="262"/>
      <c r="M75" s="262"/>
      <c r="R75" s="181"/>
      <c r="S75" s="180"/>
      <c r="T75" s="180"/>
      <c r="U75" s="180"/>
      <c r="V75" s="180"/>
      <c r="W75" s="180"/>
      <c r="X75" s="180"/>
      <c r="Y75" s="180"/>
      <c r="Z75" s="180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3:71" s="62" customFormat="1" ht="12.75">
      <c r="C76" s="262"/>
      <c r="E76" s="262"/>
      <c r="G76" s="262"/>
      <c r="I76" s="262"/>
      <c r="K76" s="262"/>
      <c r="M76" s="262"/>
      <c r="R76" s="181"/>
      <c r="S76" s="180"/>
      <c r="T76" s="180"/>
      <c r="U76" s="180"/>
      <c r="V76" s="180"/>
      <c r="W76" s="180"/>
      <c r="X76" s="180"/>
      <c r="Y76" s="180"/>
      <c r="Z76" s="180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3:71" s="62" customFormat="1" ht="12.75">
      <c r="C77" s="262"/>
      <c r="E77" s="262"/>
      <c r="G77" s="262"/>
      <c r="I77" s="262"/>
      <c r="K77" s="262"/>
      <c r="M77" s="262"/>
      <c r="R77" s="181"/>
      <c r="S77" s="180"/>
      <c r="T77" s="180"/>
      <c r="U77" s="180"/>
      <c r="V77" s="180"/>
      <c r="W77" s="180"/>
      <c r="X77" s="180"/>
      <c r="Y77" s="180"/>
      <c r="Z77" s="180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3:71" s="62" customFormat="1" ht="12.75">
      <c r="C78" s="262"/>
      <c r="E78" s="262"/>
      <c r="G78" s="262"/>
      <c r="I78" s="262"/>
      <c r="K78" s="262"/>
      <c r="M78" s="262"/>
      <c r="R78" s="181"/>
      <c r="S78" s="180"/>
      <c r="T78" s="180"/>
      <c r="U78" s="180"/>
      <c r="V78" s="180"/>
      <c r="W78" s="180"/>
      <c r="X78" s="180"/>
      <c r="Y78" s="180"/>
      <c r="Z78" s="180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3:71" s="62" customFormat="1" ht="12.75">
      <c r="C79" s="262"/>
      <c r="E79" s="262"/>
      <c r="G79" s="262"/>
      <c r="I79" s="262"/>
      <c r="K79" s="262"/>
      <c r="M79" s="262"/>
      <c r="R79" s="181"/>
      <c r="S79" s="180"/>
      <c r="T79" s="180"/>
      <c r="U79" s="180"/>
      <c r="V79" s="180"/>
      <c r="W79" s="180"/>
      <c r="X79" s="180"/>
      <c r="Y79" s="180"/>
      <c r="Z79" s="180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3:71" s="62" customFormat="1" ht="12.75">
      <c r="C80" s="262"/>
      <c r="E80" s="262"/>
      <c r="G80" s="262"/>
      <c r="I80" s="262"/>
      <c r="K80" s="262"/>
      <c r="M80" s="262"/>
      <c r="R80" s="181"/>
      <c r="S80" s="180"/>
      <c r="T80" s="180"/>
      <c r="U80" s="180"/>
      <c r="V80" s="180"/>
      <c r="W80" s="180"/>
      <c r="X80" s="180"/>
      <c r="Y80" s="180"/>
      <c r="Z80" s="180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3:71" s="62" customFormat="1" ht="12.75">
      <c r="C81" s="262"/>
      <c r="E81" s="262"/>
      <c r="G81" s="262"/>
      <c r="I81" s="262"/>
      <c r="K81" s="262"/>
      <c r="M81" s="262"/>
      <c r="R81" s="181"/>
      <c r="S81" s="180"/>
      <c r="T81" s="180"/>
      <c r="U81" s="180"/>
      <c r="V81" s="180"/>
      <c r="W81" s="180"/>
      <c r="X81" s="180"/>
      <c r="Y81" s="180"/>
      <c r="Z81" s="180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3:71" s="62" customFormat="1" ht="12.75">
      <c r="C82" s="262"/>
      <c r="E82" s="262"/>
      <c r="G82" s="262"/>
      <c r="I82" s="262"/>
      <c r="K82" s="262"/>
      <c r="M82" s="262"/>
      <c r="R82" s="181"/>
      <c r="S82" s="180"/>
      <c r="T82" s="180"/>
      <c r="U82" s="180"/>
      <c r="V82" s="180"/>
      <c r="W82" s="180"/>
      <c r="X82" s="180"/>
      <c r="Y82" s="180"/>
      <c r="Z82" s="180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3:71" s="62" customFormat="1" ht="12.75">
      <c r="C83" s="262"/>
      <c r="E83" s="262"/>
      <c r="G83" s="262"/>
      <c r="I83" s="262"/>
      <c r="K83" s="262"/>
      <c r="M83" s="262"/>
      <c r="R83" s="181"/>
      <c r="S83" s="180"/>
      <c r="T83" s="180"/>
      <c r="U83" s="180"/>
      <c r="V83" s="180"/>
      <c r="W83" s="180"/>
      <c r="X83" s="180"/>
      <c r="Y83" s="180"/>
      <c r="Z83" s="180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3:71" s="62" customFormat="1" ht="12.75">
      <c r="C84" s="262"/>
      <c r="E84" s="262"/>
      <c r="G84" s="262"/>
      <c r="I84" s="262"/>
      <c r="K84" s="262"/>
      <c r="M84" s="262"/>
      <c r="R84" s="181"/>
      <c r="S84" s="180"/>
      <c r="T84" s="180"/>
      <c r="U84" s="180"/>
      <c r="V84" s="180"/>
      <c r="W84" s="180"/>
      <c r="X84" s="180"/>
      <c r="Y84" s="180"/>
      <c r="Z84" s="180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3:71" s="62" customFormat="1" ht="12.75">
      <c r="C85" s="262"/>
      <c r="E85" s="262"/>
      <c r="G85" s="262"/>
      <c r="I85" s="262"/>
      <c r="K85" s="262"/>
      <c r="M85" s="262"/>
      <c r="R85" s="181"/>
      <c r="S85" s="180"/>
      <c r="T85" s="180"/>
      <c r="U85" s="180"/>
      <c r="V85" s="180"/>
      <c r="W85" s="180"/>
      <c r="X85" s="180"/>
      <c r="Y85" s="180"/>
      <c r="Z85" s="180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3:71" s="62" customFormat="1" ht="12.75">
      <c r="C86" s="262"/>
      <c r="E86" s="262"/>
      <c r="G86" s="262"/>
      <c r="I86" s="262"/>
      <c r="K86" s="262"/>
      <c r="M86" s="262"/>
      <c r="R86" s="181"/>
      <c r="S86" s="180"/>
      <c r="T86" s="180"/>
      <c r="U86" s="180"/>
      <c r="V86" s="180"/>
      <c r="W86" s="180"/>
      <c r="X86" s="180"/>
      <c r="Y86" s="180"/>
      <c r="Z86" s="180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3:71" s="62" customFormat="1" ht="12.75">
      <c r="C87" s="262"/>
      <c r="E87" s="262"/>
      <c r="G87" s="262"/>
      <c r="I87" s="262"/>
      <c r="K87" s="262"/>
      <c r="M87" s="262"/>
      <c r="R87" s="181"/>
      <c r="S87" s="180"/>
      <c r="T87" s="180"/>
      <c r="U87" s="180"/>
      <c r="V87" s="180"/>
      <c r="W87" s="180"/>
      <c r="X87" s="180"/>
      <c r="Y87" s="180"/>
      <c r="Z87" s="180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3:71" s="62" customFormat="1" ht="12.75">
      <c r="C88" s="262"/>
      <c r="E88" s="262"/>
      <c r="G88" s="262"/>
      <c r="I88" s="262"/>
      <c r="K88" s="262"/>
      <c r="M88" s="262"/>
      <c r="R88" s="181"/>
      <c r="S88" s="180"/>
      <c r="T88" s="180"/>
      <c r="U88" s="180"/>
      <c r="V88" s="180"/>
      <c r="W88" s="180"/>
      <c r="X88" s="180"/>
      <c r="Y88" s="180"/>
      <c r="Z88" s="180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3:71" s="62" customFormat="1" ht="12.75">
      <c r="C89" s="262"/>
      <c r="E89" s="262"/>
      <c r="G89" s="262"/>
      <c r="I89" s="262"/>
      <c r="K89" s="262"/>
      <c r="M89" s="262"/>
      <c r="R89" s="181"/>
      <c r="S89" s="180"/>
      <c r="T89" s="180"/>
      <c r="U89" s="180"/>
      <c r="V89" s="180"/>
      <c r="W89" s="180"/>
      <c r="X89" s="180"/>
      <c r="Y89" s="180"/>
      <c r="Z89" s="180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  <row r="90" spans="3:71" s="62" customFormat="1" ht="12.75">
      <c r="C90" s="262"/>
      <c r="E90" s="262"/>
      <c r="G90" s="262"/>
      <c r="I90" s="262"/>
      <c r="K90" s="262"/>
      <c r="M90" s="262"/>
      <c r="R90" s="181"/>
      <c r="S90" s="180"/>
      <c r="T90" s="180"/>
      <c r="U90" s="180"/>
      <c r="V90" s="180"/>
      <c r="W90" s="180"/>
      <c r="X90" s="180"/>
      <c r="Y90" s="180"/>
      <c r="Z90" s="180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</row>
    <row r="91" spans="3:71" s="62" customFormat="1" ht="12.75">
      <c r="C91" s="262"/>
      <c r="E91" s="262"/>
      <c r="G91" s="262"/>
      <c r="I91" s="262"/>
      <c r="K91" s="262"/>
      <c r="M91" s="262"/>
      <c r="R91" s="181"/>
      <c r="S91" s="180"/>
      <c r="T91" s="180"/>
      <c r="U91" s="180"/>
      <c r="V91" s="180"/>
      <c r="W91" s="180"/>
      <c r="X91" s="180"/>
      <c r="Y91" s="180"/>
      <c r="Z91" s="180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</row>
    <row r="92" spans="3:71" s="62" customFormat="1" ht="12.75">
      <c r="C92" s="262"/>
      <c r="E92" s="262"/>
      <c r="G92" s="262"/>
      <c r="I92" s="262"/>
      <c r="K92" s="262"/>
      <c r="M92" s="262"/>
      <c r="R92" s="181"/>
      <c r="S92" s="180"/>
      <c r="T92" s="180"/>
      <c r="U92" s="180"/>
      <c r="V92" s="180"/>
      <c r="W92" s="180"/>
      <c r="X92" s="180"/>
      <c r="Y92" s="180"/>
      <c r="Z92" s="180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</row>
    <row r="93" spans="3:71" s="62" customFormat="1" ht="12.75">
      <c r="C93" s="262"/>
      <c r="E93" s="262"/>
      <c r="G93" s="262"/>
      <c r="I93" s="262"/>
      <c r="K93" s="262"/>
      <c r="M93" s="262"/>
      <c r="R93" s="181"/>
      <c r="S93" s="180"/>
      <c r="T93" s="180"/>
      <c r="U93" s="180"/>
      <c r="V93" s="180"/>
      <c r="W93" s="180"/>
      <c r="X93" s="180"/>
      <c r="Y93" s="180"/>
      <c r="Z93" s="180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</row>
    <row r="94" spans="3:71" s="62" customFormat="1" ht="12.75">
      <c r="C94" s="262"/>
      <c r="E94" s="262"/>
      <c r="G94" s="262"/>
      <c r="I94" s="262"/>
      <c r="K94" s="262"/>
      <c r="M94" s="262"/>
      <c r="R94" s="181"/>
      <c r="S94" s="180"/>
      <c r="T94" s="180"/>
      <c r="U94" s="180"/>
      <c r="V94" s="180"/>
      <c r="W94" s="180"/>
      <c r="X94" s="180"/>
      <c r="Y94" s="180"/>
      <c r="Z94" s="180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</row>
    <row r="95" spans="3:71" s="62" customFormat="1" ht="12.75">
      <c r="C95" s="262"/>
      <c r="E95" s="262"/>
      <c r="G95" s="262"/>
      <c r="I95" s="262"/>
      <c r="K95" s="262"/>
      <c r="M95" s="262"/>
      <c r="R95" s="181"/>
      <c r="S95" s="180"/>
      <c r="T95" s="180"/>
      <c r="U95" s="180"/>
      <c r="V95" s="180"/>
      <c r="W95" s="180"/>
      <c r="X95" s="180"/>
      <c r="Y95" s="180"/>
      <c r="Z95" s="180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</row>
    <row r="96" spans="3:71" s="62" customFormat="1" ht="12.75">
      <c r="C96" s="262"/>
      <c r="E96" s="262"/>
      <c r="G96" s="262"/>
      <c r="I96" s="262"/>
      <c r="K96" s="262"/>
      <c r="M96" s="262"/>
      <c r="R96" s="181"/>
      <c r="S96" s="180"/>
      <c r="T96" s="180"/>
      <c r="U96" s="180"/>
      <c r="V96" s="180"/>
      <c r="W96" s="180"/>
      <c r="X96" s="180"/>
      <c r="Y96" s="180"/>
      <c r="Z96" s="180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</row>
    <row r="97" spans="3:71" s="62" customFormat="1" ht="12.75">
      <c r="C97" s="262"/>
      <c r="E97" s="262"/>
      <c r="G97" s="262"/>
      <c r="I97" s="262"/>
      <c r="K97" s="262"/>
      <c r="M97" s="262"/>
      <c r="R97" s="181"/>
      <c r="S97" s="180"/>
      <c r="T97" s="180"/>
      <c r="U97" s="180"/>
      <c r="V97" s="180"/>
      <c r="W97" s="180"/>
      <c r="X97" s="180"/>
      <c r="Y97" s="180"/>
      <c r="Z97" s="180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</row>
    <row r="98" spans="3:71" s="62" customFormat="1" ht="12.75">
      <c r="C98" s="262"/>
      <c r="E98" s="262"/>
      <c r="G98" s="262"/>
      <c r="I98" s="262"/>
      <c r="K98" s="262"/>
      <c r="M98" s="262"/>
      <c r="R98" s="181"/>
      <c r="S98" s="180"/>
      <c r="T98" s="180"/>
      <c r="U98" s="180"/>
      <c r="V98" s="180"/>
      <c r="W98" s="180"/>
      <c r="X98" s="180"/>
      <c r="Y98" s="180"/>
      <c r="Z98" s="180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</row>
    <row r="99" spans="3:71" s="62" customFormat="1" ht="12.75">
      <c r="C99" s="262"/>
      <c r="E99" s="262"/>
      <c r="G99" s="262"/>
      <c r="I99" s="262"/>
      <c r="K99" s="262"/>
      <c r="M99" s="262"/>
      <c r="R99" s="181"/>
      <c r="S99" s="180"/>
      <c r="T99" s="180"/>
      <c r="U99" s="180"/>
      <c r="V99" s="180"/>
      <c r="W99" s="180"/>
      <c r="X99" s="180"/>
      <c r="Y99" s="180"/>
      <c r="Z99" s="180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</row>
    <row r="100" spans="3:71" s="62" customFormat="1" ht="12.75">
      <c r="C100" s="262"/>
      <c r="E100" s="262"/>
      <c r="G100" s="262"/>
      <c r="I100" s="262"/>
      <c r="K100" s="262"/>
      <c r="M100" s="262"/>
      <c r="R100" s="181"/>
      <c r="S100" s="180"/>
      <c r="T100" s="180"/>
      <c r="U100" s="180"/>
      <c r="V100" s="180"/>
      <c r="W100" s="180"/>
      <c r="X100" s="180"/>
      <c r="Y100" s="180"/>
      <c r="Z100" s="180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</row>
    <row r="101" spans="3:71" s="62" customFormat="1" ht="12.75">
      <c r="C101" s="262"/>
      <c r="E101" s="262"/>
      <c r="G101" s="262"/>
      <c r="I101" s="262"/>
      <c r="K101" s="262"/>
      <c r="M101" s="262"/>
      <c r="R101" s="181"/>
      <c r="S101" s="180"/>
      <c r="T101" s="180"/>
      <c r="U101" s="180"/>
      <c r="V101" s="180"/>
      <c r="W101" s="180"/>
      <c r="X101" s="180"/>
      <c r="Y101" s="180"/>
      <c r="Z101" s="180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</row>
    <row r="102" spans="3:71" s="62" customFormat="1" ht="12.75">
      <c r="C102" s="262"/>
      <c r="E102" s="262"/>
      <c r="G102" s="262"/>
      <c r="I102" s="262"/>
      <c r="K102" s="262"/>
      <c r="M102" s="262"/>
      <c r="R102" s="181"/>
      <c r="S102" s="180"/>
      <c r="T102" s="180"/>
      <c r="U102" s="180"/>
      <c r="V102" s="180"/>
      <c r="W102" s="180"/>
      <c r="X102" s="180"/>
      <c r="Y102" s="180"/>
      <c r="Z102" s="180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</row>
    <row r="103" spans="3:71" s="62" customFormat="1" ht="12.75">
      <c r="C103" s="262"/>
      <c r="E103" s="262"/>
      <c r="G103" s="262"/>
      <c r="I103" s="262"/>
      <c r="K103" s="262"/>
      <c r="M103" s="262"/>
      <c r="R103" s="181"/>
      <c r="S103" s="180"/>
      <c r="T103" s="180"/>
      <c r="U103" s="180"/>
      <c r="V103" s="180"/>
      <c r="W103" s="180"/>
      <c r="X103" s="180"/>
      <c r="Y103" s="180"/>
      <c r="Z103" s="180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</row>
    <row r="104" spans="3:71" s="62" customFormat="1" ht="12.75">
      <c r="C104" s="262"/>
      <c r="E104" s="262"/>
      <c r="G104" s="262"/>
      <c r="I104" s="262"/>
      <c r="K104" s="262"/>
      <c r="M104" s="262"/>
      <c r="R104" s="181"/>
      <c r="S104" s="180"/>
      <c r="T104" s="180"/>
      <c r="U104" s="180"/>
      <c r="V104" s="180"/>
      <c r="W104" s="180"/>
      <c r="X104" s="180"/>
      <c r="Y104" s="180"/>
      <c r="Z104" s="180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</row>
    <row r="105" spans="3:71" s="62" customFormat="1" ht="12.75">
      <c r="C105" s="262"/>
      <c r="E105" s="262"/>
      <c r="G105" s="262"/>
      <c r="I105" s="262"/>
      <c r="K105" s="262"/>
      <c r="M105" s="262"/>
      <c r="R105" s="181"/>
      <c r="S105" s="180"/>
      <c r="T105" s="180"/>
      <c r="U105" s="180"/>
      <c r="V105" s="180"/>
      <c r="W105" s="180"/>
      <c r="X105" s="180"/>
      <c r="Y105" s="180"/>
      <c r="Z105" s="180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</row>
    <row r="106" spans="3:71" s="62" customFormat="1" ht="12.75">
      <c r="C106" s="262"/>
      <c r="E106" s="262"/>
      <c r="G106" s="262"/>
      <c r="I106" s="262"/>
      <c r="K106" s="262"/>
      <c r="M106" s="262"/>
      <c r="R106" s="181"/>
      <c r="S106" s="180"/>
      <c r="T106" s="180"/>
      <c r="U106" s="180"/>
      <c r="V106" s="180"/>
      <c r="W106" s="180"/>
      <c r="X106" s="180"/>
      <c r="Y106" s="180"/>
      <c r="Z106" s="180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</row>
    <row r="107" spans="3:71" s="62" customFormat="1" ht="12.75">
      <c r="C107" s="262"/>
      <c r="E107" s="262"/>
      <c r="G107" s="262"/>
      <c r="I107" s="262"/>
      <c r="K107" s="262"/>
      <c r="M107" s="262"/>
      <c r="R107" s="181"/>
      <c r="S107" s="180"/>
      <c r="T107" s="180"/>
      <c r="U107" s="180"/>
      <c r="V107" s="180"/>
      <c r="W107" s="180"/>
      <c r="X107" s="180"/>
      <c r="Y107" s="180"/>
      <c r="Z107" s="180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</row>
    <row r="108" spans="3:71" s="62" customFormat="1" ht="12.75">
      <c r="C108" s="262"/>
      <c r="E108" s="262"/>
      <c r="G108" s="262"/>
      <c r="I108" s="262"/>
      <c r="K108" s="262"/>
      <c r="M108" s="262"/>
      <c r="R108" s="181"/>
      <c r="S108" s="180"/>
      <c r="T108" s="180"/>
      <c r="U108" s="180"/>
      <c r="V108" s="180"/>
      <c r="W108" s="180"/>
      <c r="X108" s="180"/>
      <c r="Y108" s="180"/>
      <c r="Z108" s="180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</row>
    <row r="109" spans="3:71" s="62" customFormat="1" ht="12.75">
      <c r="C109" s="262"/>
      <c r="E109" s="262"/>
      <c r="G109" s="262"/>
      <c r="I109" s="262"/>
      <c r="K109" s="262"/>
      <c r="M109" s="262"/>
      <c r="R109" s="181"/>
      <c r="S109" s="180"/>
      <c r="T109" s="180"/>
      <c r="U109" s="180"/>
      <c r="V109" s="180"/>
      <c r="W109" s="180"/>
      <c r="X109" s="180"/>
      <c r="Y109" s="180"/>
      <c r="Z109" s="180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</row>
    <row r="110" spans="3:71" s="62" customFormat="1" ht="12.75">
      <c r="C110" s="262"/>
      <c r="E110" s="262"/>
      <c r="G110" s="262"/>
      <c r="I110" s="262"/>
      <c r="K110" s="262"/>
      <c r="M110" s="262"/>
      <c r="R110" s="181"/>
      <c r="S110" s="180"/>
      <c r="T110" s="180"/>
      <c r="U110" s="180"/>
      <c r="V110" s="180"/>
      <c r="W110" s="180"/>
      <c r="X110" s="180"/>
      <c r="Y110" s="180"/>
      <c r="Z110" s="180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</row>
    <row r="111" spans="3:71" s="62" customFormat="1" ht="12.75">
      <c r="C111" s="262"/>
      <c r="E111" s="262"/>
      <c r="G111" s="262"/>
      <c r="I111" s="262"/>
      <c r="K111" s="262"/>
      <c r="M111" s="262"/>
      <c r="R111" s="181"/>
      <c r="S111" s="180"/>
      <c r="T111" s="180"/>
      <c r="U111" s="180"/>
      <c r="V111" s="180"/>
      <c r="W111" s="180"/>
      <c r="X111" s="180"/>
      <c r="Y111" s="180"/>
      <c r="Z111" s="180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</row>
    <row r="112" spans="3:71" s="62" customFormat="1" ht="12.75">
      <c r="C112" s="262"/>
      <c r="E112" s="262"/>
      <c r="G112" s="262"/>
      <c r="I112" s="262"/>
      <c r="K112" s="262"/>
      <c r="M112" s="262"/>
      <c r="R112" s="181"/>
      <c r="S112" s="180"/>
      <c r="T112" s="180"/>
      <c r="U112" s="180"/>
      <c r="V112" s="180"/>
      <c r="W112" s="180"/>
      <c r="X112" s="180"/>
      <c r="Y112" s="180"/>
      <c r="Z112" s="180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</row>
    <row r="113" spans="3:71" s="62" customFormat="1" ht="12.75">
      <c r="C113" s="262"/>
      <c r="E113" s="262"/>
      <c r="G113" s="262"/>
      <c r="I113" s="262"/>
      <c r="K113" s="262"/>
      <c r="M113" s="262"/>
      <c r="R113" s="181"/>
      <c r="S113" s="180"/>
      <c r="T113" s="180"/>
      <c r="U113" s="180"/>
      <c r="V113" s="180"/>
      <c r="W113" s="180"/>
      <c r="X113" s="180"/>
      <c r="Y113" s="180"/>
      <c r="Z113" s="180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</row>
    <row r="114" spans="3:71" s="62" customFormat="1" ht="12.75">
      <c r="C114" s="262"/>
      <c r="E114" s="262"/>
      <c r="G114" s="262"/>
      <c r="I114" s="262"/>
      <c r="K114" s="262"/>
      <c r="M114" s="262"/>
      <c r="R114" s="181"/>
      <c r="S114" s="180"/>
      <c r="T114" s="180"/>
      <c r="U114" s="180"/>
      <c r="V114" s="180"/>
      <c r="W114" s="180"/>
      <c r="X114" s="180"/>
      <c r="Y114" s="180"/>
      <c r="Z114" s="180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</row>
    <row r="115" spans="3:71" s="62" customFormat="1" ht="12.75">
      <c r="C115" s="262"/>
      <c r="E115" s="262"/>
      <c r="G115" s="262"/>
      <c r="I115" s="262"/>
      <c r="K115" s="262"/>
      <c r="M115" s="262"/>
      <c r="R115" s="181"/>
      <c r="S115" s="180"/>
      <c r="T115" s="180"/>
      <c r="U115" s="180"/>
      <c r="V115" s="180"/>
      <c r="W115" s="180"/>
      <c r="X115" s="180"/>
      <c r="Y115" s="180"/>
      <c r="Z115" s="180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</row>
    <row r="116" spans="3:71" s="62" customFormat="1" ht="12.75">
      <c r="C116" s="262"/>
      <c r="E116" s="262"/>
      <c r="G116" s="262"/>
      <c r="I116" s="262"/>
      <c r="K116" s="262"/>
      <c r="M116" s="262"/>
      <c r="R116" s="181"/>
      <c r="S116" s="180"/>
      <c r="T116" s="180"/>
      <c r="U116" s="180"/>
      <c r="V116" s="180"/>
      <c r="W116" s="180"/>
      <c r="X116" s="180"/>
      <c r="Y116" s="180"/>
      <c r="Z116" s="180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</row>
    <row r="117" spans="3:71" s="62" customFormat="1" ht="12.75">
      <c r="C117" s="262"/>
      <c r="E117" s="262"/>
      <c r="G117" s="262"/>
      <c r="I117" s="262"/>
      <c r="K117" s="262"/>
      <c r="M117" s="262"/>
      <c r="R117" s="181"/>
      <c r="S117" s="180"/>
      <c r="T117" s="180"/>
      <c r="U117" s="180"/>
      <c r="V117" s="180"/>
      <c r="W117" s="180"/>
      <c r="X117" s="180"/>
      <c r="Y117" s="180"/>
      <c r="Z117" s="180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</row>
    <row r="118" spans="3:71" s="62" customFormat="1" ht="12.75">
      <c r="C118" s="262"/>
      <c r="E118" s="262"/>
      <c r="G118" s="262"/>
      <c r="I118" s="262"/>
      <c r="K118" s="262"/>
      <c r="M118" s="262"/>
      <c r="R118" s="181"/>
      <c r="S118" s="180"/>
      <c r="T118" s="180"/>
      <c r="U118" s="180"/>
      <c r="V118" s="180"/>
      <c r="W118" s="180"/>
      <c r="X118" s="180"/>
      <c r="Y118" s="180"/>
      <c r="Z118" s="180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</row>
    <row r="119" spans="3:71" s="62" customFormat="1" ht="12.75">
      <c r="C119" s="262"/>
      <c r="E119" s="262"/>
      <c r="G119" s="262"/>
      <c r="I119" s="262"/>
      <c r="K119" s="262"/>
      <c r="M119" s="262"/>
      <c r="R119" s="181"/>
      <c r="S119" s="180"/>
      <c r="T119" s="180"/>
      <c r="U119" s="180"/>
      <c r="V119" s="180"/>
      <c r="W119" s="180"/>
      <c r="X119" s="180"/>
      <c r="Y119" s="180"/>
      <c r="Z119" s="180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</row>
    <row r="120" spans="3:71" s="62" customFormat="1" ht="12.75">
      <c r="C120" s="262"/>
      <c r="E120" s="262"/>
      <c r="G120" s="262"/>
      <c r="I120" s="262"/>
      <c r="K120" s="262"/>
      <c r="M120" s="262"/>
      <c r="R120" s="181"/>
      <c r="S120" s="180"/>
      <c r="T120" s="180"/>
      <c r="U120" s="180"/>
      <c r="V120" s="180"/>
      <c r="W120" s="180"/>
      <c r="X120" s="180"/>
      <c r="Y120" s="180"/>
      <c r="Z120" s="180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</row>
    <row r="121" spans="1:71" s="62" customFormat="1" ht="21.75">
      <c r="A121" s="108"/>
      <c r="B121" s="108"/>
      <c r="C121" s="263"/>
      <c r="D121" s="108"/>
      <c r="E121" s="263"/>
      <c r="F121" s="108"/>
      <c r="G121" s="263"/>
      <c r="H121" s="108"/>
      <c r="I121" s="263"/>
      <c r="J121" s="108"/>
      <c r="K121" s="263"/>
      <c r="L121" s="108"/>
      <c r="M121" s="263"/>
      <c r="N121" s="108"/>
      <c r="O121" s="108"/>
      <c r="P121" s="108"/>
      <c r="Q121" s="108"/>
      <c r="R121" s="181"/>
      <c r="S121" s="180"/>
      <c r="T121" s="180"/>
      <c r="U121" s="180"/>
      <c r="V121" s="180"/>
      <c r="W121" s="180"/>
      <c r="X121" s="180"/>
      <c r="Y121" s="180"/>
      <c r="Z121" s="180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</row>
    <row r="122" spans="1:71" s="62" customFormat="1" ht="21.75">
      <c r="A122" s="108"/>
      <c r="B122" s="108"/>
      <c r="C122" s="263"/>
      <c r="D122" s="108"/>
      <c r="E122" s="263"/>
      <c r="F122" s="108"/>
      <c r="G122" s="263"/>
      <c r="H122" s="108"/>
      <c r="I122" s="263"/>
      <c r="J122" s="108"/>
      <c r="K122" s="263"/>
      <c r="L122" s="108"/>
      <c r="M122" s="263"/>
      <c r="N122" s="108"/>
      <c r="O122" s="108"/>
      <c r="P122" s="108"/>
      <c r="Q122" s="108"/>
      <c r="R122" s="181"/>
      <c r="S122" s="180"/>
      <c r="T122" s="180"/>
      <c r="U122" s="180"/>
      <c r="V122" s="180"/>
      <c r="W122" s="180"/>
      <c r="X122" s="180"/>
      <c r="Y122" s="180"/>
      <c r="Z122" s="180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</row>
    <row r="123" spans="1:71" s="62" customFormat="1" ht="21.75">
      <c r="A123" s="108"/>
      <c r="B123" s="108"/>
      <c r="C123" s="263"/>
      <c r="D123" s="108"/>
      <c r="E123" s="263"/>
      <c r="F123" s="108"/>
      <c r="G123" s="263"/>
      <c r="H123" s="108"/>
      <c r="I123" s="263"/>
      <c r="J123" s="108"/>
      <c r="K123" s="263"/>
      <c r="L123" s="108"/>
      <c r="M123" s="263"/>
      <c r="N123" s="108"/>
      <c r="O123" s="108"/>
      <c r="P123" s="108"/>
      <c r="Q123" s="108"/>
      <c r="R123" s="181"/>
      <c r="S123" s="180"/>
      <c r="T123" s="180"/>
      <c r="U123" s="180"/>
      <c r="V123" s="180"/>
      <c r="W123" s="180"/>
      <c r="X123" s="180"/>
      <c r="Y123" s="180"/>
      <c r="Z123" s="180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</row>
  </sheetData>
  <sheetProtection/>
  <mergeCells count="10">
    <mergeCell ref="A2:A3"/>
    <mergeCell ref="B2:C2"/>
    <mergeCell ref="D2:E2"/>
    <mergeCell ref="R2:S2"/>
    <mergeCell ref="N2:O2"/>
    <mergeCell ref="P2:Q2"/>
    <mergeCell ref="F2:G2"/>
    <mergeCell ref="H2:I2"/>
    <mergeCell ref="L2:M2"/>
    <mergeCell ref="J2:K2"/>
  </mergeCells>
  <printOptions horizontalCentered="1"/>
  <pageMargins left="0" right="0" top="0" bottom="0.05" header="0.39" footer="0.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H244"/>
  <sheetViews>
    <sheetView zoomScalePageLayoutView="0" workbookViewId="0" topLeftCell="A13">
      <selection activeCell="D22" sqref="D22"/>
    </sheetView>
  </sheetViews>
  <sheetFormatPr defaultColWidth="9.140625" defaultRowHeight="12.75"/>
  <cols>
    <col min="1" max="1" width="13.28125" style="612" customWidth="1"/>
    <col min="2" max="2" width="3.00390625" style="612" bestFit="1" customWidth="1"/>
    <col min="3" max="3" width="43.7109375" style="621" customWidth="1"/>
    <col min="4" max="4" width="62.57421875" style="614" customWidth="1"/>
    <col min="5" max="5" width="5.8515625" style="612" customWidth="1"/>
    <col min="6" max="6" width="9.57421875" style="614" customWidth="1"/>
    <col min="7" max="7" width="9.140625" style="83" customWidth="1"/>
    <col min="8" max="8" width="11.7109375" style="83" customWidth="1"/>
    <col min="9" max="16384" width="9.140625" style="614" customWidth="1"/>
  </cols>
  <sheetData>
    <row r="1" spans="1:6" ht="24.75" customHeight="1" thickBot="1">
      <c r="A1" s="178" t="s">
        <v>327</v>
      </c>
      <c r="C1" s="611"/>
      <c r="D1" s="613"/>
      <c r="E1" s="649"/>
      <c r="F1" s="19" t="s">
        <v>0</v>
      </c>
    </row>
    <row r="2" spans="1:8" s="603" customFormat="1" ht="34.5" customHeight="1" thickBot="1">
      <c r="A2" s="627" t="s">
        <v>125</v>
      </c>
      <c r="B2" s="628"/>
      <c r="C2" s="629" t="s">
        <v>124</v>
      </c>
      <c r="D2" s="627" t="s">
        <v>126</v>
      </c>
      <c r="E2" s="627" t="s">
        <v>10</v>
      </c>
      <c r="F2" s="630" t="s">
        <v>9</v>
      </c>
      <c r="H2" s="604"/>
    </row>
    <row r="3" spans="1:8" s="183" customFormat="1" ht="63">
      <c r="A3" s="631" t="s">
        <v>66</v>
      </c>
      <c r="B3" s="218">
        <v>1</v>
      </c>
      <c r="C3" s="632" t="s">
        <v>331</v>
      </c>
      <c r="D3" s="907" t="s">
        <v>332</v>
      </c>
      <c r="E3" s="633">
        <v>14</v>
      </c>
      <c r="F3" s="634">
        <v>2033.3</v>
      </c>
      <c r="H3" s="182"/>
    </row>
    <row r="4" spans="2:6" ht="63">
      <c r="B4" s="218">
        <v>2</v>
      </c>
      <c r="C4" s="632" t="s">
        <v>250</v>
      </c>
      <c r="D4" s="907" t="s">
        <v>333</v>
      </c>
      <c r="E4" s="633">
        <v>8</v>
      </c>
      <c r="F4" s="634">
        <v>1730.8</v>
      </c>
    </row>
    <row r="5" spans="2:6" ht="42" customHeight="1">
      <c r="B5" s="218">
        <v>3</v>
      </c>
      <c r="C5" s="632" t="s">
        <v>251</v>
      </c>
      <c r="D5" s="907" t="s">
        <v>334</v>
      </c>
      <c r="E5" s="633">
        <v>20</v>
      </c>
      <c r="F5" s="634">
        <v>2714</v>
      </c>
    </row>
    <row r="6" spans="2:6" ht="42.75" customHeight="1">
      <c r="B6" s="218">
        <v>4</v>
      </c>
      <c r="C6" s="632" t="s">
        <v>252</v>
      </c>
      <c r="D6" s="907" t="s">
        <v>335</v>
      </c>
      <c r="E6" s="633">
        <v>20</v>
      </c>
      <c r="F6" s="634">
        <v>2198.5</v>
      </c>
    </row>
    <row r="7" spans="2:6" ht="42">
      <c r="B7" s="218">
        <v>5</v>
      </c>
      <c r="C7" s="632" t="s">
        <v>336</v>
      </c>
      <c r="D7" s="907" t="s">
        <v>337</v>
      </c>
      <c r="E7" s="633">
        <v>11</v>
      </c>
      <c r="F7" s="1079">
        <v>707.6</v>
      </c>
    </row>
    <row r="8" spans="2:6" ht="42">
      <c r="B8" s="218">
        <v>6</v>
      </c>
      <c r="C8" s="632" t="s">
        <v>338</v>
      </c>
      <c r="D8" s="907" t="s">
        <v>339</v>
      </c>
      <c r="E8" s="633">
        <v>12</v>
      </c>
      <c r="F8" s="634">
        <v>2112.8</v>
      </c>
    </row>
    <row r="9" spans="1:8" s="603" customFormat="1" ht="21" customHeight="1">
      <c r="A9" s="605"/>
      <c r="B9" s="606"/>
      <c r="C9" s="233" t="s">
        <v>165</v>
      </c>
      <c r="D9" s="607"/>
      <c r="E9" s="233">
        <f>SUM(E3:E8)</f>
        <v>85</v>
      </c>
      <c r="F9" s="1080">
        <f>SUM(F3:F8)</f>
        <v>11497</v>
      </c>
      <c r="H9" s="604"/>
    </row>
    <row r="10" spans="1:8" s="7" customFormat="1" ht="42">
      <c r="A10" s="283" t="s">
        <v>79</v>
      </c>
      <c r="B10" s="218">
        <v>7</v>
      </c>
      <c r="C10" s="632" t="s">
        <v>340</v>
      </c>
      <c r="D10" s="908" t="s">
        <v>466</v>
      </c>
      <c r="E10" s="637">
        <v>12</v>
      </c>
      <c r="F10" s="634">
        <v>2509.9</v>
      </c>
      <c r="H10" s="83"/>
    </row>
    <row r="11" spans="1:8" s="603" customFormat="1" ht="21" customHeight="1">
      <c r="A11" s="605"/>
      <c r="B11" s="606"/>
      <c r="C11" s="233" t="s">
        <v>165</v>
      </c>
      <c r="D11" s="607"/>
      <c r="E11" s="233">
        <f>SUM(E10)</f>
        <v>12</v>
      </c>
      <c r="F11" s="233">
        <f>SUM(F10)</f>
        <v>2509.9</v>
      </c>
      <c r="H11" s="604"/>
    </row>
    <row r="12" spans="1:8" s="7" customFormat="1" ht="63">
      <c r="A12" s="283" t="s">
        <v>72</v>
      </c>
      <c r="B12" s="218">
        <v>8</v>
      </c>
      <c r="C12" s="632" t="s">
        <v>341</v>
      </c>
      <c r="D12" s="908" t="s">
        <v>342</v>
      </c>
      <c r="E12" s="637">
        <v>15</v>
      </c>
      <c r="F12" s="634">
        <v>2721.7</v>
      </c>
      <c r="H12" s="83"/>
    </row>
    <row r="13" spans="1:8" s="608" customFormat="1" ht="21.75" customHeight="1">
      <c r="A13" s="235"/>
      <c r="B13" s="609"/>
      <c r="C13" s="234" t="s">
        <v>165</v>
      </c>
      <c r="D13" s="235"/>
      <c r="E13" s="234">
        <f>SUM(E12)</f>
        <v>15</v>
      </c>
      <c r="F13" s="234">
        <f>SUM(F12)</f>
        <v>2721.7</v>
      </c>
      <c r="H13" s="42"/>
    </row>
    <row r="14" spans="1:8" s="219" customFormat="1" ht="45" customHeight="1">
      <c r="A14" s="283" t="s">
        <v>73</v>
      </c>
      <c r="B14" s="276">
        <v>9</v>
      </c>
      <c r="C14" s="632" t="s">
        <v>343</v>
      </c>
      <c r="D14" s="908" t="s">
        <v>467</v>
      </c>
      <c r="E14" s="635">
        <v>19</v>
      </c>
      <c r="F14" s="636">
        <v>3434.5</v>
      </c>
      <c r="H14" s="220"/>
    </row>
    <row r="15" spans="1:8" s="639" customFormat="1" ht="24.75" customHeight="1">
      <c r="A15" s="237"/>
      <c r="B15" s="638"/>
      <c r="C15" s="236" t="s">
        <v>165</v>
      </c>
      <c r="D15" s="237"/>
      <c r="E15" s="238">
        <f>SUM(E14)</f>
        <v>19</v>
      </c>
      <c r="F15" s="264">
        <f>SUM(F14)</f>
        <v>3434.5</v>
      </c>
      <c r="H15" s="640"/>
    </row>
    <row r="16" spans="1:8" s="219" customFormat="1" ht="47.25" customHeight="1">
      <c r="A16" s="283" t="s">
        <v>74</v>
      </c>
      <c r="B16" s="218">
        <v>10</v>
      </c>
      <c r="C16" s="632" t="s">
        <v>181</v>
      </c>
      <c r="D16" s="908" t="s">
        <v>344</v>
      </c>
      <c r="E16" s="637">
        <v>18</v>
      </c>
      <c r="F16" s="634">
        <v>2740</v>
      </c>
      <c r="H16" s="220"/>
    </row>
    <row r="17" spans="1:8" s="142" customFormat="1" ht="63">
      <c r="A17" s="266"/>
      <c r="B17" s="218">
        <v>11</v>
      </c>
      <c r="C17" s="632" t="s">
        <v>345</v>
      </c>
      <c r="D17" s="908" t="s">
        <v>346</v>
      </c>
      <c r="E17" s="637">
        <v>16</v>
      </c>
      <c r="F17" s="634">
        <v>2960</v>
      </c>
      <c r="H17" s="184"/>
    </row>
    <row r="18" spans="1:8" s="142" customFormat="1" ht="21">
      <c r="A18" s="241"/>
      <c r="B18" s="638"/>
      <c r="C18" s="236" t="s">
        <v>165</v>
      </c>
      <c r="D18" s="237"/>
      <c r="E18" s="650">
        <f>SUM(E16:E17)</f>
        <v>34</v>
      </c>
      <c r="F18" s="264">
        <f>SUM(F16:F17)</f>
        <v>5700</v>
      </c>
      <c r="H18" s="184"/>
    </row>
    <row r="19" spans="1:8" s="610" customFormat="1" ht="42.75" customHeight="1">
      <c r="A19" s="283" t="s">
        <v>157</v>
      </c>
      <c r="B19" s="276">
        <v>12</v>
      </c>
      <c r="C19" s="632" t="s">
        <v>253</v>
      </c>
      <c r="D19" s="908" t="s">
        <v>347</v>
      </c>
      <c r="E19" s="635">
        <v>19</v>
      </c>
      <c r="F19" s="636">
        <v>2974.7</v>
      </c>
      <c r="H19" s="641"/>
    </row>
    <row r="20" spans="1:8" s="118" customFormat="1" ht="21.75" thickBot="1">
      <c r="A20" s="239"/>
      <c r="B20" s="642"/>
      <c r="C20" s="643" t="s">
        <v>165</v>
      </c>
      <c r="D20" s="644"/>
      <c r="E20" s="643">
        <f>SUM(E19)</f>
        <v>19</v>
      </c>
      <c r="F20" s="645">
        <f>SUM(F19)</f>
        <v>2974.7</v>
      </c>
      <c r="H20" s="83"/>
    </row>
    <row r="21" spans="1:8" s="610" customFormat="1" ht="63">
      <c r="A21" s="283" t="s">
        <v>76</v>
      </c>
      <c r="B21" s="276">
        <v>13</v>
      </c>
      <c r="C21" s="632" t="s">
        <v>254</v>
      </c>
      <c r="D21" s="908" t="s">
        <v>351</v>
      </c>
      <c r="E21" s="635">
        <v>18</v>
      </c>
      <c r="F21" s="636">
        <v>3416.5</v>
      </c>
      <c r="H21" s="641"/>
    </row>
    <row r="22" spans="1:8" s="118" customFormat="1" ht="21.75" thickBot="1">
      <c r="A22" s="239"/>
      <c r="B22" s="642"/>
      <c r="C22" s="643" t="s">
        <v>165</v>
      </c>
      <c r="D22" s="644"/>
      <c r="E22" s="643">
        <f>SUM(E21:E21)</f>
        <v>18</v>
      </c>
      <c r="F22" s="645">
        <f>SUM(F21:F21)</f>
        <v>3416.5</v>
      </c>
      <c r="H22" s="83"/>
    </row>
    <row r="23" spans="1:8" s="610" customFormat="1" ht="19.5" customHeight="1" thickBot="1">
      <c r="A23" s="127"/>
      <c r="B23" s="646"/>
      <c r="C23" s="629" t="s">
        <v>56</v>
      </c>
      <c r="D23" s="647"/>
      <c r="E23" s="651">
        <f>SUM(E3:E22)/2</f>
        <v>202</v>
      </c>
      <c r="F23" s="265">
        <f>SUM(F3:F22)/2</f>
        <v>32254.3</v>
      </c>
      <c r="H23" s="641"/>
    </row>
    <row r="24" spans="1:8" s="222" customFormat="1" ht="18.75" customHeight="1">
      <c r="A24" s="142"/>
      <c r="B24" s="615"/>
      <c r="C24" s="187"/>
      <c r="D24" s="140"/>
      <c r="E24" s="141"/>
      <c r="F24" s="616"/>
      <c r="H24" s="648"/>
    </row>
    <row r="25" spans="1:8" s="118" customFormat="1" ht="19.5" customHeight="1">
      <c r="A25" s="64"/>
      <c r="B25" s="617"/>
      <c r="C25" s="187"/>
      <c r="D25" s="140"/>
      <c r="E25" s="141"/>
      <c r="F25" s="618"/>
      <c r="H25" s="83"/>
    </row>
    <row r="26" spans="1:8" s="118" customFormat="1" ht="19.5" customHeight="1">
      <c r="A26" s="111"/>
      <c r="B26" s="619"/>
      <c r="C26" s="186"/>
      <c r="D26" s="213"/>
      <c r="E26" s="214"/>
      <c r="F26" s="620"/>
      <c r="H26" s="83"/>
    </row>
    <row r="27" spans="1:8" s="7" customFormat="1" ht="18.75" customHeight="1">
      <c r="A27" s="111"/>
      <c r="B27" s="619"/>
      <c r="C27" s="186"/>
      <c r="D27" s="140"/>
      <c r="E27" s="141"/>
      <c r="F27" s="618"/>
      <c r="H27" s="83"/>
    </row>
    <row r="28" spans="1:8" s="7" customFormat="1" ht="18.75" customHeight="1">
      <c r="A28" s="111"/>
      <c r="B28" s="619"/>
      <c r="C28" s="186"/>
      <c r="D28" s="213"/>
      <c r="E28" s="214"/>
      <c r="F28" s="620"/>
      <c r="H28" s="83"/>
    </row>
    <row r="29" spans="1:8" s="7" customFormat="1" ht="18.75" customHeight="1">
      <c r="A29" s="111"/>
      <c r="B29" s="619"/>
      <c r="C29" s="186"/>
      <c r="D29" s="140"/>
      <c r="E29" s="214"/>
      <c r="F29" s="618"/>
      <c r="H29" s="83"/>
    </row>
    <row r="30" spans="1:8" s="7" customFormat="1" ht="18.75" customHeight="1">
      <c r="A30" s="111"/>
      <c r="B30" s="619"/>
      <c r="C30" s="186"/>
      <c r="D30" s="140"/>
      <c r="E30" s="141"/>
      <c r="F30" s="618"/>
      <c r="H30" s="83"/>
    </row>
    <row r="31" spans="1:8" s="7" customFormat="1" ht="18.75" customHeight="1">
      <c r="A31" s="111"/>
      <c r="B31" s="619"/>
      <c r="C31" s="186"/>
      <c r="D31" s="140"/>
      <c r="E31" s="141"/>
      <c r="F31" s="618"/>
      <c r="H31" s="83"/>
    </row>
    <row r="32" spans="1:8" s="7" customFormat="1" ht="18.75" customHeight="1">
      <c r="A32" s="111"/>
      <c r="B32" s="619"/>
      <c r="C32" s="185"/>
      <c r="D32" s="140"/>
      <c r="E32" s="141"/>
      <c r="F32" s="618"/>
      <c r="H32" s="83"/>
    </row>
    <row r="33" spans="1:8" s="118" customFormat="1" ht="19.5" customHeight="1">
      <c r="A33" s="111"/>
      <c r="B33" s="619"/>
      <c r="C33" s="185"/>
      <c r="D33" s="140"/>
      <c r="E33" s="141"/>
      <c r="F33" s="618"/>
      <c r="H33" s="83"/>
    </row>
    <row r="34" spans="1:8" s="118" customFormat="1" ht="19.5" customHeight="1">
      <c r="A34" s="612"/>
      <c r="B34" s="612"/>
      <c r="C34" s="621"/>
      <c r="D34" s="614"/>
      <c r="E34" s="612"/>
      <c r="F34" s="614"/>
      <c r="H34" s="83"/>
    </row>
    <row r="36" spans="1:6" ht="18.75">
      <c r="A36" s="143"/>
      <c r="B36" s="143"/>
      <c r="C36" s="142"/>
      <c r="D36" s="142"/>
      <c r="E36" s="143"/>
      <c r="F36" s="622"/>
    </row>
    <row r="37" spans="1:8" s="142" customFormat="1" ht="21.75" customHeight="1">
      <c r="A37" s="143"/>
      <c r="B37" s="143"/>
      <c r="C37" s="623"/>
      <c r="E37" s="143"/>
      <c r="F37" s="96"/>
      <c r="H37" s="184"/>
    </row>
    <row r="38" spans="1:8" s="118" customFormat="1" ht="18" customHeight="1">
      <c r="A38" s="83"/>
      <c r="B38" s="83"/>
      <c r="C38" s="624"/>
      <c r="D38" s="83"/>
      <c r="E38" s="652"/>
      <c r="F38" s="83"/>
      <c r="H38" s="83"/>
    </row>
    <row r="39" spans="3:5" s="83" customFormat="1" ht="19.5" customHeight="1">
      <c r="C39" s="624"/>
      <c r="E39" s="652"/>
    </row>
    <row r="40" spans="3:5" s="83" customFormat="1" ht="15">
      <c r="C40" s="624"/>
      <c r="E40" s="652"/>
    </row>
    <row r="41" spans="3:5" s="83" customFormat="1" ht="15">
      <c r="C41" s="624"/>
      <c r="E41" s="652"/>
    </row>
    <row r="42" spans="3:5" s="83" customFormat="1" ht="15">
      <c r="C42" s="624"/>
      <c r="E42" s="652"/>
    </row>
    <row r="43" spans="3:5" s="83" customFormat="1" ht="15">
      <c r="C43" s="624"/>
      <c r="E43" s="652"/>
    </row>
    <row r="44" spans="3:5" s="83" customFormat="1" ht="15">
      <c r="C44" s="624"/>
      <c r="E44" s="652"/>
    </row>
    <row r="45" spans="3:5" s="83" customFormat="1" ht="15">
      <c r="C45" s="624"/>
      <c r="E45" s="652"/>
    </row>
    <row r="46" spans="3:5" s="83" customFormat="1" ht="15">
      <c r="C46" s="624"/>
      <c r="E46" s="652"/>
    </row>
    <row r="47" spans="3:5" s="83" customFormat="1" ht="15">
      <c r="C47" s="624"/>
      <c r="E47" s="652"/>
    </row>
    <row r="48" spans="3:5" s="83" customFormat="1" ht="15">
      <c r="C48" s="624"/>
      <c r="E48" s="652"/>
    </row>
    <row r="49" spans="3:5" s="83" customFormat="1" ht="15">
      <c r="C49" s="624"/>
      <c r="E49" s="652"/>
    </row>
    <row r="50" spans="3:5" s="83" customFormat="1" ht="15">
      <c r="C50" s="624"/>
      <c r="E50" s="652"/>
    </row>
    <row r="51" spans="3:5" s="83" customFormat="1" ht="15">
      <c r="C51" s="624"/>
      <c r="E51" s="652"/>
    </row>
    <row r="52" spans="3:5" s="83" customFormat="1" ht="15">
      <c r="C52" s="624"/>
      <c r="E52" s="652"/>
    </row>
    <row r="53" spans="3:5" s="83" customFormat="1" ht="15">
      <c r="C53" s="624"/>
      <c r="E53" s="652"/>
    </row>
    <row r="54" spans="3:5" s="83" customFormat="1" ht="15">
      <c r="C54" s="624"/>
      <c r="E54" s="652"/>
    </row>
    <row r="55" spans="3:5" s="83" customFormat="1" ht="15">
      <c r="C55" s="624"/>
      <c r="E55" s="652"/>
    </row>
    <row r="56" spans="3:5" s="83" customFormat="1" ht="15">
      <c r="C56" s="624"/>
      <c r="E56" s="652"/>
    </row>
    <row r="57" spans="3:5" s="83" customFormat="1" ht="15">
      <c r="C57" s="624"/>
      <c r="E57" s="652"/>
    </row>
    <row r="58" spans="3:5" s="83" customFormat="1" ht="15">
      <c r="C58" s="624"/>
      <c r="E58" s="652"/>
    </row>
    <row r="59" spans="3:5" s="83" customFormat="1" ht="15">
      <c r="C59" s="624"/>
      <c r="E59" s="652"/>
    </row>
    <row r="60" spans="3:5" s="83" customFormat="1" ht="15">
      <c r="C60" s="624"/>
      <c r="E60" s="652"/>
    </row>
    <row r="61" spans="3:5" s="83" customFormat="1" ht="15">
      <c r="C61" s="624"/>
      <c r="E61" s="652"/>
    </row>
    <row r="62" spans="3:5" s="83" customFormat="1" ht="15">
      <c r="C62" s="624"/>
      <c r="E62" s="652"/>
    </row>
    <row r="63" spans="3:5" s="83" customFormat="1" ht="15">
      <c r="C63" s="624"/>
      <c r="E63" s="652"/>
    </row>
    <row r="64" spans="3:5" s="83" customFormat="1" ht="15">
      <c r="C64" s="624"/>
      <c r="E64" s="652"/>
    </row>
    <row r="65" spans="3:5" s="83" customFormat="1" ht="15">
      <c r="C65" s="624"/>
      <c r="E65" s="652"/>
    </row>
    <row r="66" spans="3:5" s="83" customFormat="1" ht="15">
      <c r="C66" s="624"/>
      <c r="E66" s="652"/>
    </row>
    <row r="67" spans="3:5" s="83" customFormat="1" ht="15">
      <c r="C67" s="624"/>
      <c r="E67" s="652"/>
    </row>
    <row r="68" spans="3:5" s="83" customFormat="1" ht="15">
      <c r="C68" s="624"/>
      <c r="E68" s="652"/>
    </row>
    <row r="69" spans="3:5" s="83" customFormat="1" ht="15">
      <c r="C69" s="624"/>
      <c r="E69" s="652"/>
    </row>
    <row r="70" spans="3:5" s="83" customFormat="1" ht="15">
      <c r="C70" s="624"/>
      <c r="E70" s="652"/>
    </row>
    <row r="71" spans="3:5" s="83" customFormat="1" ht="15">
      <c r="C71" s="624"/>
      <c r="E71" s="652"/>
    </row>
    <row r="72" spans="3:5" s="83" customFormat="1" ht="15">
      <c r="C72" s="624"/>
      <c r="E72" s="652"/>
    </row>
    <row r="73" spans="3:5" s="83" customFormat="1" ht="15">
      <c r="C73" s="624"/>
      <c r="E73" s="652"/>
    </row>
    <row r="74" spans="3:5" s="83" customFormat="1" ht="15">
      <c r="C74" s="624"/>
      <c r="E74" s="652"/>
    </row>
    <row r="75" spans="3:5" s="83" customFormat="1" ht="15">
      <c r="C75" s="624"/>
      <c r="E75" s="652"/>
    </row>
    <row r="76" spans="3:5" s="83" customFormat="1" ht="15">
      <c r="C76" s="624"/>
      <c r="E76" s="652"/>
    </row>
    <row r="77" spans="3:5" s="83" customFormat="1" ht="15">
      <c r="C77" s="624"/>
      <c r="E77" s="652"/>
    </row>
    <row r="78" spans="3:5" s="83" customFormat="1" ht="15">
      <c r="C78" s="624"/>
      <c r="E78" s="652"/>
    </row>
    <row r="79" spans="3:5" s="83" customFormat="1" ht="15">
      <c r="C79" s="624"/>
      <c r="E79" s="652"/>
    </row>
    <row r="80" spans="3:5" s="83" customFormat="1" ht="15">
      <c r="C80" s="624"/>
      <c r="E80" s="652"/>
    </row>
    <row r="81" spans="3:5" s="83" customFormat="1" ht="15">
      <c r="C81" s="624"/>
      <c r="E81" s="652"/>
    </row>
    <row r="82" spans="3:5" s="83" customFormat="1" ht="18.75" customHeight="1">
      <c r="C82" s="624"/>
      <c r="E82" s="652"/>
    </row>
    <row r="83" spans="3:5" s="83" customFormat="1" ht="18" customHeight="1">
      <c r="C83" s="624"/>
      <c r="E83" s="652"/>
    </row>
    <row r="84" spans="3:5" s="83" customFormat="1" ht="18" customHeight="1">
      <c r="C84" s="624"/>
      <c r="E84" s="652"/>
    </row>
    <row r="85" spans="3:5" s="83" customFormat="1" ht="18.75" customHeight="1">
      <c r="C85" s="624"/>
      <c r="E85" s="652"/>
    </row>
    <row r="86" spans="3:5" s="83" customFormat="1" ht="18.75" customHeight="1">
      <c r="C86" s="624"/>
      <c r="E86" s="652"/>
    </row>
    <row r="87" spans="3:5" s="83" customFormat="1" ht="17.25" customHeight="1">
      <c r="C87" s="624"/>
      <c r="E87" s="652"/>
    </row>
    <row r="88" spans="3:5" s="83" customFormat="1" ht="19.5" customHeight="1">
      <c r="C88" s="624"/>
      <c r="E88" s="652"/>
    </row>
    <row r="89" spans="3:5" s="83" customFormat="1" ht="19.5" customHeight="1">
      <c r="C89" s="624"/>
      <c r="E89" s="652"/>
    </row>
    <row r="90" spans="3:5" s="83" customFormat="1" ht="15">
      <c r="C90" s="624"/>
      <c r="E90" s="652"/>
    </row>
    <row r="91" spans="3:5" s="83" customFormat="1" ht="18.75" customHeight="1">
      <c r="C91" s="624"/>
      <c r="E91" s="652"/>
    </row>
    <row r="92" spans="3:5" s="83" customFormat="1" ht="18.75" customHeight="1">
      <c r="C92" s="624"/>
      <c r="E92" s="652"/>
    </row>
    <row r="93" spans="3:5" s="83" customFormat="1" ht="18.75" customHeight="1">
      <c r="C93" s="624"/>
      <c r="E93" s="652"/>
    </row>
    <row r="94" spans="3:5" s="83" customFormat="1" ht="18.75" customHeight="1">
      <c r="C94" s="624"/>
      <c r="E94" s="652"/>
    </row>
    <row r="95" spans="3:5" s="83" customFormat="1" ht="19.5" customHeight="1">
      <c r="C95" s="624"/>
      <c r="E95" s="652"/>
    </row>
    <row r="96" spans="3:5" s="83" customFormat="1" ht="15">
      <c r="C96" s="624"/>
      <c r="E96" s="652"/>
    </row>
    <row r="97" spans="3:5" s="83" customFormat="1" ht="15">
      <c r="C97" s="624"/>
      <c r="E97" s="652"/>
    </row>
    <row r="98" spans="3:5" s="83" customFormat="1" ht="15">
      <c r="C98" s="624"/>
      <c r="E98" s="652"/>
    </row>
    <row r="99" spans="3:5" s="83" customFormat="1" ht="15">
      <c r="C99" s="624"/>
      <c r="E99" s="652"/>
    </row>
    <row r="100" spans="3:5" s="83" customFormat="1" ht="15">
      <c r="C100" s="624"/>
      <c r="E100" s="652"/>
    </row>
    <row r="101" spans="3:5" s="83" customFormat="1" ht="15">
      <c r="C101" s="624"/>
      <c r="E101" s="652"/>
    </row>
    <row r="102" spans="3:5" s="83" customFormat="1" ht="15">
      <c r="C102" s="624"/>
      <c r="E102" s="652"/>
    </row>
    <row r="103" spans="3:5" s="83" customFormat="1" ht="15">
      <c r="C103" s="624"/>
      <c r="E103" s="652"/>
    </row>
    <row r="104" spans="3:5" s="83" customFormat="1" ht="15">
      <c r="C104" s="624"/>
      <c r="E104" s="652"/>
    </row>
    <row r="105" spans="3:5" s="83" customFormat="1" ht="15">
      <c r="C105" s="624"/>
      <c r="E105" s="652"/>
    </row>
    <row r="106" spans="3:5" s="83" customFormat="1" ht="15">
      <c r="C106" s="624"/>
      <c r="E106" s="652"/>
    </row>
    <row r="107" spans="3:5" s="83" customFormat="1" ht="15">
      <c r="C107" s="624"/>
      <c r="E107" s="652"/>
    </row>
    <row r="108" spans="3:5" s="83" customFormat="1" ht="15">
      <c r="C108" s="624"/>
      <c r="E108" s="652"/>
    </row>
    <row r="109" spans="3:5" s="83" customFormat="1" ht="15">
      <c r="C109" s="624"/>
      <c r="E109" s="652"/>
    </row>
    <row r="110" spans="3:5" s="83" customFormat="1" ht="15">
      <c r="C110" s="624"/>
      <c r="E110" s="652"/>
    </row>
    <row r="111" spans="3:5" s="83" customFormat="1" ht="15">
      <c r="C111" s="624"/>
      <c r="E111" s="652"/>
    </row>
    <row r="112" spans="1:6" s="83" customFormat="1" ht="18.75">
      <c r="A112" s="625"/>
      <c r="B112" s="625"/>
      <c r="C112" s="626"/>
      <c r="D112" s="7"/>
      <c r="E112" s="625"/>
      <c r="F112" s="7"/>
    </row>
    <row r="113" spans="1:8" s="7" customFormat="1" ht="18.75">
      <c r="A113" s="625"/>
      <c r="B113" s="625"/>
      <c r="C113" s="626"/>
      <c r="E113" s="625"/>
      <c r="H113" s="83"/>
    </row>
    <row r="114" spans="1:8" s="7" customFormat="1" ht="18.75">
      <c r="A114" s="625"/>
      <c r="B114" s="625"/>
      <c r="C114" s="626"/>
      <c r="E114" s="625"/>
      <c r="H114" s="83"/>
    </row>
    <row r="115" spans="1:8" s="7" customFormat="1" ht="18.75">
      <c r="A115" s="625"/>
      <c r="B115" s="625"/>
      <c r="C115" s="626"/>
      <c r="E115" s="625"/>
      <c r="H115" s="83"/>
    </row>
    <row r="116" spans="1:8" s="7" customFormat="1" ht="18.75">
      <c r="A116" s="625"/>
      <c r="B116" s="625"/>
      <c r="C116" s="626"/>
      <c r="E116" s="625"/>
      <c r="H116" s="83"/>
    </row>
    <row r="117" spans="1:8" s="7" customFormat="1" ht="18.75">
      <c r="A117" s="625"/>
      <c r="B117" s="625"/>
      <c r="C117" s="626"/>
      <c r="E117" s="625"/>
      <c r="H117" s="83"/>
    </row>
    <row r="118" spans="1:8" s="7" customFormat="1" ht="18.75">
      <c r="A118" s="625"/>
      <c r="B118" s="625"/>
      <c r="C118" s="626"/>
      <c r="E118" s="625"/>
      <c r="H118" s="83"/>
    </row>
    <row r="119" spans="1:8" s="7" customFormat="1" ht="18.75">
      <c r="A119" s="625"/>
      <c r="B119" s="625"/>
      <c r="C119" s="626"/>
      <c r="E119" s="625"/>
      <c r="H119" s="83"/>
    </row>
    <row r="120" spans="1:8" s="7" customFormat="1" ht="18.75">
      <c r="A120" s="625"/>
      <c r="B120" s="625"/>
      <c r="C120" s="626"/>
      <c r="E120" s="625"/>
      <c r="H120" s="83"/>
    </row>
    <row r="121" spans="1:8" s="7" customFormat="1" ht="18.75">
      <c r="A121" s="625"/>
      <c r="B121" s="625"/>
      <c r="C121" s="626"/>
      <c r="E121" s="625"/>
      <c r="H121" s="83"/>
    </row>
    <row r="122" spans="1:8" s="7" customFormat="1" ht="18.75">
      <c r="A122" s="625"/>
      <c r="B122" s="625"/>
      <c r="C122" s="626"/>
      <c r="E122" s="625"/>
      <c r="H122" s="83"/>
    </row>
    <row r="123" spans="1:8" s="7" customFormat="1" ht="18.75">
      <c r="A123" s="625"/>
      <c r="B123" s="625"/>
      <c r="C123" s="626"/>
      <c r="E123" s="625"/>
      <c r="H123" s="83"/>
    </row>
    <row r="124" spans="1:8" s="7" customFormat="1" ht="18.75">
      <c r="A124" s="625"/>
      <c r="B124" s="625"/>
      <c r="C124" s="626"/>
      <c r="E124" s="625"/>
      <c r="H124" s="83"/>
    </row>
    <row r="125" spans="1:8" s="7" customFormat="1" ht="18.75">
      <c r="A125" s="625"/>
      <c r="B125" s="625"/>
      <c r="C125" s="626"/>
      <c r="E125" s="625"/>
      <c r="H125" s="83"/>
    </row>
    <row r="126" spans="1:8" s="7" customFormat="1" ht="18.75">
      <c r="A126" s="625"/>
      <c r="B126" s="625"/>
      <c r="C126" s="626"/>
      <c r="E126" s="625"/>
      <c r="H126" s="83"/>
    </row>
    <row r="127" spans="1:8" s="7" customFormat="1" ht="18.75">
      <c r="A127" s="625"/>
      <c r="B127" s="625"/>
      <c r="C127" s="626"/>
      <c r="E127" s="625"/>
      <c r="H127" s="83"/>
    </row>
    <row r="128" spans="1:8" s="7" customFormat="1" ht="18.75">
      <c r="A128" s="625"/>
      <c r="B128" s="625"/>
      <c r="C128" s="626"/>
      <c r="E128" s="625"/>
      <c r="H128" s="83"/>
    </row>
    <row r="129" spans="1:8" s="7" customFormat="1" ht="18.75">
      <c r="A129" s="625"/>
      <c r="B129" s="625"/>
      <c r="C129" s="626"/>
      <c r="E129" s="625"/>
      <c r="H129" s="83"/>
    </row>
    <row r="130" spans="1:8" s="7" customFormat="1" ht="18.75">
      <c r="A130" s="625"/>
      <c r="B130" s="625"/>
      <c r="C130" s="626"/>
      <c r="E130" s="625"/>
      <c r="H130" s="83"/>
    </row>
    <row r="131" spans="1:8" s="7" customFormat="1" ht="18.75">
      <c r="A131" s="625"/>
      <c r="B131" s="625"/>
      <c r="C131" s="626"/>
      <c r="E131" s="625"/>
      <c r="H131" s="83"/>
    </row>
    <row r="132" spans="1:8" s="7" customFormat="1" ht="18.75">
      <c r="A132" s="625"/>
      <c r="B132" s="625"/>
      <c r="C132" s="626"/>
      <c r="E132" s="625"/>
      <c r="H132" s="83"/>
    </row>
    <row r="133" spans="1:8" s="7" customFormat="1" ht="18.75">
      <c r="A133" s="625"/>
      <c r="B133" s="625"/>
      <c r="C133" s="626"/>
      <c r="E133" s="625"/>
      <c r="H133" s="83"/>
    </row>
    <row r="134" spans="1:8" s="7" customFormat="1" ht="18.75">
      <c r="A134" s="625"/>
      <c r="B134" s="625"/>
      <c r="C134" s="626"/>
      <c r="E134" s="625"/>
      <c r="H134" s="83"/>
    </row>
    <row r="135" spans="1:8" s="7" customFormat="1" ht="18.75">
      <c r="A135" s="625"/>
      <c r="B135" s="625"/>
      <c r="C135" s="626"/>
      <c r="E135" s="625"/>
      <c r="H135" s="83"/>
    </row>
    <row r="136" spans="1:8" s="7" customFormat="1" ht="18.75">
      <c r="A136" s="625"/>
      <c r="B136" s="625"/>
      <c r="C136" s="626"/>
      <c r="E136" s="625"/>
      <c r="H136" s="83"/>
    </row>
    <row r="137" spans="1:8" s="7" customFormat="1" ht="18.75">
      <c r="A137" s="625"/>
      <c r="B137" s="625"/>
      <c r="C137" s="626"/>
      <c r="E137" s="625"/>
      <c r="H137" s="83"/>
    </row>
    <row r="138" spans="1:8" s="7" customFormat="1" ht="18.75">
      <c r="A138" s="625"/>
      <c r="B138" s="625"/>
      <c r="C138" s="626"/>
      <c r="E138" s="625"/>
      <c r="H138" s="83"/>
    </row>
    <row r="139" spans="1:8" s="7" customFormat="1" ht="18.75">
      <c r="A139" s="625"/>
      <c r="B139" s="625"/>
      <c r="C139" s="626"/>
      <c r="E139" s="625"/>
      <c r="H139" s="83"/>
    </row>
    <row r="140" spans="1:8" s="7" customFormat="1" ht="18.75">
      <c r="A140" s="625"/>
      <c r="B140" s="625"/>
      <c r="C140" s="626"/>
      <c r="E140" s="625"/>
      <c r="H140" s="83"/>
    </row>
    <row r="141" spans="1:8" s="7" customFormat="1" ht="18.75">
      <c r="A141" s="625"/>
      <c r="B141" s="625"/>
      <c r="C141" s="626"/>
      <c r="E141" s="625"/>
      <c r="H141" s="83"/>
    </row>
    <row r="142" spans="1:8" s="7" customFormat="1" ht="18.75">
      <c r="A142" s="625"/>
      <c r="B142" s="625"/>
      <c r="C142" s="626"/>
      <c r="E142" s="625"/>
      <c r="H142" s="83"/>
    </row>
    <row r="143" spans="1:8" s="7" customFormat="1" ht="18.75">
      <c r="A143" s="625"/>
      <c r="B143" s="625"/>
      <c r="C143" s="626"/>
      <c r="E143" s="625"/>
      <c r="H143" s="83"/>
    </row>
    <row r="144" spans="1:8" s="7" customFormat="1" ht="18.75">
      <c r="A144" s="625"/>
      <c r="B144" s="625"/>
      <c r="C144" s="626"/>
      <c r="E144" s="625"/>
      <c r="H144" s="83"/>
    </row>
    <row r="145" spans="1:8" s="7" customFormat="1" ht="18.75">
      <c r="A145" s="625"/>
      <c r="B145" s="625"/>
      <c r="C145" s="626"/>
      <c r="E145" s="625"/>
      <c r="H145" s="83"/>
    </row>
    <row r="146" spans="1:8" s="7" customFormat="1" ht="18.75">
      <c r="A146" s="625"/>
      <c r="B146" s="625"/>
      <c r="C146" s="626"/>
      <c r="E146" s="625"/>
      <c r="H146" s="83"/>
    </row>
    <row r="147" spans="1:8" s="7" customFormat="1" ht="18.75">
      <c r="A147" s="625"/>
      <c r="B147" s="625"/>
      <c r="C147" s="626"/>
      <c r="E147" s="625"/>
      <c r="H147" s="83"/>
    </row>
    <row r="148" spans="1:8" s="7" customFormat="1" ht="18.75">
      <c r="A148" s="625"/>
      <c r="B148" s="625"/>
      <c r="C148" s="626"/>
      <c r="E148" s="625"/>
      <c r="H148" s="83"/>
    </row>
    <row r="149" spans="1:8" s="7" customFormat="1" ht="18.75">
      <c r="A149" s="625"/>
      <c r="B149" s="625"/>
      <c r="C149" s="626"/>
      <c r="E149" s="625"/>
      <c r="H149" s="83"/>
    </row>
    <row r="150" spans="1:8" s="7" customFormat="1" ht="18.75">
      <c r="A150" s="625"/>
      <c r="B150" s="625"/>
      <c r="C150" s="626"/>
      <c r="E150" s="625"/>
      <c r="H150" s="83"/>
    </row>
    <row r="151" spans="1:8" s="7" customFormat="1" ht="18.75">
      <c r="A151" s="625"/>
      <c r="B151" s="625"/>
      <c r="C151" s="626"/>
      <c r="E151" s="625"/>
      <c r="H151" s="83"/>
    </row>
    <row r="152" spans="1:8" s="7" customFormat="1" ht="18.75">
      <c r="A152" s="625"/>
      <c r="B152" s="625"/>
      <c r="C152" s="626"/>
      <c r="E152" s="625"/>
      <c r="H152" s="83"/>
    </row>
    <row r="153" spans="1:8" s="7" customFormat="1" ht="18.75">
      <c r="A153" s="625"/>
      <c r="B153" s="625"/>
      <c r="C153" s="626"/>
      <c r="E153" s="625"/>
      <c r="H153" s="83"/>
    </row>
    <row r="154" spans="1:8" s="7" customFormat="1" ht="18.75">
      <c r="A154" s="625"/>
      <c r="B154" s="625"/>
      <c r="C154" s="626"/>
      <c r="E154" s="625"/>
      <c r="H154" s="83"/>
    </row>
    <row r="155" spans="1:8" s="7" customFormat="1" ht="18.75">
      <c r="A155" s="625"/>
      <c r="B155" s="625"/>
      <c r="C155" s="626"/>
      <c r="E155" s="625"/>
      <c r="H155" s="83"/>
    </row>
    <row r="156" spans="1:8" s="7" customFormat="1" ht="18.75">
      <c r="A156" s="625"/>
      <c r="B156" s="625"/>
      <c r="C156" s="626"/>
      <c r="E156" s="625"/>
      <c r="H156" s="83"/>
    </row>
    <row r="157" spans="1:8" s="7" customFormat="1" ht="18.75">
      <c r="A157" s="625"/>
      <c r="B157" s="625"/>
      <c r="C157" s="626"/>
      <c r="E157" s="625"/>
      <c r="H157" s="83"/>
    </row>
    <row r="158" spans="1:8" s="7" customFormat="1" ht="18.75">
      <c r="A158" s="625"/>
      <c r="B158" s="625"/>
      <c r="C158" s="626"/>
      <c r="E158" s="625"/>
      <c r="H158" s="83"/>
    </row>
    <row r="159" spans="1:8" s="7" customFormat="1" ht="18.75">
      <c r="A159" s="625"/>
      <c r="B159" s="625"/>
      <c r="C159" s="626"/>
      <c r="E159" s="625"/>
      <c r="H159" s="83"/>
    </row>
    <row r="160" spans="1:8" s="7" customFormat="1" ht="18.75">
      <c r="A160" s="625"/>
      <c r="B160" s="625"/>
      <c r="C160" s="626"/>
      <c r="E160" s="625"/>
      <c r="H160" s="83"/>
    </row>
    <row r="161" spans="1:8" s="7" customFormat="1" ht="18.75">
      <c r="A161" s="625"/>
      <c r="B161" s="625"/>
      <c r="C161" s="626"/>
      <c r="E161" s="625"/>
      <c r="H161" s="83"/>
    </row>
    <row r="162" spans="1:8" s="7" customFormat="1" ht="18.75">
      <c r="A162" s="625"/>
      <c r="B162" s="625"/>
      <c r="C162" s="626"/>
      <c r="E162" s="625"/>
      <c r="H162" s="83"/>
    </row>
    <row r="163" spans="1:8" s="7" customFormat="1" ht="18.75">
      <c r="A163" s="625"/>
      <c r="B163" s="625"/>
      <c r="C163" s="626"/>
      <c r="E163" s="625"/>
      <c r="H163" s="83"/>
    </row>
    <row r="164" spans="1:8" s="7" customFormat="1" ht="18.75">
      <c r="A164" s="625"/>
      <c r="B164" s="625"/>
      <c r="C164" s="626"/>
      <c r="E164" s="625"/>
      <c r="H164" s="83"/>
    </row>
    <row r="165" spans="1:8" s="7" customFormat="1" ht="18.75">
      <c r="A165" s="625"/>
      <c r="B165" s="625"/>
      <c r="C165" s="626"/>
      <c r="E165" s="625"/>
      <c r="H165" s="83"/>
    </row>
    <row r="166" spans="1:8" s="7" customFormat="1" ht="18.75">
      <c r="A166" s="625"/>
      <c r="B166" s="625"/>
      <c r="C166" s="626"/>
      <c r="E166" s="625"/>
      <c r="H166" s="83"/>
    </row>
    <row r="167" spans="1:8" s="7" customFormat="1" ht="18.75">
      <c r="A167" s="625"/>
      <c r="B167" s="625"/>
      <c r="C167" s="626"/>
      <c r="E167" s="625"/>
      <c r="H167" s="83"/>
    </row>
    <row r="168" spans="1:8" s="7" customFormat="1" ht="18.75">
      <c r="A168" s="625"/>
      <c r="B168" s="625"/>
      <c r="C168" s="626"/>
      <c r="E168" s="625"/>
      <c r="H168" s="83"/>
    </row>
    <row r="169" spans="1:8" s="7" customFormat="1" ht="18.75">
      <c r="A169" s="625"/>
      <c r="B169" s="625"/>
      <c r="C169" s="626"/>
      <c r="E169" s="625"/>
      <c r="H169" s="83"/>
    </row>
    <row r="170" spans="1:8" s="7" customFormat="1" ht="18.75">
      <c r="A170" s="625"/>
      <c r="B170" s="625"/>
      <c r="C170" s="626"/>
      <c r="E170" s="625"/>
      <c r="H170" s="83"/>
    </row>
    <row r="171" spans="1:8" s="7" customFormat="1" ht="18.75">
      <c r="A171" s="625"/>
      <c r="B171" s="625"/>
      <c r="C171" s="626"/>
      <c r="E171" s="625"/>
      <c r="H171" s="83"/>
    </row>
    <row r="172" spans="1:8" s="7" customFormat="1" ht="18.75">
      <c r="A172" s="625"/>
      <c r="B172" s="625"/>
      <c r="C172" s="626"/>
      <c r="E172" s="625"/>
      <c r="H172" s="83"/>
    </row>
    <row r="173" spans="1:8" s="7" customFormat="1" ht="18.75">
      <c r="A173" s="625"/>
      <c r="B173" s="625"/>
      <c r="C173" s="626"/>
      <c r="E173" s="625"/>
      <c r="H173" s="83"/>
    </row>
    <row r="174" spans="1:8" s="7" customFormat="1" ht="18.75">
      <c r="A174" s="625"/>
      <c r="B174" s="625"/>
      <c r="C174" s="626"/>
      <c r="E174" s="625"/>
      <c r="H174" s="83"/>
    </row>
    <row r="175" spans="1:8" s="7" customFormat="1" ht="18.75">
      <c r="A175" s="625"/>
      <c r="B175" s="625"/>
      <c r="C175" s="626"/>
      <c r="E175" s="625"/>
      <c r="H175" s="83"/>
    </row>
    <row r="176" spans="1:8" s="7" customFormat="1" ht="18.75">
      <c r="A176" s="625"/>
      <c r="B176" s="625"/>
      <c r="C176" s="626"/>
      <c r="E176" s="625"/>
      <c r="H176" s="83"/>
    </row>
    <row r="177" spans="1:8" s="7" customFormat="1" ht="18.75">
      <c r="A177" s="625"/>
      <c r="B177" s="625"/>
      <c r="C177" s="626"/>
      <c r="E177" s="625"/>
      <c r="H177" s="83"/>
    </row>
    <row r="178" spans="1:8" s="7" customFormat="1" ht="18.75">
      <c r="A178" s="625"/>
      <c r="B178" s="625"/>
      <c r="C178" s="626"/>
      <c r="E178" s="625"/>
      <c r="H178" s="83"/>
    </row>
    <row r="179" spans="1:8" s="7" customFormat="1" ht="18.75">
      <c r="A179" s="625"/>
      <c r="B179" s="625"/>
      <c r="C179" s="626"/>
      <c r="E179" s="625"/>
      <c r="H179" s="83"/>
    </row>
    <row r="180" spans="1:8" s="7" customFormat="1" ht="18.75">
      <c r="A180" s="625"/>
      <c r="B180" s="625"/>
      <c r="C180" s="626"/>
      <c r="E180" s="625"/>
      <c r="H180" s="83"/>
    </row>
    <row r="181" spans="1:8" s="7" customFormat="1" ht="18.75">
      <c r="A181" s="625"/>
      <c r="B181" s="625"/>
      <c r="C181" s="626"/>
      <c r="E181" s="625"/>
      <c r="H181" s="83"/>
    </row>
    <row r="182" spans="1:8" s="7" customFormat="1" ht="18.75">
      <c r="A182" s="625"/>
      <c r="B182" s="625"/>
      <c r="C182" s="626"/>
      <c r="E182" s="625"/>
      <c r="H182" s="83"/>
    </row>
    <row r="183" spans="1:8" s="7" customFormat="1" ht="18.75">
      <c r="A183" s="625"/>
      <c r="B183" s="625"/>
      <c r="C183" s="626"/>
      <c r="E183" s="625"/>
      <c r="H183" s="83"/>
    </row>
    <row r="184" spans="1:8" s="7" customFormat="1" ht="18.75">
      <c r="A184" s="625"/>
      <c r="B184" s="625"/>
      <c r="C184" s="626"/>
      <c r="E184" s="625"/>
      <c r="H184" s="83"/>
    </row>
    <row r="185" spans="1:8" s="7" customFormat="1" ht="18.75">
      <c r="A185" s="625"/>
      <c r="B185" s="625"/>
      <c r="C185" s="626"/>
      <c r="E185" s="625"/>
      <c r="H185" s="83"/>
    </row>
    <row r="186" spans="1:8" s="7" customFormat="1" ht="18.75">
      <c r="A186" s="612"/>
      <c r="B186" s="612"/>
      <c r="C186" s="621"/>
      <c r="D186" s="614"/>
      <c r="E186" s="612"/>
      <c r="F186" s="614"/>
      <c r="H186" s="83"/>
    </row>
    <row r="187" spans="1:8" s="7" customFormat="1" ht="18.75">
      <c r="A187" s="612"/>
      <c r="B187" s="612"/>
      <c r="C187" s="621"/>
      <c r="D187" s="614"/>
      <c r="E187" s="612"/>
      <c r="F187" s="614"/>
      <c r="H187" s="83"/>
    </row>
    <row r="188" spans="1:8" s="7" customFormat="1" ht="18.75">
      <c r="A188" s="612"/>
      <c r="B188" s="612"/>
      <c r="C188" s="621"/>
      <c r="D188" s="614"/>
      <c r="E188" s="612"/>
      <c r="F188" s="614"/>
      <c r="H188" s="83"/>
    </row>
    <row r="189" spans="1:8" s="7" customFormat="1" ht="18.75">
      <c r="A189" s="612"/>
      <c r="B189" s="612"/>
      <c r="C189" s="621"/>
      <c r="D189" s="614"/>
      <c r="E189" s="612"/>
      <c r="F189" s="614"/>
      <c r="H189" s="83"/>
    </row>
    <row r="190" spans="1:8" s="7" customFormat="1" ht="18.75">
      <c r="A190" s="612"/>
      <c r="B190" s="612"/>
      <c r="C190" s="621"/>
      <c r="D190" s="614"/>
      <c r="E190" s="612"/>
      <c r="F190" s="614"/>
      <c r="H190" s="83"/>
    </row>
    <row r="191" spans="1:8" s="7" customFormat="1" ht="18.75">
      <c r="A191" s="612"/>
      <c r="B191" s="612"/>
      <c r="C191" s="621"/>
      <c r="D191" s="614"/>
      <c r="E191" s="612"/>
      <c r="F191" s="614"/>
      <c r="H191" s="83"/>
    </row>
    <row r="192" spans="1:8" s="7" customFormat="1" ht="18.75">
      <c r="A192" s="612"/>
      <c r="B192" s="612"/>
      <c r="C192" s="621"/>
      <c r="D192" s="614"/>
      <c r="E192" s="612"/>
      <c r="F192" s="614"/>
      <c r="H192" s="83"/>
    </row>
    <row r="193" spans="1:8" s="7" customFormat="1" ht="18.75">
      <c r="A193" s="612"/>
      <c r="B193" s="612"/>
      <c r="C193" s="621"/>
      <c r="D193" s="614"/>
      <c r="E193" s="612"/>
      <c r="F193" s="614"/>
      <c r="H193" s="83"/>
    </row>
    <row r="194" spans="1:8" s="7" customFormat="1" ht="18.75">
      <c r="A194" s="612"/>
      <c r="B194" s="612"/>
      <c r="C194" s="621"/>
      <c r="D194" s="614"/>
      <c r="E194" s="612"/>
      <c r="F194" s="614"/>
      <c r="H194" s="83"/>
    </row>
    <row r="195" spans="1:8" s="7" customFormat="1" ht="18.75">
      <c r="A195" s="612"/>
      <c r="B195" s="612"/>
      <c r="C195" s="621"/>
      <c r="D195" s="614"/>
      <c r="E195" s="612"/>
      <c r="F195" s="614"/>
      <c r="H195" s="83"/>
    </row>
    <row r="196" spans="1:8" s="7" customFormat="1" ht="18.75">
      <c r="A196" s="612"/>
      <c r="B196" s="612"/>
      <c r="C196" s="621"/>
      <c r="D196" s="614"/>
      <c r="E196" s="612"/>
      <c r="F196" s="614"/>
      <c r="H196" s="83"/>
    </row>
    <row r="197" spans="1:8" s="7" customFormat="1" ht="18.75">
      <c r="A197" s="612"/>
      <c r="B197" s="612"/>
      <c r="C197" s="621"/>
      <c r="D197" s="614"/>
      <c r="E197" s="612"/>
      <c r="F197" s="614"/>
      <c r="H197" s="83"/>
    </row>
    <row r="198" spans="1:8" s="7" customFormat="1" ht="18.75">
      <c r="A198" s="612"/>
      <c r="B198" s="612"/>
      <c r="C198" s="621"/>
      <c r="D198" s="614"/>
      <c r="E198" s="612"/>
      <c r="F198" s="614"/>
      <c r="H198" s="83"/>
    </row>
    <row r="199" spans="1:8" s="7" customFormat="1" ht="18.75">
      <c r="A199" s="612"/>
      <c r="B199" s="612"/>
      <c r="C199" s="621"/>
      <c r="D199" s="614"/>
      <c r="E199" s="612"/>
      <c r="F199" s="614"/>
      <c r="H199" s="83"/>
    </row>
    <row r="200" spans="1:8" s="7" customFormat="1" ht="18.75">
      <c r="A200" s="612"/>
      <c r="B200" s="612"/>
      <c r="C200" s="621"/>
      <c r="D200" s="614"/>
      <c r="E200" s="612"/>
      <c r="F200" s="614"/>
      <c r="H200" s="83"/>
    </row>
    <row r="201" spans="1:8" s="7" customFormat="1" ht="18.75">
      <c r="A201" s="612"/>
      <c r="B201" s="612"/>
      <c r="C201" s="621"/>
      <c r="D201" s="614"/>
      <c r="E201" s="612"/>
      <c r="F201" s="614"/>
      <c r="H201" s="83"/>
    </row>
    <row r="202" spans="1:8" s="7" customFormat="1" ht="18.75">
      <c r="A202" s="612"/>
      <c r="B202" s="612"/>
      <c r="C202" s="621"/>
      <c r="D202" s="614"/>
      <c r="E202" s="612"/>
      <c r="F202" s="614"/>
      <c r="H202" s="83"/>
    </row>
    <row r="203" spans="1:8" s="7" customFormat="1" ht="18.75">
      <c r="A203" s="612"/>
      <c r="B203" s="612"/>
      <c r="C203" s="621"/>
      <c r="D203" s="614"/>
      <c r="E203" s="612"/>
      <c r="F203" s="614"/>
      <c r="H203" s="83"/>
    </row>
    <row r="204" spans="1:8" s="7" customFormat="1" ht="18.75">
      <c r="A204" s="612"/>
      <c r="B204" s="612"/>
      <c r="C204" s="621"/>
      <c r="D204" s="614"/>
      <c r="E204" s="612"/>
      <c r="F204" s="614"/>
      <c r="H204" s="83"/>
    </row>
    <row r="205" spans="1:8" s="7" customFormat="1" ht="18.75">
      <c r="A205" s="612"/>
      <c r="B205" s="612"/>
      <c r="C205" s="621"/>
      <c r="D205" s="614"/>
      <c r="E205" s="612"/>
      <c r="F205" s="614"/>
      <c r="H205" s="83"/>
    </row>
    <row r="206" spans="1:8" s="7" customFormat="1" ht="18.75">
      <c r="A206" s="612"/>
      <c r="B206" s="612"/>
      <c r="C206" s="621"/>
      <c r="D206" s="614"/>
      <c r="E206" s="612"/>
      <c r="F206" s="614"/>
      <c r="H206" s="83"/>
    </row>
    <row r="207" spans="1:8" s="7" customFormat="1" ht="18.75">
      <c r="A207" s="612"/>
      <c r="B207" s="612"/>
      <c r="C207" s="621"/>
      <c r="D207" s="614"/>
      <c r="E207" s="612"/>
      <c r="F207" s="614"/>
      <c r="H207" s="83"/>
    </row>
    <row r="208" spans="1:8" s="7" customFormat="1" ht="18.75">
      <c r="A208" s="612"/>
      <c r="B208" s="612"/>
      <c r="C208" s="621"/>
      <c r="D208" s="614"/>
      <c r="E208" s="612"/>
      <c r="F208" s="614"/>
      <c r="H208" s="83"/>
    </row>
    <row r="209" spans="1:8" s="7" customFormat="1" ht="18.75">
      <c r="A209" s="612"/>
      <c r="B209" s="612"/>
      <c r="C209" s="621"/>
      <c r="D209" s="614"/>
      <c r="E209" s="612"/>
      <c r="F209" s="614"/>
      <c r="H209" s="83"/>
    </row>
    <row r="210" spans="1:8" s="7" customFormat="1" ht="18.75">
      <c r="A210" s="612"/>
      <c r="B210" s="612"/>
      <c r="C210" s="621"/>
      <c r="D210" s="614"/>
      <c r="E210" s="612"/>
      <c r="F210" s="614"/>
      <c r="H210" s="83"/>
    </row>
    <row r="211" spans="1:8" s="7" customFormat="1" ht="18.75">
      <c r="A211" s="612"/>
      <c r="B211" s="612"/>
      <c r="C211" s="621"/>
      <c r="D211" s="614"/>
      <c r="E211" s="612"/>
      <c r="F211" s="614"/>
      <c r="H211" s="83"/>
    </row>
    <row r="212" spans="1:8" s="7" customFormat="1" ht="18.75">
      <c r="A212" s="612"/>
      <c r="B212" s="612"/>
      <c r="C212" s="621"/>
      <c r="D212" s="614"/>
      <c r="E212" s="612"/>
      <c r="F212" s="614"/>
      <c r="H212" s="83"/>
    </row>
    <row r="213" spans="1:8" s="7" customFormat="1" ht="18.75">
      <c r="A213" s="612"/>
      <c r="B213" s="612"/>
      <c r="C213" s="621"/>
      <c r="D213" s="614"/>
      <c r="E213" s="612"/>
      <c r="F213" s="614"/>
      <c r="H213" s="83"/>
    </row>
    <row r="214" spans="1:8" s="7" customFormat="1" ht="18.75">
      <c r="A214" s="612"/>
      <c r="B214" s="612"/>
      <c r="C214" s="621"/>
      <c r="D214" s="614"/>
      <c r="E214" s="612"/>
      <c r="F214" s="614"/>
      <c r="H214" s="83"/>
    </row>
    <row r="215" spans="1:8" s="7" customFormat="1" ht="18.75">
      <c r="A215" s="612"/>
      <c r="B215" s="612"/>
      <c r="C215" s="621"/>
      <c r="D215" s="614"/>
      <c r="E215" s="612"/>
      <c r="F215" s="614"/>
      <c r="H215" s="83"/>
    </row>
    <row r="216" spans="1:8" s="7" customFormat="1" ht="18.75">
      <c r="A216" s="612"/>
      <c r="B216" s="612"/>
      <c r="C216" s="621"/>
      <c r="D216" s="614"/>
      <c r="E216" s="612"/>
      <c r="F216" s="614"/>
      <c r="H216" s="83"/>
    </row>
    <row r="217" spans="1:8" s="7" customFormat="1" ht="18.75">
      <c r="A217" s="612"/>
      <c r="B217" s="612"/>
      <c r="C217" s="621"/>
      <c r="D217" s="614"/>
      <c r="E217" s="612"/>
      <c r="F217" s="614"/>
      <c r="H217" s="83"/>
    </row>
    <row r="218" spans="1:8" s="7" customFormat="1" ht="18.75">
      <c r="A218" s="612"/>
      <c r="B218" s="612"/>
      <c r="C218" s="621"/>
      <c r="D218" s="614"/>
      <c r="E218" s="612"/>
      <c r="F218" s="614"/>
      <c r="H218" s="83"/>
    </row>
    <row r="219" spans="1:8" s="7" customFormat="1" ht="18.75">
      <c r="A219" s="612"/>
      <c r="B219" s="612"/>
      <c r="C219" s="621"/>
      <c r="D219" s="614"/>
      <c r="E219" s="612"/>
      <c r="F219" s="614"/>
      <c r="H219" s="83"/>
    </row>
    <row r="220" spans="1:8" s="7" customFormat="1" ht="18.75">
      <c r="A220" s="612"/>
      <c r="B220" s="612"/>
      <c r="C220" s="621"/>
      <c r="D220" s="614"/>
      <c r="E220" s="612"/>
      <c r="F220" s="614"/>
      <c r="H220" s="83"/>
    </row>
    <row r="221" spans="1:8" s="7" customFormat="1" ht="18.75">
      <c r="A221" s="612"/>
      <c r="B221" s="612"/>
      <c r="C221" s="621"/>
      <c r="D221" s="614"/>
      <c r="E221" s="612"/>
      <c r="F221" s="614"/>
      <c r="H221" s="83"/>
    </row>
    <row r="222" spans="1:8" s="7" customFormat="1" ht="18.75">
      <c r="A222" s="612"/>
      <c r="B222" s="612"/>
      <c r="C222" s="621"/>
      <c r="D222" s="614"/>
      <c r="E222" s="612"/>
      <c r="F222" s="614"/>
      <c r="H222" s="83"/>
    </row>
    <row r="223" spans="1:8" s="7" customFormat="1" ht="18.75">
      <c r="A223" s="612"/>
      <c r="B223" s="612"/>
      <c r="C223" s="621"/>
      <c r="D223" s="614"/>
      <c r="E223" s="612"/>
      <c r="F223" s="614"/>
      <c r="H223" s="83"/>
    </row>
    <row r="224" spans="1:8" s="7" customFormat="1" ht="18.75">
      <c r="A224" s="612"/>
      <c r="B224" s="612"/>
      <c r="C224" s="621"/>
      <c r="D224" s="614"/>
      <c r="E224" s="612"/>
      <c r="F224" s="614"/>
      <c r="H224" s="83"/>
    </row>
    <row r="225" spans="1:8" s="7" customFormat="1" ht="18.75">
      <c r="A225" s="612"/>
      <c r="B225" s="612"/>
      <c r="C225" s="621"/>
      <c r="D225" s="614"/>
      <c r="E225" s="612"/>
      <c r="F225" s="614"/>
      <c r="H225" s="83"/>
    </row>
    <row r="226" spans="1:8" s="7" customFormat="1" ht="18.75">
      <c r="A226" s="612"/>
      <c r="B226" s="612"/>
      <c r="C226" s="621"/>
      <c r="D226" s="614"/>
      <c r="E226" s="612"/>
      <c r="F226" s="614"/>
      <c r="H226" s="83"/>
    </row>
    <row r="227" spans="1:8" s="7" customFormat="1" ht="18.75">
      <c r="A227" s="612"/>
      <c r="B227" s="612"/>
      <c r="C227" s="621"/>
      <c r="D227" s="614"/>
      <c r="E227" s="612"/>
      <c r="F227" s="614"/>
      <c r="H227" s="83"/>
    </row>
    <row r="228" spans="1:8" s="7" customFormat="1" ht="18.75">
      <c r="A228" s="612"/>
      <c r="B228" s="612"/>
      <c r="C228" s="621"/>
      <c r="D228" s="614"/>
      <c r="E228" s="612"/>
      <c r="F228" s="614"/>
      <c r="H228" s="83"/>
    </row>
    <row r="229" spans="1:8" s="7" customFormat="1" ht="18.75">
      <c r="A229" s="612"/>
      <c r="B229" s="612"/>
      <c r="C229" s="621"/>
      <c r="D229" s="614"/>
      <c r="E229" s="612"/>
      <c r="F229" s="614"/>
      <c r="H229" s="83"/>
    </row>
    <row r="230" spans="1:8" s="7" customFormat="1" ht="18.75">
      <c r="A230" s="612"/>
      <c r="B230" s="612"/>
      <c r="C230" s="621"/>
      <c r="D230" s="614"/>
      <c r="E230" s="612"/>
      <c r="F230" s="614"/>
      <c r="H230" s="83"/>
    </row>
    <row r="231" spans="1:8" s="7" customFormat="1" ht="18.75">
      <c r="A231" s="612"/>
      <c r="B231" s="612"/>
      <c r="C231" s="621"/>
      <c r="D231" s="614"/>
      <c r="E231" s="612"/>
      <c r="F231" s="614"/>
      <c r="H231" s="83"/>
    </row>
    <row r="232" spans="1:8" s="7" customFormat="1" ht="18.75">
      <c r="A232" s="612"/>
      <c r="B232" s="612"/>
      <c r="C232" s="621"/>
      <c r="D232" s="614"/>
      <c r="E232" s="612"/>
      <c r="F232" s="614"/>
      <c r="H232" s="83"/>
    </row>
    <row r="233" spans="1:8" s="7" customFormat="1" ht="18.75">
      <c r="A233" s="612"/>
      <c r="B233" s="612"/>
      <c r="C233" s="621"/>
      <c r="D233" s="614"/>
      <c r="E233" s="612"/>
      <c r="F233" s="614"/>
      <c r="H233" s="83"/>
    </row>
    <row r="234" spans="1:8" s="7" customFormat="1" ht="18.75">
      <c r="A234" s="612"/>
      <c r="B234" s="612"/>
      <c r="C234" s="621"/>
      <c r="D234" s="614"/>
      <c r="E234" s="612"/>
      <c r="F234" s="614"/>
      <c r="H234" s="83"/>
    </row>
    <row r="235" spans="1:8" s="7" customFormat="1" ht="18.75">
      <c r="A235" s="612"/>
      <c r="B235" s="612"/>
      <c r="C235" s="621"/>
      <c r="D235" s="614"/>
      <c r="E235" s="612"/>
      <c r="F235" s="614"/>
      <c r="H235" s="83"/>
    </row>
    <row r="236" spans="1:8" s="7" customFormat="1" ht="18.75">
      <c r="A236" s="612"/>
      <c r="B236" s="612"/>
      <c r="C236" s="621"/>
      <c r="D236" s="614"/>
      <c r="E236" s="612"/>
      <c r="F236" s="614"/>
      <c r="H236" s="83"/>
    </row>
    <row r="237" spans="1:8" s="7" customFormat="1" ht="18.75">
      <c r="A237" s="612"/>
      <c r="B237" s="612"/>
      <c r="C237" s="621"/>
      <c r="D237" s="614"/>
      <c r="E237" s="612"/>
      <c r="F237" s="614"/>
      <c r="H237" s="83"/>
    </row>
    <row r="238" spans="1:8" s="7" customFormat="1" ht="18.75">
      <c r="A238" s="612"/>
      <c r="B238" s="612"/>
      <c r="C238" s="621"/>
      <c r="D238" s="614"/>
      <c r="E238" s="612"/>
      <c r="F238" s="614"/>
      <c r="H238" s="83"/>
    </row>
    <row r="239" spans="1:8" s="7" customFormat="1" ht="18.75">
      <c r="A239" s="612"/>
      <c r="B239" s="612"/>
      <c r="C239" s="621"/>
      <c r="D239" s="614"/>
      <c r="E239" s="612"/>
      <c r="F239" s="614"/>
      <c r="H239" s="83"/>
    </row>
    <row r="240" spans="1:8" s="7" customFormat="1" ht="18.75">
      <c r="A240" s="612"/>
      <c r="B240" s="612"/>
      <c r="C240" s="621"/>
      <c r="D240" s="614"/>
      <c r="E240" s="612"/>
      <c r="F240" s="614"/>
      <c r="H240" s="83"/>
    </row>
    <row r="241" spans="1:8" s="7" customFormat="1" ht="18.75">
      <c r="A241" s="612"/>
      <c r="B241" s="612"/>
      <c r="C241" s="621"/>
      <c r="D241" s="614"/>
      <c r="E241" s="612"/>
      <c r="F241" s="614"/>
      <c r="H241" s="83"/>
    </row>
    <row r="242" spans="1:8" s="7" customFormat="1" ht="18.75">
      <c r="A242" s="612"/>
      <c r="B242" s="612"/>
      <c r="C242" s="621"/>
      <c r="D242" s="614"/>
      <c r="E242" s="612"/>
      <c r="F242" s="614"/>
      <c r="H242" s="83"/>
    </row>
    <row r="243" spans="1:8" s="7" customFormat="1" ht="18.75">
      <c r="A243" s="612"/>
      <c r="B243" s="612"/>
      <c r="C243" s="621"/>
      <c r="D243" s="614"/>
      <c r="E243" s="612"/>
      <c r="F243" s="614"/>
      <c r="H243" s="83"/>
    </row>
    <row r="244" ht="18.75">
      <c r="G244" s="614"/>
    </row>
  </sheetData>
  <sheetProtection/>
  <printOptions/>
  <pageMargins left="0.44" right="0.32" top="0.43" bottom="0.38" header="0.5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BA94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8" sqref="N28"/>
    </sheetView>
  </sheetViews>
  <sheetFormatPr defaultColWidth="9.140625" defaultRowHeight="15.75" customHeight="1"/>
  <cols>
    <col min="1" max="1" width="17.8515625" style="7" customWidth="1"/>
    <col min="2" max="2" width="4.8515625" style="7" customWidth="1"/>
    <col min="3" max="3" width="8.140625" style="295" customWidth="1"/>
    <col min="4" max="4" width="4.140625" style="7" customWidth="1"/>
    <col min="5" max="5" width="8.00390625" style="295" customWidth="1"/>
    <col min="6" max="6" width="4.28125" style="7" customWidth="1"/>
    <col min="7" max="7" width="6.7109375" style="295" bestFit="1" customWidth="1"/>
    <col min="8" max="8" width="3.140625" style="7" customWidth="1"/>
    <col min="9" max="9" width="8.00390625" style="295" customWidth="1"/>
    <col min="10" max="10" width="4.421875" style="7" customWidth="1"/>
    <col min="11" max="11" width="6.421875" style="295" customWidth="1"/>
    <col min="12" max="12" width="4.140625" style="7" bestFit="1" customWidth="1"/>
    <col min="13" max="13" width="8.28125" style="287" customWidth="1"/>
    <col min="14" max="14" width="4.7109375" style="94" bestFit="1" customWidth="1"/>
    <col min="15" max="15" width="5.7109375" style="287" customWidth="1"/>
    <col min="16" max="16" width="3.8515625" style="94" customWidth="1"/>
    <col min="17" max="17" width="6.7109375" style="287" bestFit="1" customWidth="1"/>
    <col min="18" max="18" width="4.140625" style="7" customWidth="1"/>
    <col min="19" max="19" width="8.28125" style="295" bestFit="1" customWidth="1"/>
    <col min="20" max="20" width="3.7109375" style="7" customWidth="1"/>
    <col min="21" max="21" width="6.7109375" style="295" bestFit="1" customWidth="1"/>
    <col min="22" max="22" width="5.421875" style="7" customWidth="1"/>
    <col min="23" max="23" width="9.28125" style="295" customWidth="1"/>
    <col min="24" max="24" width="11.00390625" style="0" customWidth="1"/>
    <col min="25" max="25" width="5.421875" style="0" customWidth="1"/>
    <col min="26" max="26" width="9.421875" style="0" customWidth="1"/>
    <col min="27" max="27" width="5.8515625" style="0" customWidth="1"/>
    <col min="28" max="28" width="16.28125" style="0" customWidth="1"/>
    <col min="29" max="29" width="5.00390625" style="0" customWidth="1"/>
    <col min="30" max="30" width="8.00390625" style="0" customWidth="1"/>
    <col min="31" max="31" width="4.7109375" style="0" customWidth="1"/>
    <col min="32" max="32" width="7.57421875" style="0" customWidth="1"/>
    <col min="33" max="33" width="4.421875" style="0" customWidth="1"/>
    <col min="34" max="34" width="7.00390625" style="0" customWidth="1"/>
    <col min="35" max="35" width="4.8515625" style="0" customWidth="1"/>
    <col min="36" max="36" width="7.140625" style="0" customWidth="1"/>
    <col min="37" max="37" width="4.8515625" style="0" customWidth="1"/>
    <col min="38" max="38" width="7.28125" style="0" customWidth="1"/>
    <col min="39" max="39" width="4.421875" style="0" customWidth="1"/>
    <col min="40" max="40" width="7.00390625" style="0" customWidth="1"/>
    <col min="41" max="41" width="4.57421875" style="0" customWidth="1"/>
    <col min="43" max="43" width="4.57421875" style="0" customWidth="1"/>
    <col min="44" max="44" width="7.7109375" style="0" customWidth="1"/>
    <col min="45" max="45" width="4.7109375" style="0" customWidth="1"/>
    <col min="46" max="46" width="6.57421875" style="0" customWidth="1"/>
    <col min="47" max="47" width="5.28125" style="0" customWidth="1"/>
    <col min="50" max="50" width="5.57421875" style="0" customWidth="1"/>
    <col min="54" max="16384" width="9.140625" style="7" customWidth="1"/>
  </cols>
  <sheetData>
    <row r="1" spans="1:23" ht="25.5" customHeight="1" thickBot="1">
      <c r="A1" s="179" t="s">
        <v>328</v>
      </c>
      <c r="C1" s="287"/>
      <c r="H1" s="94"/>
      <c r="I1" s="287"/>
      <c r="R1" s="94"/>
      <c r="T1" s="118"/>
      <c r="U1" s="300"/>
      <c r="V1" s="118"/>
      <c r="W1" s="301" t="s">
        <v>129</v>
      </c>
    </row>
    <row r="2" spans="1:23" ht="68.25" customHeight="1" thickBot="1">
      <c r="A2" s="1218" t="s">
        <v>1</v>
      </c>
      <c r="B2" s="1220" t="s">
        <v>66</v>
      </c>
      <c r="C2" s="1220"/>
      <c r="D2" s="1221" t="s">
        <v>79</v>
      </c>
      <c r="E2" s="1221"/>
      <c r="F2" s="1221" t="s">
        <v>144</v>
      </c>
      <c r="G2" s="1221"/>
      <c r="H2" s="1223" t="s">
        <v>72</v>
      </c>
      <c r="I2" s="1223"/>
      <c r="J2" s="1221" t="s">
        <v>73</v>
      </c>
      <c r="K2" s="1221"/>
      <c r="L2" s="1224" t="s">
        <v>74</v>
      </c>
      <c r="M2" s="1224"/>
      <c r="N2" s="1223" t="s">
        <v>75</v>
      </c>
      <c r="O2" s="1223"/>
      <c r="P2" s="1223" t="s">
        <v>77</v>
      </c>
      <c r="Q2" s="1223"/>
      <c r="R2" s="1223" t="s">
        <v>87</v>
      </c>
      <c r="S2" s="1223"/>
      <c r="T2" s="1223" t="s">
        <v>294</v>
      </c>
      <c r="U2" s="1223"/>
      <c r="V2" s="1222" t="s">
        <v>61</v>
      </c>
      <c r="W2" s="1222"/>
    </row>
    <row r="3" spans="1:53" s="119" customFormat="1" ht="28.5" customHeight="1" thickBot="1">
      <c r="A3" s="1219"/>
      <c r="B3" s="129" t="s">
        <v>10</v>
      </c>
      <c r="C3" s="288" t="s">
        <v>9</v>
      </c>
      <c r="D3" s="129" t="s">
        <v>10</v>
      </c>
      <c r="E3" s="296" t="s">
        <v>9</v>
      </c>
      <c r="F3" s="129" t="s">
        <v>10</v>
      </c>
      <c r="G3" s="903" t="s">
        <v>9</v>
      </c>
      <c r="H3" s="127" t="s">
        <v>10</v>
      </c>
      <c r="I3" s="903" t="s">
        <v>9</v>
      </c>
      <c r="J3" s="127" t="s">
        <v>10</v>
      </c>
      <c r="K3" s="903" t="s">
        <v>9</v>
      </c>
      <c r="L3" s="127" t="s">
        <v>10</v>
      </c>
      <c r="M3" s="903" t="s">
        <v>9</v>
      </c>
      <c r="N3" s="127" t="s">
        <v>10</v>
      </c>
      <c r="O3" s="903" t="s">
        <v>9</v>
      </c>
      <c r="P3" s="127" t="s">
        <v>10</v>
      </c>
      <c r="Q3" s="903" t="s">
        <v>9</v>
      </c>
      <c r="R3" s="127" t="s">
        <v>10</v>
      </c>
      <c r="S3" s="903" t="s">
        <v>9</v>
      </c>
      <c r="T3" s="127" t="s">
        <v>10</v>
      </c>
      <c r="U3" s="903" t="s">
        <v>9</v>
      </c>
      <c r="V3" s="127" t="s">
        <v>10</v>
      </c>
      <c r="W3" s="904" t="s">
        <v>9</v>
      </c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3" s="119" customFormat="1" ht="23.25" customHeight="1">
      <c r="A4" s="120" t="s">
        <v>130</v>
      </c>
      <c r="B4" s="121"/>
      <c r="C4" s="289"/>
      <c r="D4" s="121"/>
      <c r="E4" s="297"/>
      <c r="F4" s="121"/>
      <c r="G4" s="297"/>
      <c r="H4" s="122"/>
      <c r="I4" s="297"/>
      <c r="J4" s="121"/>
      <c r="K4" s="297"/>
      <c r="L4" s="121"/>
      <c r="M4" s="297"/>
      <c r="N4" s="122"/>
      <c r="O4" s="297"/>
      <c r="P4" s="122"/>
      <c r="Q4" s="297"/>
      <c r="R4" s="121"/>
      <c r="S4" s="297"/>
      <c r="T4" s="122"/>
      <c r="U4" s="297"/>
      <c r="V4" s="120"/>
      <c r="W4" s="302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119" customFormat="1" ht="19.5" customHeight="1">
      <c r="A5" s="123" t="s">
        <v>81</v>
      </c>
      <c r="B5" s="166">
        <v>2</v>
      </c>
      <c r="C5" s="290">
        <v>229</v>
      </c>
      <c r="D5" s="166">
        <v>5</v>
      </c>
      <c r="E5" s="290">
        <v>341.5</v>
      </c>
      <c r="F5" s="166">
        <v>4</v>
      </c>
      <c r="G5" s="290">
        <v>254.8</v>
      </c>
      <c r="H5" s="166"/>
      <c r="I5" s="290"/>
      <c r="J5" s="166"/>
      <c r="K5" s="290"/>
      <c r="L5" s="166">
        <v>11</v>
      </c>
      <c r="M5" s="290">
        <v>557.3</v>
      </c>
      <c r="N5" s="166"/>
      <c r="O5" s="290"/>
      <c r="P5" s="166"/>
      <c r="Q5" s="290"/>
      <c r="R5" s="166"/>
      <c r="S5" s="290"/>
      <c r="T5" s="166"/>
      <c r="U5" s="290"/>
      <c r="V5" s="168">
        <f>SUM(B5,J5,F5,P5,D5,H5,L5,R5,T5)</f>
        <v>22</v>
      </c>
      <c r="W5" s="711">
        <f>SUM(C5,K5,G5,Q5,E5,I5,M5,S5,U5)</f>
        <v>1382.6</v>
      </c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s="119" customFormat="1" ht="19.5" customHeight="1">
      <c r="A6" s="123" t="s">
        <v>82</v>
      </c>
      <c r="B6" s="166"/>
      <c r="C6" s="290">
        <f>46.7+352</f>
        <v>398.7</v>
      </c>
      <c r="D6" s="166">
        <v>5</v>
      </c>
      <c r="E6" s="290">
        <v>342.3</v>
      </c>
      <c r="F6" s="166">
        <v>1</v>
      </c>
      <c r="G6" s="290">
        <v>63.7</v>
      </c>
      <c r="H6" s="166"/>
      <c r="I6" s="290"/>
      <c r="J6" s="166"/>
      <c r="K6" s="290"/>
      <c r="L6" s="166">
        <v>6</v>
      </c>
      <c r="M6" s="290">
        <v>247.8</v>
      </c>
      <c r="N6" s="166"/>
      <c r="O6" s="290"/>
      <c r="P6" s="166"/>
      <c r="Q6" s="290"/>
      <c r="R6" s="166"/>
      <c r="S6" s="290">
        <v>697.1</v>
      </c>
      <c r="T6" s="166">
        <v>1</v>
      </c>
      <c r="U6" s="290">
        <v>127.7</v>
      </c>
      <c r="V6" s="168">
        <f>SUM(B6,J6,F6,P6,D6,H6,L6,R6,T6)</f>
        <v>13</v>
      </c>
      <c r="W6" s="711">
        <f>SUM(C6,K6,G6,Q6,E6,I6,M6,S6,U6)</f>
        <v>1877.3</v>
      </c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s="119" customFormat="1" ht="19.5" customHeight="1">
      <c r="A7" s="123" t="s">
        <v>83</v>
      </c>
      <c r="B7" s="166">
        <v>1</v>
      </c>
      <c r="C7" s="290">
        <v>114.9</v>
      </c>
      <c r="D7" s="166">
        <v>5</v>
      </c>
      <c r="E7" s="290">
        <f>341+120.4</f>
        <v>461.4</v>
      </c>
      <c r="F7" s="166"/>
      <c r="G7" s="290"/>
      <c r="H7" s="166">
        <v>4</v>
      </c>
      <c r="I7" s="290">
        <v>69.9</v>
      </c>
      <c r="J7" s="166"/>
      <c r="K7" s="290">
        <v>204.5</v>
      </c>
      <c r="L7" s="166">
        <v>52</v>
      </c>
      <c r="M7" s="290">
        <v>1536.4</v>
      </c>
      <c r="N7" s="166"/>
      <c r="O7" s="290">
        <f>51+44</f>
        <v>95</v>
      </c>
      <c r="P7" s="166"/>
      <c r="Q7" s="290"/>
      <c r="R7" s="166"/>
      <c r="S7" s="290"/>
      <c r="T7" s="166">
        <v>2</v>
      </c>
      <c r="U7" s="290">
        <v>254.8</v>
      </c>
      <c r="V7" s="168">
        <f>SUM(B7,J7,F7,P7,D7,H7,L7,R7,T7)</f>
        <v>64</v>
      </c>
      <c r="W7" s="711">
        <f>SUM(C7,K7,G7,Q7,E7,I7,M7,O7,S7,U7)</f>
        <v>2736.9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119" customFormat="1" ht="19.5" customHeight="1">
      <c r="A8" s="125" t="s">
        <v>84</v>
      </c>
      <c r="B8" s="305">
        <v>2</v>
      </c>
      <c r="C8" s="306">
        <v>229.4</v>
      </c>
      <c r="D8" s="305">
        <v>4</v>
      </c>
      <c r="E8" s="306">
        <v>274.6</v>
      </c>
      <c r="F8" s="305">
        <v>5</v>
      </c>
      <c r="G8" s="306">
        <v>320</v>
      </c>
      <c r="H8" s="305"/>
      <c r="I8" s="306"/>
      <c r="J8" s="305"/>
      <c r="K8" s="306"/>
      <c r="L8" s="305">
        <v>6</v>
      </c>
      <c r="M8" s="306">
        <v>371.4</v>
      </c>
      <c r="N8" s="305"/>
      <c r="O8" s="306"/>
      <c r="P8" s="305"/>
      <c r="Q8" s="306"/>
      <c r="R8" s="305">
        <v>23</v>
      </c>
      <c r="S8" s="306">
        <v>504.4</v>
      </c>
      <c r="T8" s="305">
        <v>1</v>
      </c>
      <c r="U8" s="306">
        <v>131.1</v>
      </c>
      <c r="V8" s="307">
        <f>SUM(B8,J8,F8,P8,D8,H8,L8,R8,T8)</f>
        <v>41</v>
      </c>
      <c r="W8" s="712">
        <f>SUM(C8,K8,G8,Q8,E8,I8,M8,S8,U8)</f>
        <v>1830.9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119" customFormat="1" ht="23.25" customHeight="1">
      <c r="A9" s="124" t="s">
        <v>15</v>
      </c>
      <c r="B9" s="171"/>
      <c r="C9" s="291"/>
      <c r="D9" s="171"/>
      <c r="E9" s="291"/>
      <c r="F9" s="171"/>
      <c r="G9" s="291"/>
      <c r="H9" s="171"/>
      <c r="I9" s="291"/>
      <c r="J9" s="171"/>
      <c r="K9" s="291"/>
      <c r="L9" s="171"/>
      <c r="M9" s="291"/>
      <c r="N9" s="171"/>
      <c r="O9" s="291"/>
      <c r="P9" s="171"/>
      <c r="Q9" s="291"/>
      <c r="R9" s="171"/>
      <c r="S9" s="291"/>
      <c r="T9" s="171"/>
      <c r="U9" s="291"/>
      <c r="V9" s="169"/>
      <c r="W9" s="304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119" customFormat="1" ht="19.5" customHeight="1">
      <c r="A10" s="123" t="s">
        <v>113</v>
      </c>
      <c r="B10" s="166">
        <v>2</v>
      </c>
      <c r="C10" s="290">
        <v>226</v>
      </c>
      <c r="D10" s="166"/>
      <c r="E10" s="290"/>
      <c r="F10" s="166"/>
      <c r="G10" s="290"/>
      <c r="H10" s="166"/>
      <c r="I10" s="290"/>
      <c r="J10" s="166"/>
      <c r="K10" s="290"/>
      <c r="L10" s="166"/>
      <c r="M10" s="290"/>
      <c r="N10" s="166"/>
      <c r="O10" s="290"/>
      <c r="P10" s="166"/>
      <c r="Q10" s="290"/>
      <c r="R10" s="166"/>
      <c r="S10" s="290"/>
      <c r="T10" s="166"/>
      <c r="U10" s="290"/>
      <c r="V10" s="168">
        <f aca="true" t="shared" si="0" ref="V10:W12">SUM(B10,J10,F10,P10,D10,H10,L10,R10,T10)</f>
        <v>2</v>
      </c>
      <c r="W10" s="711">
        <f t="shared" si="0"/>
        <v>226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119" customFormat="1" ht="19.5" customHeight="1">
      <c r="A11" s="123" t="s">
        <v>91</v>
      </c>
      <c r="B11" s="166"/>
      <c r="C11" s="290"/>
      <c r="D11" s="166"/>
      <c r="E11" s="290"/>
      <c r="F11" s="166"/>
      <c r="G11" s="290"/>
      <c r="H11" s="166"/>
      <c r="I11" s="290"/>
      <c r="J11" s="166"/>
      <c r="K11" s="290"/>
      <c r="L11" s="166"/>
      <c r="M11" s="290"/>
      <c r="N11" s="166"/>
      <c r="O11" s="290"/>
      <c r="P11" s="166"/>
      <c r="Q11" s="290"/>
      <c r="R11" s="166"/>
      <c r="S11" s="290"/>
      <c r="T11" s="166">
        <v>1</v>
      </c>
      <c r="U11" s="290">
        <v>138.4</v>
      </c>
      <c r="V11" s="168">
        <f t="shared" si="0"/>
        <v>1</v>
      </c>
      <c r="W11" s="711">
        <f t="shared" si="0"/>
        <v>138.4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119" customFormat="1" ht="19.5" customHeight="1">
      <c r="A12" s="125" t="s">
        <v>86</v>
      </c>
      <c r="B12" s="305"/>
      <c r="C12" s="306"/>
      <c r="D12" s="305"/>
      <c r="E12" s="306"/>
      <c r="F12" s="305"/>
      <c r="G12" s="306"/>
      <c r="H12" s="305"/>
      <c r="I12" s="306"/>
      <c r="J12" s="305"/>
      <c r="K12" s="306"/>
      <c r="L12" s="305"/>
      <c r="M12" s="306"/>
      <c r="N12" s="305"/>
      <c r="O12" s="306"/>
      <c r="P12" s="305"/>
      <c r="Q12" s="306"/>
      <c r="R12" s="305"/>
      <c r="S12" s="306"/>
      <c r="T12" s="305">
        <v>2</v>
      </c>
      <c r="U12" s="306">
        <v>275.4</v>
      </c>
      <c r="V12" s="307">
        <f t="shared" si="0"/>
        <v>2</v>
      </c>
      <c r="W12" s="712">
        <f t="shared" si="0"/>
        <v>275.4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119" customFormat="1" ht="23.25" customHeight="1">
      <c r="A13" s="126" t="s">
        <v>356</v>
      </c>
      <c r="B13" s="165"/>
      <c r="C13" s="292"/>
      <c r="D13" s="165"/>
      <c r="E13" s="292"/>
      <c r="F13" s="165"/>
      <c r="G13" s="292"/>
      <c r="H13" s="165"/>
      <c r="I13" s="292"/>
      <c r="J13" s="165"/>
      <c r="K13" s="292"/>
      <c r="L13" s="165"/>
      <c r="M13" s="292"/>
      <c r="N13" s="165"/>
      <c r="O13" s="292"/>
      <c r="P13" s="165"/>
      <c r="Q13" s="292"/>
      <c r="R13" s="165"/>
      <c r="S13" s="292"/>
      <c r="T13" s="165"/>
      <c r="U13" s="292"/>
      <c r="V13" s="168"/>
      <c r="W13" s="30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119" customFormat="1" ht="20.25" customHeight="1">
      <c r="A14" s="125" t="s">
        <v>352</v>
      </c>
      <c r="B14" s="305"/>
      <c r="C14" s="306"/>
      <c r="D14" s="305"/>
      <c r="E14" s="306"/>
      <c r="F14" s="305"/>
      <c r="G14" s="306"/>
      <c r="H14" s="305"/>
      <c r="I14" s="306"/>
      <c r="J14" s="305"/>
      <c r="K14" s="306"/>
      <c r="L14" s="305"/>
      <c r="M14" s="306"/>
      <c r="N14" s="305"/>
      <c r="O14" s="306"/>
      <c r="P14" s="305">
        <v>7</v>
      </c>
      <c r="Q14" s="306">
        <v>150.5</v>
      </c>
      <c r="R14" s="305"/>
      <c r="S14" s="306"/>
      <c r="T14" s="305"/>
      <c r="U14" s="306"/>
      <c r="V14" s="307">
        <f>SUM(B14,J14,F14,P14,D14,H14,L14,R14,T14)</f>
        <v>7</v>
      </c>
      <c r="W14" s="712">
        <f>SUM(C14,K14,G14,Q14,E14,I14,M14,S14,U14)</f>
        <v>150.5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119" customFormat="1" ht="23.25" customHeight="1">
      <c r="A15" s="126" t="s">
        <v>454</v>
      </c>
      <c r="B15" s="166"/>
      <c r="C15" s="290"/>
      <c r="D15" s="166"/>
      <c r="E15" s="290"/>
      <c r="F15" s="166"/>
      <c r="G15" s="290"/>
      <c r="H15" s="166"/>
      <c r="I15" s="290"/>
      <c r="J15" s="166"/>
      <c r="K15" s="290"/>
      <c r="L15" s="166"/>
      <c r="M15" s="290"/>
      <c r="N15" s="166"/>
      <c r="O15" s="290"/>
      <c r="P15" s="166"/>
      <c r="Q15" s="290"/>
      <c r="R15" s="166"/>
      <c r="S15" s="290"/>
      <c r="T15" s="166"/>
      <c r="U15" s="290"/>
      <c r="V15" s="166"/>
      <c r="W15" s="290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119" customFormat="1" ht="20.25" customHeight="1">
      <c r="A16" s="123" t="s">
        <v>256</v>
      </c>
      <c r="B16" s="166">
        <v>2</v>
      </c>
      <c r="C16" s="290">
        <v>122.8</v>
      </c>
      <c r="D16" s="166"/>
      <c r="E16" s="290"/>
      <c r="F16" s="166"/>
      <c r="G16" s="290"/>
      <c r="H16" s="166"/>
      <c r="I16" s="290"/>
      <c r="J16" s="166"/>
      <c r="K16" s="290"/>
      <c r="L16" s="166"/>
      <c r="M16" s="290"/>
      <c r="N16" s="166"/>
      <c r="O16" s="290"/>
      <c r="P16" s="166"/>
      <c r="Q16" s="290"/>
      <c r="R16" s="166"/>
      <c r="S16" s="290"/>
      <c r="T16" s="166"/>
      <c r="U16" s="290"/>
      <c r="V16" s="168">
        <f aca="true" t="shared" si="1" ref="V16:W22">SUM(B16,J16,F16,P16,D16,H16,L16,R16,T16)</f>
        <v>2</v>
      </c>
      <c r="W16" s="711">
        <f t="shared" si="1"/>
        <v>122.8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19" customFormat="1" ht="20.25" customHeight="1">
      <c r="A17" s="123" t="s">
        <v>227</v>
      </c>
      <c r="B17" s="166">
        <v>5</v>
      </c>
      <c r="C17" s="290">
        <v>299.6</v>
      </c>
      <c r="D17" s="166"/>
      <c r="E17" s="290"/>
      <c r="F17" s="166"/>
      <c r="G17" s="290"/>
      <c r="H17" s="166"/>
      <c r="I17" s="290"/>
      <c r="J17" s="166"/>
      <c r="K17" s="290"/>
      <c r="L17" s="166"/>
      <c r="M17" s="290"/>
      <c r="N17" s="166"/>
      <c r="O17" s="290"/>
      <c r="P17" s="166"/>
      <c r="Q17" s="290"/>
      <c r="R17" s="166"/>
      <c r="S17" s="290"/>
      <c r="T17" s="166"/>
      <c r="U17" s="290"/>
      <c r="V17" s="168">
        <f t="shared" si="1"/>
        <v>5</v>
      </c>
      <c r="W17" s="711">
        <f t="shared" si="1"/>
        <v>299.6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119" customFormat="1" ht="20.25" customHeight="1">
      <c r="A18" s="123" t="s">
        <v>119</v>
      </c>
      <c r="B18" s="166">
        <v>5</v>
      </c>
      <c r="C18" s="290">
        <v>299.6</v>
      </c>
      <c r="D18" s="166"/>
      <c r="E18" s="290"/>
      <c r="F18" s="166"/>
      <c r="G18" s="290"/>
      <c r="H18" s="166"/>
      <c r="I18" s="290"/>
      <c r="J18" s="166"/>
      <c r="K18" s="290"/>
      <c r="L18" s="166"/>
      <c r="M18" s="290"/>
      <c r="N18" s="166"/>
      <c r="O18" s="290"/>
      <c r="P18" s="166"/>
      <c r="Q18" s="290"/>
      <c r="R18" s="166"/>
      <c r="S18" s="290"/>
      <c r="T18" s="166"/>
      <c r="U18" s="290"/>
      <c r="V18" s="168">
        <f t="shared" si="1"/>
        <v>5</v>
      </c>
      <c r="W18" s="711">
        <f t="shared" si="1"/>
        <v>299.6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119" customFormat="1" ht="20.25" customHeight="1">
      <c r="A19" s="123" t="s">
        <v>230</v>
      </c>
      <c r="B19" s="166">
        <v>1</v>
      </c>
      <c r="C19" s="290">
        <v>61.4</v>
      </c>
      <c r="D19" s="166"/>
      <c r="E19" s="290"/>
      <c r="F19" s="166"/>
      <c r="G19" s="290"/>
      <c r="H19" s="166"/>
      <c r="I19" s="290"/>
      <c r="J19" s="166"/>
      <c r="K19" s="290"/>
      <c r="L19" s="166"/>
      <c r="M19" s="290"/>
      <c r="N19" s="166"/>
      <c r="O19" s="290"/>
      <c r="P19" s="166"/>
      <c r="Q19" s="290"/>
      <c r="R19" s="166"/>
      <c r="S19" s="290"/>
      <c r="T19" s="166"/>
      <c r="U19" s="290"/>
      <c r="V19" s="168">
        <f t="shared" si="1"/>
        <v>1</v>
      </c>
      <c r="W19" s="711">
        <f t="shared" si="1"/>
        <v>61.4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119" customFormat="1" ht="20.25" customHeight="1">
      <c r="A20" s="123" t="s">
        <v>452</v>
      </c>
      <c r="B20" s="166">
        <v>4</v>
      </c>
      <c r="C20" s="290">
        <v>238.2</v>
      </c>
      <c r="D20" s="166"/>
      <c r="E20" s="290"/>
      <c r="F20" s="166"/>
      <c r="G20" s="290"/>
      <c r="H20" s="166"/>
      <c r="I20" s="290"/>
      <c r="J20" s="166"/>
      <c r="K20" s="290"/>
      <c r="L20" s="166"/>
      <c r="M20" s="290"/>
      <c r="N20" s="166"/>
      <c r="O20" s="290"/>
      <c r="P20" s="166"/>
      <c r="Q20" s="290"/>
      <c r="R20" s="166"/>
      <c r="S20" s="290"/>
      <c r="T20" s="166"/>
      <c r="U20" s="290"/>
      <c r="V20" s="168">
        <f t="shared" si="1"/>
        <v>4</v>
      </c>
      <c r="W20" s="711">
        <f t="shared" si="1"/>
        <v>238.2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119" customFormat="1" ht="20.25" customHeight="1">
      <c r="A21" s="123" t="s">
        <v>131</v>
      </c>
      <c r="B21" s="166">
        <v>4</v>
      </c>
      <c r="C21" s="290">
        <v>238.2</v>
      </c>
      <c r="D21" s="166"/>
      <c r="E21" s="290"/>
      <c r="F21" s="166"/>
      <c r="G21" s="290"/>
      <c r="H21" s="166"/>
      <c r="I21" s="290"/>
      <c r="J21" s="166"/>
      <c r="K21" s="290"/>
      <c r="L21" s="166"/>
      <c r="M21" s="290"/>
      <c r="N21" s="166"/>
      <c r="O21" s="290"/>
      <c r="P21" s="166"/>
      <c r="Q21" s="290"/>
      <c r="R21" s="166"/>
      <c r="S21" s="290"/>
      <c r="T21" s="166"/>
      <c r="U21" s="290"/>
      <c r="V21" s="168">
        <f t="shared" si="1"/>
        <v>4</v>
      </c>
      <c r="W21" s="711">
        <f t="shared" si="1"/>
        <v>238.2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119" customFormat="1" ht="20.25" customHeight="1">
      <c r="A22" s="125" t="s">
        <v>122</v>
      </c>
      <c r="B22" s="305">
        <v>3</v>
      </c>
      <c r="C22" s="306">
        <v>184.2</v>
      </c>
      <c r="D22" s="305"/>
      <c r="E22" s="306"/>
      <c r="F22" s="305"/>
      <c r="G22" s="306"/>
      <c r="H22" s="305"/>
      <c r="I22" s="306"/>
      <c r="J22" s="305"/>
      <c r="K22" s="306"/>
      <c r="L22" s="305"/>
      <c r="M22" s="306"/>
      <c r="N22" s="305"/>
      <c r="O22" s="306"/>
      <c r="P22" s="305"/>
      <c r="Q22" s="306"/>
      <c r="R22" s="305"/>
      <c r="S22" s="306"/>
      <c r="T22" s="305"/>
      <c r="U22" s="306"/>
      <c r="V22" s="307">
        <f t="shared" si="1"/>
        <v>3</v>
      </c>
      <c r="W22" s="712">
        <f t="shared" si="1"/>
        <v>184.2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119" customFormat="1" ht="22.5" customHeight="1" thickBot="1">
      <c r="A23" s="1119" t="s">
        <v>455</v>
      </c>
      <c r="B23" s="1120"/>
      <c r="C23" s="1121"/>
      <c r="D23" s="1120"/>
      <c r="E23" s="1121"/>
      <c r="F23" s="1120"/>
      <c r="G23" s="1121"/>
      <c r="H23" s="1120"/>
      <c r="I23" s="1121"/>
      <c r="J23" s="1120"/>
      <c r="K23" s="1121">
        <v>549.9</v>
      </c>
      <c r="L23" s="1120"/>
      <c r="M23" s="1121">
        <v>87.4</v>
      </c>
      <c r="N23" s="1120"/>
      <c r="O23" s="1121"/>
      <c r="P23" s="1120"/>
      <c r="Q23" s="1121"/>
      <c r="R23" s="1120"/>
      <c r="S23" s="1121"/>
      <c r="T23" s="1120"/>
      <c r="U23" s="1121"/>
      <c r="V23" s="307">
        <f>SUM(B23,J23,F23,P23,D23,H23,L23,R23,T23)</f>
        <v>0</v>
      </c>
      <c r="W23" s="712">
        <f>SUM(C23,K23,G23,Q23,E23,I23,M23,S23,U23)</f>
        <v>637.3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119" customFormat="1" ht="23.25" customHeight="1" thickBot="1">
      <c r="A24" s="127" t="s">
        <v>56</v>
      </c>
      <c r="B24" s="128">
        <f aca="true" t="shared" si="2" ref="B24:W24">SUM(B5:B23)</f>
        <v>31</v>
      </c>
      <c r="C24" s="672">
        <f t="shared" si="2"/>
        <v>2641.9999999999995</v>
      </c>
      <c r="D24" s="128">
        <f t="shared" si="2"/>
        <v>19</v>
      </c>
      <c r="E24" s="672">
        <f t="shared" si="2"/>
        <v>1419.7999999999997</v>
      </c>
      <c r="F24" s="128">
        <f t="shared" si="2"/>
        <v>10</v>
      </c>
      <c r="G24" s="672">
        <f t="shared" si="2"/>
        <v>638.5</v>
      </c>
      <c r="H24" s="128">
        <f t="shared" si="2"/>
        <v>4</v>
      </c>
      <c r="I24" s="672">
        <f t="shared" si="2"/>
        <v>69.9</v>
      </c>
      <c r="J24" s="128">
        <f t="shared" si="2"/>
        <v>0</v>
      </c>
      <c r="K24" s="672">
        <f t="shared" si="2"/>
        <v>754.4</v>
      </c>
      <c r="L24" s="128">
        <f t="shared" si="2"/>
        <v>75</v>
      </c>
      <c r="M24" s="672">
        <f t="shared" si="2"/>
        <v>2800.3</v>
      </c>
      <c r="N24" s="128">
        <f t="shared" si="2"/>
        <v>0</v>
      </c>
      <c r="O24" s="672">
        <f t="shared" si="2"/>
        <v>95</v>
      </c>
      <c r="P24" s="128">
        <f t="shared" si="2"/>
        <v>7</v>
      </c>
      <c r="Q24" s="672">
        <f t="shared" si="2"/>
        <v>150.5</v>
      </c>
      <c r="R24" s="128">
        <f t="shared" si="2"/>
        <v>23</v>
      </c>
      <c r="S24" s="672">
        <f t="shared" si="2"/>
        <v>1201.5</v>
      </c>
      <c r="T24" s="128">
        <f t="shared" si="2"/>
        <v>7</v>
      </c>
      <c r="U24" s="672">
        <f t="shared" si="2"/>
        <v>927.4</v>
      </c>
      <c r="V24" s="128">
        <f t="shared" si="2"/>
        <v>176</v>
      </c>
      <c r="W24" s="672">
        <f t="shared" si="2"/>
        <v>10699.3</v>
      </c>
      <c r="X24" s="1118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23" s="54" customFormat="1" ht="18" customHeight="1">
      <c r="A25" s="54" t="s">
        <v>316</v>
      </c>
      <c r="C25" s="294"/>
      <c r="E25" s="294"/>
      <c r="G25" s="294"/>
      <c r="I25" s="294"/>
      <c r="K25" s="294"/>
      <c r="M25" s="294"/>
      <c r="O25" s="294"/>
      <c r="Q25" s="294"/>
      <c r="S25" s="294"/>
      <c r="U25" s="294"/>
      <c r="W25" s="294"/>
    </row>
    <row r="26" spans="3:23" s="54" customFormat="1" ht="15.75" customHeight="1">
      <c r="C26" s="294"/>
      <c r="E26" s="294"/>
      <c r="G26" s="294"/>
      <c r="I26" s="294"/>
      <c r="K26" s="294"/>
      <c r="M26" s="294"/>
      <c r="O26" s="294"/>
      <c r="Q26" s="294"/>
      <c r="S26" s="294"/>
      <c r="U26" s="294"/>
      <c r="W26" s="294"/>
    </row>
    <row r="27" spans="3:26" s="54" customFormat="1" ht="15.75" customHeight="1">
      <c r="C27" s="294"/>
      <c r="E27" s="294"/>
      <c r="G27" s="294"/>
      <c r="I27" s="294"/>
      <c r="K27" s="294"/>
      <c r="M27" s="294"/>
      <c r="O27" s="294"/>
      <c r="Q27" s="294"/>
      <c r="S27" s="294"/>
      <c r="U27" s="294"/>
      <c r="W27" s="294"/>
      <c r="X27" s="968"/>
      <c r="Z27" s="215"/>
    </row>
    <row r="28" spans="3:23" s="54" customFormat="1" ht="15.75" customHeight="1">
      <c r="C28" s="294"/>
      <c r="E28" s="294"/>
      <c r="G28" s="294"/>
      <c r="I28" s="294"/>
      <c r="K28" s="294"/>
      <c r="M28" s="294"/>
      <c r="O28" s="294"/>
      <c r="Q28" s="294"/>
      <c r="S28" s="294"/>
      <c r="U28" s="294"/>
      <c r="W28" s="294"/>
    </row>
    <row r="29" spans="3:23" s="54" customFormat="1" ht="15.75" customHeight="1">
      <c r="C29" s="294"/>
      <c r="E29" s="294"/>
      <c r="G29" s="294"/>
      <c r="I29" s="294"/>
      <c r="K29" s="294"/>
      <c r="M29" s="294"/>
      <c r="O29" s="294"/>
      <c r="Q29" s="294"/>
      <c r="S29" s="294"/>
      <c r="U29" s="294"/>
      <c r="W29" s="294"/>
    </row>
    <row r="30" spans="3:23" s="54" customFormat="1" ht="15.75" customHeight="1">
      <c r="C30" s="294"/>
      <c r="E30" s="294"/>
      <c r="G30" s="294"/>
      <c r="I30" s="294"/>
      <c r="K30" s="294"/>
      <c r="M30" s="294"/>
      <c r="O30" s="294"/>
      <c r="Q30" s="294"/>
      <c r="S30" s="294"/>
      <c r="U30" s="294"/>
      <c r="W30" s="294"/>
    </row>
    <row r="31" spans="3:23" s="54" customFormat="1" ht="15.75" customHeight="1">
      <c r="C31" s="294"/>
      <c r="E31" s="294"/>
      <c r="G31" s="294"/>
      <c r="I31" s="294"/>
      <c r="K31" s="294"/>
      <c r="M31" s="294"/>
      <c r="O31" s="294"/>
      <c r="Q31" s="294"/>
      <c r="S31" s="294"/>
      <c r="U31" s="294"/>
      <c r="W31" s="294"/>
    </row>
    <row r="32" spans="3:23" s="54" customFormat="1" ht="15.75" customHeight="1">
      <c r="C32" s="294"/>
      <c r="E32" s="294"/>
      <c r="G32" s="294"/>
      <c r="I32" s="294"/>
      <c r="K32" s="294"/>
      <c r="M32" s="294"/>
      <c r="O32" s="294"/>
      <c r="Q32" s="294"/>
      <c r="S32" s="294"/>
      <c r="U32" s="294"/>
      <c r="W32" s="294"/>
    </row>
    <row r="33" spans="3:23" s="54" customFormat="1" ht="15.75" customHeight="1">
      <c r="C33" s="294"/>
      <c r="E33" s="294"/>
      <c r="G33" s="294"/>
      <c r="I33" s="294"/>
      <c r="K33" s="294"/>
      <c r="M33" s="294"/>
      <c r="O33" s="294"/>
      <c r="Q33" s="294"/>
      <c r="S33" s="294"/>
      <c r="U33" s="294"/>
      <c r="W33" s="294"/>
    </row>
    <row r="34" spans="3:23" s="54" customFormat="1" ht="15.75" customHeight="1">
      <c r="C34" s="294"/>
      <c r="E34" s="294"/>
      <c r="G34" s="294"/>
      <c r="I34" s="294"/>
      <c r="K34" s="294"/>
      <c r="M34" s="294"/>
      <c r="O34" s="294"/>
      <c r="Q34" s="294"/>
      <c r="S34" s="294"/>
      <c r="U34" s="294"/>
      <c r="W34" s="294"/>
    </row>
    <row r="35" spans="3:23" s="54" customFormat="1" ht="15.75" customHeight="1">
      <c r="C35" s="294"/>
      <c r="E35" s="294"/>
      <c r="G35" s="294"/>
      <c r="I35" s="294"/>
      <c r="K35" s="294"/>
      <c r="M35" s="294"/>
      <c r="O35" s="294"/>
      <c r="Q35" s="294"/>
      <c r="S35" s="294"/>
      <c r="U35" s="294"/>
      <c r="W35" s="294"/>
    </row>
    <row r="36" spans="3:23" s="54" customFormat="1" ht="15.75" customHeight="1">
      <c r="C36" s="294"/>
      <c r="E36" s="294"/>
      <c r="G36" s="294"/>
      <c r="I36" s="294"/>
      <c r="K36" s="294"/>
      <c r="M36" s="294"/>
      <c r="O36" s="294"/>
      <c r="Q36" s="294"/>
      <c r="S36" s="294"/>
      <c r="U36" s="294"/>
      <c r="W36" s="294"/>
    </row>
    <row r="37" spans="3:23" s="54" customFormat="1" ht="17.25" customHeight="1">
      <c r="C37" s="294"/>
      <c r="E37" s="294"/>
      <c r="G37" s="294"/>
      <c r="I37" s="294"/>
      <c r="K37" s="294"/>
      <c r="M37" s="294"/>
      <c r="O37" s="294"/>
      <c r="Q37" s="294"/>
      <c r="S37" s="294"/>
      <c r="U37" s="294"/>
      <c r="W37" s="294"/>
    </row>
    <row r="38" spans="3:23" ht="15.75" customHeight="1">
      <c r="C38" s="293"/>
      <c r="E38" s="293"/>
      <c r="G38" s="293"/>
      <c r="H38" s="62"/>
      <c r="I38" s="299"/>
      <c r="K38" s="293"/>
      <c r="L38" s="62"/>
      <c r="M38" s="299"/>
      <c r="N38" s="62"/>
      <c r="O38" s="299"/>
      <c r="P38" s="62"/>
      <c r="Q38" s="299"/>
      <c r="S38" s="293"/>
      <c r="U38" s="293"/>
      <c r="W38" s="293"/>
    </row>
    <row r="39" spans="3:23" ht="18.75" customHeight="1">
      <c r="C39" s="293"/>
      <c r="E39" s="293"/>
      <c r="G39" s="293"/>
      <c r="H39" s="62"/>
      <c r="I39" s="299"/>
      <c r="K39" s="293"/>
      <c r="L39" s="62"/>
      <c r="M39" s="299"/>
      <c r="N39" s="62"/>
      <c r="O39" s="299"/>
      <c r="P39" s="62"/>
      <c r="Q39" s="299"/>
      <c r="S39" s="293"/>
      <c r="U39" s="293"/>
      <c r="W39" s="293"/>
    </row>
    <row r="40" spans="3:23" ht="21.75" customHeight="1">
      <c r="C40" s="293"/>
      <c r="E40" s="293"/>
      <c r="G40" s="293"/>
      <c r="H40" s="62"/>
      <c r="I40" s="299"/>
      <c r="K40" s="293"/>
      <c r="L40" s="62"/>
      <c r="M40" s="299"/>
      <c r="N40" s="62"/>
      <c r="O40" s="299"/>
      <c r="P40" s="62"/>
      <c r="Q40" s="299"/>
      <c r="S40" s="293"/>
      <c r="U40" s="293"/>
      <c r="W40" s="293"/>
    </row>
    <row r="41" spans="3:23" ht="19.5" customHeight="1">
      <c r="C41" s="293"/>
      <c r="E41" s="293"/>
      <c r="G41" s="293"/>
      <c r="H41" s="62"/>
      <c r="I41" s="299"/>
      <c r="K41" s="293"/>
      <c r="L41" s="62"/>
      <c r="M41" s="299"/>
      <c r="N41" s="62"/>
      <c r="O41" s="299"/>
      <c r="P41" s="62"/>
      <c r="Q41" s="299"/>
      <c r="S41" s="293"/>
      <c r="U41" s="293"/>
      <c r="W41" s="293"/>
    </row>
    <row r="42" spans="3:23" ht="18" customHeight="1">
      <c r="C42" s="293"/>
      <c r="E42" s="293"/>
      <c r="G42" s="293"/>
      <c r="H42" s="62"/>
      <c r="I42" s="299"/>
      <c r="K42" s="293"/>
      <c r="L42" s="62"/>
      <c r="M42" s="299"/>
      <c r="N42" s="62"/>
      <c r="O42" s="299"/>
      <c r="P42" s="62"/>
      <c r="Q42" s="299"/>
      <c r="S42" s="293"/>
      <c r="U42" s="293"/>
      <c r="W42" s="293"/>
    </row>
    <row r="43" spans="3:23" ht="15.75" customHeight="1">
      <c r="C43" s="293"/>
      <c r="E43" s="293"/>
      <c r="G43" s="293"/>
      <c r="H43" s="62"/>
      <c r="I43" s="299"/>
      <c r="K43" s="293"/>
      <c r="L43" s="62"/>
      <c r="M43" s="299"/>
      <c r="N43" s="62"/>
      <c r="O43" s="299"/>
      <c r="P43" s="62"/>
      <c r="Q43" s="299"/>
      <c r="S43" s="293"/>
      <c r="U43" s="293"/>
      <c r="W43" s="293"/>
    </row>
    <row r="44" spans="3:23" ht="19.5" customHeight="1">
      <c r="C44" s="293"/>
      <c r="E44" s="293"/>
      <c r="G44" s="293"/>
      <c r="H44" s="62"/>
      <c r="I44" s="299"/>
      <c r="K44" s="293"/>
      <c r="L44" s="62"/>
      <c r="M44" s="299"/>
      <c r="N44" s="62"/>
      <c r="O44" s="299"/>
      <c r="P44" s="62"/>
      <c r="Q44" s="299"/>
      <c r="S44" s="293"/>
      <c r="U44" s="293"/>
      <c r="W44" s="293"/>
    </row>
    <row r="45" spans="3:23" ht="20.25" customHeight="1">
      <c r="C45" s="293"/>
      <c r="E45" s="293"/>
      <c r="G45" s="293"/>
      <c r="H45" s="62"/>
      <c r="I45" s="299"/>
      <c r="K45" s="293"/>
      <c r="L45" s="62"/>
      <c r="M45" s="299"/>
      <c r="N45" s="62"/>
      <c r="O45" s="299"/>
      <c r="P45" s="62"/>
      <c r="Q45" s="299"/>
      <c r="S45" s="293"/>
      <c r="U45" s="293"/>
      <c r="W45" s="293"/>
    </row>
    <row r="46" spans="3:23" ht="18.75" customHeight="1">
      <c r="C46" s="293"/>
      <c r="E46" s="293"/>
      <c r="G46" s="293"/>
      <c r="H46" s="62"/>
      <c r="I46" s="299"/>
      <c r="K46" s="293"/>
      <c r="L46" s="62"/>
      <c r="M46" s="299"/>
      <c r="N46" s="62"/>
      <c r="O46" s="299"/>
      <c r="P46" s="62"/>
      <c r="Q46" s="299"/>
      <c r="S46" s="293"/>
      <c r="U46" s="293"/>
      <c r="W46" s="293"/>
    </row>
    <row r="47" spans="3:23" ht="15.75" customHeight="1">
      <c r="C47" s="293"/>
      <c r="E47" s="293"/>
      <c r="G47" s="293"/>
      <c r="H47" s="62"/>
      <c r="I47" s="299"/>
      <c r="K47" s="293"/>
      <c r="L47" s="62"/>
      <c r="M47" s="299"/>
      <c r="N47" s="62"/>
      <c r="O47" s="299"/>
      <c r="P47" s="62"/>
      <c r="Q47" s="299"/>
      <c r="S47" s="293"/>
      <c r="U47" s="293"/>
      <c r="W47" s="293"/>
    </row>
    <row r="48" spans="3:23" ht="15.75" customHeight="1">
      <c r="C48" s="293"/>
      <c r="E48" s="293"/>
      <c r="G48" s="293"/>
      <c r="H48" s="62"/>
      <c r="I48" s="299"/>
      <c r="K48" s="293"/>
      <c r="L48" s="62"/>
      <c r="M48" s="299"/>
      <c r="N48" s="62"/>
      <c r="O48" s="299"/>
      <c r="P48" s="62"/>
      <c r="Q48" s="299"/>
      <c r="S48" s="293"/>
      <c r="U48" s="293"/>
      <c r="W48" s="293"/>
    </row>
    <row r="49" spans="3:23" ht="15.75" customHeight="1">
      <c r="C49" s="293"/>
      <c r="E49" s="293"/>
      <c r="G49" s="293"/>
      <c r="H49" s="62"/>
      <c r="I49" s="299"/>
      <c r="K49" s="293"/>
      <c r="L49" s="62"/>
      <c r="M49" s="299"/>
      <c r="N49" s="62"/>
      <c r="O49" s="299"/>
      <c r="P49" s="62"/>
      <c r="Q49" s="299"/>
      <c r="S49" s="293"/>
      <c r="U49" s="293"/>
      <c r="W49" s="293"/>
    </row>
    <row r="50" spans="3:23" ht="15.75" customHeight="1">
      <c r="C50" s="293"/>
      <c r="E50" s="293"/>
      <c r="G50" s="293"/>
      <c r="H50" s="62"/>
      <c r="I50" s="299"/>
      <c r="K50" s="293"/>
      <c r="L50" s="62"/>
      <c r="M50" s="299"/>
      <c r="N50" s="62"/>
      <c r="O50" s="299"/>
      <c r="P50" s="62"/>
      <c r="Q50" s="299"/>
      <c r="S50" s="293"/>
      <c r="U50" s="293"/>
      <c r="W50" s="293"/>
    </row>
    <row r="51" spans="3:23" ht="15.75" customHeight="1">
      <c r="C51" s="293"/>
      <c r="E51" s="293"/>
      <c r="G51" s="293"/>
      <c r="H51" s="62"/>
      <c r="I51" s="299"/>
      <c r="K51" s="293"/>
      <c r="L51" s="62"/>
      <c r="M51" s="299"/>
      <c r="N51" s="62"/>
      <c r="O51" s="299"/>
      <c r="P51" s="62"/>
      <c r="Q51" s="299"/>
      <c r="S51" s="293"/>
      <c r="U51" s="293"/>
      <c r="W51" s="293"/>
    </row>
    <row r="52" spans="3:23" ht="15.75" customHeight="1">
      <c r="C52" s="293"/>
      <c r="E52" s="293"/>
      <c r="G52" s="293"/>
      <c r="H52" s="62"/>
      <c r="I52" s="299"/>
      <c r="K52" s="293"/>
      <c r="L52" s="62"/>
      <c r="M52" s="299"/>
      <c r="N52" s="62"/>
      <c r="O52" s="299"/>
      <c r="P52" s="62"/>
      <c r="Q52" s="299"/>
      <c r="S52" s="293"/>
      <c r="U52" s="293"/>
      <c r="W52" s="293"/>
    </row>
    <row r="53" spans="3:23" ht="15.75" customHeight="1">
      <c r="C53" s="293"/>
      <c r="E53" s="293"/>
      <c r="G53" s="293"/>
      <c r="H53" s="62"/>
      <c r="I53" s="299"/>
      <c r="K53" s="293"/>
      <c r="L53" s="62"/>
      <c r="M53" s="299"/>
      <c r="N53" s="62"/>
      <c r="O53" s="299"/>
      <c r="P53" s="62"/>
      <c r="Q53" s="299"/>
      <c r="S53" s="293"/>
      <c r="U53" s="293"/>
      <c r="W53" s="293"/>
    </row>
    <row r="54" spans="3:23" ht="15.75" customHeight="1">
      <c r="C54" s="293"/>
      <c r="E54" s="293"/>
      <c r="G54" s="293"/>
      <c r="H54" s="62"/>
      <c r="I54" s="299"/>
      <c r="K54" s="293"/>
      <c r="L54" s="62"/>
      <c r="M54" s="299"/>
      <c r="N54" s="62"/>
      <c r="O54" s="299"/>
      <c r="P54" s="62"/>
      <c r="Q54" s="299"/>
      <c r="S54" s="293"/>
      <c r="U54" s="293"/>
      <c r="W54" s="293"/>
    </row>
    <row r="55" spans="3:23" ht="15.75" customHeight="1">
      <c r="C55" s="293"/>
      <c r="E55" s="293"/>
      <c r="G55" s="293"/>
      <c r="H55" s="62"/>
      <c r="I55" s="299"/>
      <c r="K55" s="293"/>
      <c r="L55" s="62"/>
      <c r="M55" s="299"/>
      <c r="N55" s="62"/>
      <c r="O55" s="299"/>
      <c r="P55" s="62"/>
      <c r="Q55" s="299"/>
      <c r="S55" s="293"/>
      <c r="U55" s="293"/>
      <c r="W55" s="293"/>
    </row>
    <row r="56" spans="3:23" ht="15.75" customHeight="1">
      <c r="C56" s="293"/>
      <c r="E56" s="293"/>
      <c r="G56" s="293"/>
      <c r="H56" s="62"/>
      <c r="I56" s="299"/>
      <c r="K56" s="293"/>
      <c r="L56" s="62"/>
      <c r="M56" s="299"/>
      <c r="N56" s="62"/>
      <c r="O56" s="299"/>
      <c r="P56" s="62"/>
      <c r="Q56" s="299"/>
      <c r="S56" s="293"/>
      <c r="U56" s="293"/>
      <c r="W56" s="293"/>
    </row>
    <row r="57" spans="3:23" ht="15.75" customHeight="1">
      <c r="C57" s="293"/>
      <c r="E57" s="293"/>
      <c r="G57" s="293"/>
      <c r="H57" s="62"/>
      <c r="I57" s="299"/>
      <c r="K57" s="293"/>
      <c r="L57" s="62"/>
      <c r="M57" s="299"/>
      <c r="N57" s="62"/>
      <c r="O57" s="299"/>
      <c r="P57" s="62"/>
      <c r="Q57" s="299"/>
      <c r="S57" s="293"/>
      <c r="U57" s="293"/>
      <c r="W57" s="293"/>
    </row>
    <row r="58" spans="3:23" ht="15.75" customHeight="1">
      <c r="C58" s="293"/>
      <c r="E58" s="293"/>
      <c r="G58" s="293"/>
      <c r="H58" s="62"/>
      <c r="I58" s="299"/>
      <c r="K58" s="293"/>
      <c r="L58" s="62"/>
      <c r="M58" s="299"/>
      <c r="N58" s="62"/>
      <c r="O58" s="299"/>
      <c r="P58" s="62"/>
      <c r="Q58" s="299"/>
      <c r="S58" s="293"/>
      <c r="U58" s="293"/>
      <c r="W58" s="293"/>
    </row>
    <row r="59" spans="3:23" ht="15.75" customHeight="1">
      <c r="C59" s="293"/>
      <c r="E59" s="293"/>
      <c r="G59" s="293"/>
      <c r="H59" s="62"/>
      <c r="I59" s="299"/>
      <c r="K59" s="293"/>
      <c r="L59" s="62"/>
      <c r="M59" s="299"/>
      <c r="N59" s="62"/>
      <c r="O59" s="299"/>
      <c r="P59" s="62"/>
      <c r="Q59" s="299"/>
      <c r="S59" s="293"/>
      <c r="U59" s="293"/>
      <c r="W59" s="293"/>
    </row>
    <row r="60" spans="3:23" ht="15.75" customHeight="1">
      <c r="C60" s="293"/>
      <c r="E60" s="293"/>
      <c r="G60" s="293"/>
      <c r="H60" s="62"/>
      <c r="I60" s="299"/>
      <c r="K60" s="293"/>
      <c r="L60" s="62"/>
      <c r="M60" s="299"/>
      <c r="N60" s="62"/>
      <c r="O60" s="299"/>
      <c r="P60" s="62"/>
      <c r="Q60" s="299"/>
      <c r="S60" s="293"/>
      <c r="U60" s="293"/>
      <c r="W60" s="293"/>
    </row>
    <row r="61" spans="3:23" ht="15.75" customHeight="1">
      <c r="C61" s="293"/>
      <c r="E61" s="293"/>
      <c r="G61" s="293"/>
      <c r="H61" s="62"/>
      <c r="I61" s="299"/>
      <c r="K61" s="293"/>
      <c r="L61" s="62"/>
      <c r="M61" s="299"/>
      <c r="N61" s="62"/>
      <c r="O61" s="299"/>
      <c r="P61" s="62"/>
      <c r="Q61" s="299"/>
      <c r="S61" s="293"/>
      <c r="U61" s="293"/>
      <c r="W61" s="293"/>
    </row>
    <row r="62" spans="3:23" ht="15.75" customHeight="1">
      <c r="C62" s="293"/>
      <c r="E62" s="293"/>
      <c r="G62" s="293"/>
      <c r="H62" s="62"/>
      <c r="I62" s="299"/>
      <c r="K62" s="293"/>
      <c r="L62" s="62"/>
      <c r="M62" s="299"/>
      <c r="N62" s="62"/>
      <c r="O62" s="299"/>
      <c r="P62" s="62"/>
      <c r="Q62" s="299"/>
      <c r="S62" s="293"/>
      <c r="U62" s="293"/>
      <c r="W62" s="293"/>
    </row>
    <row r="63" spans="3:23" ht="15.75" customHeight="1">
      <c r="C63" s="293"/>
      <c r="E63" s="293"/>
      <c r="G63" s="293"/>
      <c r="H63" s="62"/>
      <c r="I63" s="299"/>
      <c r="K63" s="293"/>
      <c r="L63" s="62"/>
      <c r="M63" s="299"/>
      <c r="N63" s="62"/>
      <c r="O63" s="299"/>
      <c r="P63" s="62"/>
      <c r="Q63" s="299"/>
      <c r="S63" s="293"/>
      <c r="U63" s="293"/>
      <c r="W63" s="293"/>
    </row>
    <row r="64" spans="3:23" ht="15.75" customHeight="1">
      <c r="C64" s="293"/>
      <c r="E64" s="293"/>
      <c r="G64" s="293"/>
      <c r="H64" s="62"/>
      <c r="I64" s="299"/>
      <c r="K64" s="293"/>
      <c r="L64" s="62"/>
      <c r="M64" s="299"/>
      <c r="N64" s="62"/>
      <c r="O64" s="299"/>
      <c r="P64" s="62"/>
      <c r="Q64" s="299"/>
      <c r="S64" s="293"/>
      <c r="U64" s="293"/>
      <c r="W64" s="293"/>
    </row>
    <row r="65" spans="3:23" ht="15.75" customHeight="1">
      <c r="C65" s="293"/>
      <c r="E65" s="293"/>
      <c r="G65" s="293"/>
      <c r="H65" s="62"/>
      <c r="I65" s="299"/>
      <c r="K65" s="293"/>
      <c r="L65" s="62"/>
      <c r="M65" s="299"/>
      <c r="N65" s="62"/>
      <c r="O65" s="299"/>
      <c r="P65" s="62"/>
      <c r="Q65" s="299"/>
      <c r="S65" s="293"/>
      <c r="U65" s="293"/>
      <c r="W65" s="293"/>
    </row>
    <row r="66" spans="3:23" ht="15.75" customHeight="1">
      <c r="C66" s="293"/>
      <c r="E66" s="293"/>
      <c r="G66" s="293"/>
      <c r="H66" s="62"/>
      <c r="I66" s="299"/>
      <c r="K66" s="293"/>
      <c r="L66" s="62"/>
      <c r="M66" s="299"/>
      <c r="N66" s="62"/>
      <c r="O66" s="299"/>
      <c r="P66" s="62"/>
      <c r="Q66" s="299"/>
      <c r="S66" s="293"/>
      <c r="U66" s="293"/>
      <c r="W66" s="293"/>
    </row>
    <row r="67" spans="3:23" ht="15.75" customHeight="1">
      <c r="C67" s="293"/>
      <c r="E67" s="293"/>
      <c r="G67" s="293"/>
      <c r="H67" s="62"/>
      <c r="I67" s="299"/>
      <c r="K67" s="293"/>
      <c r="L67" s="62"/>
      <c r="M67" s="299"/>
      <c r="N67" s="62"/>
      <c r="O67" s="299"/>
      <c r="P67" s="62"/>
      <c r="Q67" s="299"/>
      <c r="S67" s="293"/>
      <c r="U67" s="293"/>
      <c r="W67" s="293"/>
    </row>
    <row r="68" spans="3:23" ht="15.75" customHeight="1">
      <c r="C68" s="293"/>
      <c r="E68" s="293"/>
      <c r="G68" s="293"/>
      <c r="H68" s="62"/>
      <c r="I68" s="299"/>
      <c r="K68" s="293"/>
      <c r="L68" s="62"/>
      <c r="M68" s="299"/>
      <c r="N68" s="62"/>
      <c r="O68" s="299"/>
      <c r="P68" s="62"/>
      <c r="Q68" s="299"/>
      <c r="S68" s="293"/>
      <c r="U68" s="293"/>
      <c r="W68" s="293"/>
    </row>
    <row r="69" spans="3:23" ht="15.75" customHeight="1">
      <c r="C69" s="293"/>
      <c r="E69" s="293"/>
      <c r="G69" s="293"/>
      <c r="H69" s="62"/>
      <c r="I69" s="299"/>
      <c r="K69" s="293"/>
      <c r="L69" s="62"/>
      <c r="M69" s="299"/>
      <c r="N69" s="62"/>
      <c r="O69" s="299"/>
      <c r="P69" s="62"/>
      <c r="Q69" s="299"/>
      <c r="S69" s="293"/>
      <c r="U69" s="293"/>
      <c r="W69" s="293"/>
    </row>
    <row r="70" spans="3:23" ht="17.25" customHeight="1">
      <c r="C70" s="293"/>
      <c r="E70" s="293"/>
      <c r="G70" s="293"/>
      <c r="H70" s="62"/>
      <c r="I70" s="299"/>
      <c r="K70" s="293"/>
      <c r="L70" s="62"/>
      <c r="M70" s="299"/>
      <c r="N70" s="62"/>
      <c r="O70" s="299"/>
      <c r="P70" s="62"/>
      <c r="Q70" s="299"/>
      <c r="S70" s="293"/>
      <c r="U70" s="293"/>
      <c r="W70" s="293"/>
    </row>
    <row r="71" spans="3:23" ht="17.25" customHeight="1">
      <c r="C71" s="293"/>
      <c r="E71" s="293"/>
      <c r="G71" s="293"/>
      <c r="H71" s="62"/>
      <c r="I71" s="299"/>
      <c r="K71" s="293"/>
      <c r="L71" s="62"/>
      <c r="M71" s="299"/>
      <c r="N71" s="62"/>
      <c r="O71" s="299"/>
      <c r="P71" s="62"/>
      <c r="Q71" s="299"/>
      <c r="S71" s="293"/>
      <c r="U71" s="293"/>
      <c r="W71" s="293"/>
    </row>
    <row r="72" spans="3:23" ht="18" customHeight="1">
      <c r="C72" s="293"/>
      <c r="E72" s="293"/>
      <c r="G72" s="293"/>
      <c r="H72" s="62"/>
      <c r="I72" s="299"/>
      <c r="K72" s="293"/>
      <c r="L72" s="62"/>
      <c r="M72" s="299"/>
      <c r="N72" s="62"/>
      <c r="O72" s="299"/>
      <c r="P72" s="62"/>
      <c r="Q72" s="299"/>
      <c r="S72" s="293"/>
      <c r="U72" s="293"/>
      <c r="W72" s="293"/>
    </row>
    <row r="73" spans="3:23" ht="18.75" customHeight="1">
      <c r="C73" s="293"/>
      <c r="E73" s="293"/>
      <c r="G73" s="293"/>
      <c r="H73" s="62"/>
      <c r="I73" s="299"/>
      <c r="K73" s="293"/>
      <c r="L73" s="62"/>
      <c r="M73" s="299"/>
      <c r="N73" s="62"/>
      <c r="O73" s="299"/>
      <c r="P73" s="62"/>
      <c r="Q73" s="299"/>
      <c r="S73" s="293"/>
      <c r="U73" s="293"/>
      <c r="W73" s="293"/>
    </row>
    <row r="74" spans="3:23" ht="15.75" customHeight="1">
      <c r="C74" s="293"/>
      <c r="E74" s="293"/>
      <c r="G74" s="293"/>
      <c r="H74" s="62"/>
      <c r="I74" s="299"/>
      <c r="K74" s="293"/>
      <c r="L74" s="62"/>
      <c r="M74" s="299"/>
      <c r="N74" s="62"/>
      <c r="O74" s="299"/>
      <c r="P74" s="62"/>
      <c r="Q74" s="299"/>
      <c r="S74" s="293"/>
      <c r="U74" s="293"/>
      <c r="W74" s="293"/>
    </row>
    <row r="75" spans="3:23" ht="15.75" customHeight="1">
      <c r="C75" s="293"/>
      <c r="E75" s="293"/>
      <c r="G75" s="293"/>
      <c r="H75" s="62"/>
      <c r="I75" s="299"/>
      <c r="K75" s="293"/>
      <c r="L75" s="62"/>
      <c r="M75" s="299"/>
      <c r="N75" s="62"/>
      <c r="O75" s="299"/>
      <c r="P75" s="62"/>
      <c r="Q75" s="299"/>
      <c r="S75" s="293"/>
      <c r="U75" s="293"/>
      <c r="W75" s="293"/>
    </row>
    <row r="76" spans="3:23" ht="15.75" customHeight="1">
      <c r="C76" s="293"/>
      <c r="E76" s="293"/>
      <c r="G76" s="293"/>
      <c r="H76" s="62"/>
      <c r="I76" s="299"/>
      <c r="K76" s="293"/>
      <c r="L76" s="62"/>
      <c r="M76" s="299"/>
      <c r="N76" s="62"/>
      <c r="O76" s="299"/>
      <c r="P76" s="62"/>
      <c r="Q76" s="299"/>
      <c r="S76" s="293"/>
      <c r="U76" s="293"/>
      <c r="W76" s="293"/>
    </row>
    <row r="77" spans="3:23" ht="15.75" customHeight="1">
      <c r="C77" s="293"/>
      <c r="E77" s="293"/>
      <c r="G77" s="293"/>
      <c r="H77" s="62"/>
      <c r="I77" s="299"/>
      <c r="K77" s="293"/>
      <c r="L77" s="62"/>
      <c r="M77" s="299"/>
      <c r="N77" s="62"/>
      <c r="O77" s="299"/>
      <c r="P77" s="62"/>
      <c r="Q77" s="299"/>
      <c r="S77" s="293"/>
      <c r="U77" s="293"/>
      <c r="W77" s="293"/>
    </row>
    <row r="78" spans="3:23" ht="15.75" customHeight="1">
      <c r="C78" s="293"/>
      <c r="E78" s="293"/>
      <c r="G78" s="293"/>
      <c r="H78" s="62"/>
      <c r="I78" s="299"/>
      <c r="K78" s="293"/>
      <c r="L78" s="62"/>
      <c r="M78" s="299"/>
      <c r="N78" s="62"/>
      <c r="O78" s="299"/>
      <c r="P78" s="62"/>
      <c r="Q78" s="299"/>
      <c r="S78" s="293"/>
      <c r="U78" s="293"/>
      <c r="W78" s="293"/>
    </row>
    <row r="79" spans="3:23" ht="15.75" customHeight="1">
      <c r="C79" s="293"/>
      <c r="E79" s="293"/>
      <c r="G79" s="293"/>
      <c r="H79" s="62"/>
      <c r="I79" s="299"/>
      <c r="K79" s="293"/>
      <c r="L79" s="62"/>
      <c r="M79" s="299"/>
      <c r="N79" s="62"/>
      <c r="O79" s="299"/>
      <c r="P79" s="62"/>
      <c r="Q79" s="299"/>
      <c r="S79" s="293"/>
      <c r="U79" s="293"/>
      <c r="W79" s="293"/>
    </row>
    <row r="80" spans="3:23" ht="15.75" customHeight="1">
      <c r="C80" s="293"/>
      <c r="E80" s="293"/>
      <c r="G80" s="293"/>
      <c r="H80" s="62"/>
      <c r="I80" s="299"/>
      <c r="K80" s="293"/>
      <c r="L80" s="62"/>
      <c r="M80" s="299"/>
      <c r="N80" s="62"/>
      <c r="O80" s="299"/>
      <c r="P80" s="62"/>
      <c r="Q80" s="299"/>
      <c r="S80" s="293"/>
      <c r="U80" s="293"/>
      <c r="W80" s="293"/>
    </row>
    <row r="81" spans="3:23" ht="15.75" customHeight="1">
      <c r="C81" s="293"/>
      <c r="E81" s="293"/>
      <c r="G81" s="293"/>
      <c r="H81" s="62"/>
      <c r="I81" s="299"/>
      <c r="K81" s="293"/>
      <c r="L81" s="62"/>
      <c r="M81" s="299"/>
      <c r="N81" s="62"/>
      <c r="O81" s="299"/>
      <c r="P81" s="62"/>
      <c r="Q81" s="299"/>
      <c r="S81" s="293"/>
      <c r="U81" s="293"/>
      <c r="W81" s="293"/>
    </row>
    <row r="82" spans="3:23" ht="15.75" customHeight="1">
      <c r="C82" s="293"/>
      <c r="E82" s="293"/>
      <c r="G82" s="293"/>
      <c r="H82" s="62"/>
      <c r="I82" s="299"/>
      <c r="K82" s="293"/>
      <c r="L82" s="62"/>
      <c r="M82" s="299"/>
      <c r="N82" s="62"/>
      <c r="O82" s="299"/>
      <c r="P82" s="62"/>
      <c r="Q82" s="299"/>
      <c r="S82" s="293"/>
      <c r="U82" s="293"/>
      <c r="W82" s="293"/>
    </row>
    <row r="83" spans="3:23" ht="15.75" customHeight="1">
      <c r="C83" s="293"/>
      <c r="E83" s="293"/>
      <c r="G83" s="293"/>
      <c r="H83" s="62"/>
      <c r="I83" s="299"/>
      <c r="K83" s="293"/>
      <c r="L83" s="62"/>
      <c r="M83" s="299"/>
      <c r="N83" s="62"/>
      <c r="O83" s="299"/>
      <c r="P83" s="62"/>
      <c r="Q83" s="299"/>
      <c r="S83" s="293"/>
      <c r="U83" s="293"/>
      <c r="W83" s="293"/>
    </row>
    <row r="84" spans="3:23" ht="15.75" customHeight="1">
      <c r="C84" s="293"/>
      <c r="E84" s="293"/>
      <c r="G84" s="293"/>
      <c r="H84" s="62"/>
      <c r="I84" s="299"/>
      <c r="K84" s="293"/>
      <c r="L84" s="62"/>
      <c r="M84" s="299"/>
      <c r="N84" s="62"/>
      <c r="O84" s="299"/>
      <c r="P84" s="62"/>
      <c r="Q84" s="299"/>
      <c r="S84" s="293"/>
      <c r="U84" s="293"/>
      <c r="W84" s="293"/>
    </row>
    <row r="85" spans="3:23" ht="15.75" customHeight="1">
      <c r="C85" s="293"/>
      <c r="E85" s="293"/>
      <c r="G85" s="293"/>
      <c r="H85" s="62"/>
      <c r="I85" s="299"/>
      <c r="K85" s="293"/>
      <c r="L85" s="62"/>
      <c r="M85" s="299"/>
      <c r="N85" s="62"/>
      <c r="O85" s="299"/>
      <c r="P85" s="62"/>
      <c r="Q85" s="299"/>
      <c r="S85" s="293"/>
      <c r="U85" s="293"/>
      <c r="W85" s="293"/>
    </row>
    <row r="86" spans="3:23" ht="15.75" customHeight="1">
      <c r="C86" s="293"/>
      <c r="E86" s="293"/>
      <c r="G86" s="293"/>
      <c r="H86" s="62"/>
      <c r="I86" s="299"/>
      <c r="K86" s="293"/>
      <c r="L86" s="62"/>
      <c r="M86" s="299"/>
      <c r="N86" s="62"/>
      <c r="O86" s="299"/>
      <c r="P86" s="62"/>
      <c r="Q86" s="299"/>
      <c r="S86" s="293"/>
      <c r="U86" s="293"/>
      <c r="W86" s="293"/>
    </row>
    <row r="87" spans="3:23" ht="15.75" customHeight="1">
      <c r="C87" s="293"/>
      <c r="E87" s="293"/>
      <c r="G87" s="293"/>
      <c r="H87" s="62"/>
      <c r="I87" s="299"/>
      <c r="K87" s="293"/>
      <c r="L87" s="62"/>
      <c r="M87" s="299"/>
      <c r="N87" s="62"/>
      <c r="O87" s="299"/>
      <c r="P87" s="62"/>
      <c r="Q87" s="299"/>
      <c r="S87" s="293"/>
      <c r="U87" s="293"/>
      <c r="W87" s="293"/>
    </row>
    <row r="88" spans="3:23" ht="15.75" customHeight="1">
      <c r="C88" s="293"/>
      <c r="E88" s="293"/>
      <c r="G88" s="293"/>
      <c r="H88" s="62"/>
      <c r="I88" s="299"/>
      <c r="K88" s="293"/>
      <c r="L88" s="62"/>
      <c r="M88" s="299"/>
      <c r="N88" s="62"/>
      <c r="O88" s="299"/>
      <c r="P88" s="62"/>
      <c r="Q88" s="299"/>
      <c r="S88" s="293"/>
      <c r="U88" s="293"/>
      <c r="W88" s="293"/>
    </row>
    <row r="89" spans="3:23" ht="15.75" customHeight="1">
      <c r="C89" s="293"/>
      <c r="E89" s="293"/>
      <c r="G89" s="293"/>
      <c r="H89" s="62"/>
      <c r="I89" s="299"/>
      <c r="K89" s="293"/>
      <c r="L89" s="62"/>
      <c r="M89" s="299"/>
      <c r="N89" s="62"/>
      <c r="O89" s="299"/>
      <c r="P89" s="62"/>
      <c r="Q89" s="299"/>
      <c r="S89" s="293"/>
      <c r="U89" s="293"/>
      <c r="W89" s="293"/>
    </row>
    <row r="90" spans="3:23" ht="15.75" customHeight="1">
      <c r="C90" s="293"/>
      <c r="E90" s="293"/>
      <c r="G90" s="293"/>
      <c r="H90" s="62"/>
      <c r="I90" s="299"/>
      <c r="K90" s="293"/>
      <c r="L90" s="62"/>
      <c r="M90" s="299"/>
      <c r="N90" s="62"/>
      <c r="O90" s="299"/>
      <c r="P90" s="62"/>
      <c r="Q90" s="299"/>
      <c r="S90" s="293"/>
      <c r="U90" s="293"/>
      <c r="W90" s="293"/>
    </row>
    <row r="91" spans="3:23" ht="15.75" customHeight="1">
      <c r="C91" s="293"/>
      <c r="E91" s="293"/>
      <c r="G91" s="293"/>
      <c r="H91" s="62"/>
      <c r="I91" s="299"/>
      <c r="K91" s="293"/>
      <c r="L91" s="62"/>
      <c r="M91" s="299"/>
      <c r="N91" s="62"/>
      <c r="O91" s="299"/>
      <c r="P91" s="62"/>
      <c r="Q91" s="299"/>
      <c r="S91" s="293"/>
      <c r="U91" s="293"/>
      <c r="W91" s="293"/>
    </row>
    <row r="92" spans="3:23" ht="15.75" customHeight="1">
      <c r="C92" s="293"/>
      <c r="E92" s="293"/>
      <c r="G92" s="293"/>
      <c r="H92" s="62"/>
      <c r="I92" s="299"/>
      <c r="K92" s="293"/>
      <c r="L92" s="62"/>
      <c r="M92" s="299"/>
      <c r="N92" s="62"/>
      <c r="O92" s="299"/>
      <c r="P92" s="62"/>
      <c r="Q92" s="299"/>
      <c r="S92" s="293"/>
      <c r="U92" s="293"/>
      <c r="W92" s="293"/>
    </row>
    <row r="93" spans="3:23" ht="15.75" customHeight="1">
      <c r="C93" s="293"/>
      <c r="E93" s="293"/>
      <c r="G93" s="293"/>
      <c r="H93" s="62"/>
      <c r="I93" s="299"/>
      <c r="K93" s="293"/>
      <c r="L93" s="62"/>
      <c r="M93" s="299"/>
      <c r="N93" s="62"/>
      <c r="O93" s="299"/>
      <c r="P93" s="62"/>
      <c r="Q93" s="299"/>
      <c r="S93" s="293"/>
      <c r="U93" s="293"/>
      <c r="W93" s="293"/>
    </row>
    <row r="94" spans="3:23" ht="15.75" customHeight="1">
      <c r="C94" s="293"/>
      <c r="E94" s="293"/>
      <c r="G94" s="293"/>
      <c r="H94" s="62"/>
      <c r="I94" s="299"/>
      <c r="K94" s="293"/>
      <c r="L94" s="62"/>
      <c r="M94" s="299"/>
      <c r="N94" s="62"/>
      <c r="O94" s="299"/>
      <c r="P94" s="62"/>
      <c r="Q94" s="299"/>
      <c r="S94" s="293"/>
      <c r="U94" s="293"/>
      <c r="W94" s="293"/>
    </row>
  </sheetData>
  <sheetProtection/>
  <mergeCells count="12">
    <mergeCell ref="V2:W2"/>
    <mergeCell ref="H2:I2"/>
    <mergeCell ref="T2:U2"/>
    <mergeCell ref="L2:M2"/>
    <mergeCell ref="R2:S2"/>
    <mergeCell ref="P2:Q2"/>
    <mergeCell ref="N2:O2"/>
    <mergeCell ref="A2:A3"/>
    <mergeCell ref="B2:C2"/>
    <mergeCell ref="D2:E2"/>
    <mergeCell ref="F2:G2"/>
    <mergeCell ref="J2:K2"/>
  </mergeCells>
  <printOptions verticalCentered="1"/>
  <pageMargins left="0" right="0" top="0.15748031496062992" bottom="0.03937007874015748" header="0.3149606299212598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N251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" sqref="C1"/>
    </sheetView>
  </sheetViews>
  <sheetFormatPr defaultColWidth="9.140625" defaultRowHeight="12.75"/>
  <cols>
    <col min="1" max="1" width="10.57421875" style="116" customWidth="1"/>
    <col min="2" max="2" width="3.00390625" style="204" bestFit="1" customWidth="1"/>
    <col min="3" max="3" width="54.28125" style="191" customWidth="1"/>
    <col min="4" max="4" width="14.140625" style="117" customWidth="1"/>
    <col min="5" max="5" width="5.28125" style="116" customWidth="1"/>
    <col min="6" max="6" width="8.28125" style="6" bestFit="1" customWidth="1"/>
    <col min="7" max="7" width="6.140625" style="721" bestFit="1" customWidth="1"/>
    <col min="8" max="8" width="5.7109375" style="0" customWidth="1"/>
    <col min="9" max="9" width="4.8515625" style="6" customWidth="1"/>
    <col min="10" max="10" width="7.421875" style="6" customWidth="1"/>
    <col min="11" max="11" width="7.28125" style="6" customWidth="1"/>
    <col min="12" max="12" width="6.28125" style="6" customWidth="1"/>
    <col min="13" max="13" width="4.8515625" style="6" customWidth="1"/>
    <col min="14" max="14" width="8.00390625" style="6" customWidth="1"/>
    <col min="15" max="16384" width="9.140625" style="6" customWidth="1"/>
  </cols>
  <sheetData>
    <row r="1" spans="1:13" ht="24.75" customHeight="1" thickBot="1">
      <c r="A1" s="178" t="s">
        <v>329</v>
      </c>
      <c r="C1" s="137"/>
      <c r="D1" s="109"/>
      <c r="E1" s="110"/>
      <c r="M1" s="19" t="s">
        <v>0</v>
      </c>
    </row>
    <row r="2" spans="1:14" s="136" customFormat="1" ht="34.5" customHeight="1" thickBot="1">
      <c r="A2" s="790" t="s">
        <v>123</v>
      </c>
      <c r="B2" s="791"/>
      <c r="C2" s="793" t="s">
        <v>124</v>
      </c>
      <c r="D2" s="792" t="s">
        <v>125</v>
      </c>
      <c r="E2" s="1190" t="s">
        <v>110</v>
      </c>
      <c r="F2" s="1190"/>
      <c r="G2" s="1190" t="s">
        <v>62</v>
      </c>
      <c r="H2" s="1190"/>
      <c r="I2" s="1190" t="s">
        <v>63</v>
      </c>
      <c r="J2" s="1190"/>
      <c r="K2" s="1191" t="s">
        <v>59</v>
      </c>
      <c r="L2" s="1227" t="s">
        <v>60</v>
      </c>
      <c r="M2" s="1225" t="s">
        <v>111</v>
      </c>
      <c r="N2" s="1226"/>
    </row>
    <row r="3" spans="1:14" ht="22.5" thickBot="1">
      <c r="A3" s="794"/>
      <c r="B3" s="795"/>
      <c r="C3" s="797" t="s">
        <v>433</v>
      </c>
      <c r="D3" s="796"/>
      <c r="E3" s="539" t="s">
        <v>10</v>
      </c>
      <c r="F3" s="540" t="s">
        <v>9</v>
      </c>
      <c r="G3" s="719" t="s">
        <v>10</v>
      </c>
      <c r="H3" s="540" t="s">
        <v>9</v>
      </c>
      <c r="I3" s="719" t="s">
        <v>10</v>
      </c>
      <c r="J3" s="540" t="s">
        <v>9</v>
      </c>
      <c r="K3" s="1192"/>
      <c r="L3" s="1228"/>
      <c r="M3" s="719" t="s">
        <v>10</v>
      </c>
      <c r="N3" s="540" t="s">
        <v>9</v>
      </c>
    </row>
    <row r="4" spans="1:14" ht="41.25" customHeight="1">
      <c r="A4" s="798" t="s">
        <v>295</v>
      </c>
      <c r="B4" s="943">
        <v>1</v>
      </c>
      <c r="C4" s="799" t="s">
        <v>434</v>
      </c>
      <c r="D4" s="943" t="s">
        <v>66</v>
      </c>
      <c r="E4" s="977">
        <v>7</v>
      </c>
      <c r="F4" s="913">
        <v>799.3</v>
      </c>
      <c r="G4" s="928"/>
      <c r="H4" s="542"/>
      <c r="I4" s="928"/>
      <c r="J4" s="542"/>
      <c r="K4" s="930"/>
      <c r="L4" s="1099"/>
      <c r="M4" s="832">
        <f>E4+G4</f>
        <v>7</v>
      </c>
      <c r="N4" s="800">
        <f>F4+H4+J4+K4+L4</f>
        <v>799.3</v>
      </c>
    </row>
    <row r="5" spans="1:14" s="284" customFormat="1" ht="60.75">
      <c r="A5" s="960"/>
      <c r="B5" s="1100">
        <v>2</v>
      </c>
      <c r="C5" s="1101" t="s">
        <v>435</v>
      </c>
      <c r="D5" s="963" t="s">
        <v>294</v>
      </c>
      <c r="E5" s="1107">
        <v>7</v>
      </c>
      <c r="F5" s="1106">
        <v>927.4</v>
      </c>
      <c r="G5" s="1102"/>
      <c r="H5" s="1103"/>
      <c r="I5" s="1104"/>
      <c r="J5" s="1104"/>
      <c r="K5" s="1104"/>
      <c r="L5" s="1104"/>
      <c r="M5" s="956">
        <f>E5+G5</f>
        <v>7</v>
      </c>
      <c r="N5" s="1105">
        <f>F5+H5+J5+K5+L5</f>
        <v>927.4</v>
      </c>
    </row>
    <row r="6" spans="1:14" s="274" customFormat="1" ht="24" customHeight="1">
      <c r="A6" s="733"/>
      <c r="B6" s="733"/>
      <c r="C6" s="735" t="s">
        <v>165</v>
      </c>
      <c r="D6" s="734"/>
      <c r="E6" s="950">
        <f>SUM(E4:E5)</f>
        <v>14</v>
      </c>
      <c r="F6" s="955">
        <f>SUM(F4:F5)</f>
        <v>1726.6999999999998</v>
      </c>
      <c r="G6" s="735"/>
      <c r="H6" s="806"/>
      <c r="I6" s="736"/>
      <c r="J6" s="806"/>
      <c r="K6" s="806"/>
      <c r="L6" s="806"/>
      <c r="M6" s="833">
        <f>SUM(M4:M5)</f>
        <v>14</v>
      </c>
      <c r="N6" s="806">
        <f>SUM(N4:N5)</f>
        <v>1726.6999999999998</v>
      </c>
    </row>
    <row r="7" spans="1:14" s="281" customFormat="1" ht="21.75" customHeight="1">
      <c r="A7" s="808" t="s">
        <v>172</v>
      </c>
      <c r="B7" s="809">
        <v>3</v>
      </c>
      <c r="C7" s="802" t="s">
        <v>288</v>
      </c>
      <c r="D7" s="810" t="s">
        <v>66</v>
      </c>
      <c r="E7" s="803"/>
      <c r="F7" s="811"/>
      <c r="G7" s="803"/>
      <c r="H7" s="567"/>
      <c r="I7" s="945"/>
      <c r="J7" s="945"/>
      <c r="K7" s="945"/>
      <c r="L7" s="945"/>
      <c r="M7" s="832"/>
      <c r="N7" s="813"/>
    </row>
    <row r="8" spans="1:14" s="281" customFormat="1" ht="21" customHeight="1">
      <c r="A8" s="814"/>
      <c r="B8" s="809"/>
      <c r="C8" s="815" t="s">
        <v>289</v>
      </c>
      <c r="D8" s="810"/>
      <c r="E8" s="803"/>
      <c r="F8" s="811"/>
      <c r="G8" s="803"/>
      <c r="H8" s="567"/>
      <c r="I8" s="945">
        <v>1</v>
      </c>
      <c r="J8" s="945">
        <v>46.7</v>
      </c>
      <c r="K8" s="812"/>
      <c r="L8" s="812"/>
      <c r="M8" s="832">
        <f>E8+G8</f>
        <v>0</v>
      </c>
      <c r="N8" s="813">
        <f>F8+H8+J8+K8+L8</f>
        <v>46.7</v>
      </c>
    </row>
    <row r="9" spans="1:14" s="281" customFormat="1" ht="21">
      <c r="A9" s="814"/>
      <c r="B9" s="809"/>
      <c r="C9" s="815" t="s">
        <v>436</v>
      </c>
      <c r="D9" s="810"/>
      <c r="E9" s="943"/>
      <c r="F9" s="944"/>
      <c r="G9" s="803"/>
      <c r="H9" s="567"/>
      <c r="I9" s="945">
        <v>7</v>
      </c>
      <c r="J9" s="946">
        <v>352</v>
      </c>
      <c r="K9" s="945"/>
      <c r="L9" s="945"/>
      <c r="M9" s="832">
        <f>E9+G9</f>
        <v>0</v>
      </c>
      <c r="N9" s="813">
        <f>F9+H9+J9+K9+L9</f>
        <v>352</v>
      </c>
    </row>
    <row r="10" spans="1:14" s="281" customFormat="1" ht="40.5">
      <c r="A10" s="812"/>
      <c r="B10" s="809">
        <v>4</v>
      </c>
      <c r="C10" s="802" t="s">
        <v>291</v>
      </c>
      <c r="D10" s="817" t="s">
        <v>87</v>
      </c>
      <c r="E10" s="1108">
        <v>23</v>
      </c>
      <c r="F10" s="944">
        <v>504.4</v>
      </c>
      <c r="G10" s="803"/>
      <c r="H10" s="567"/>
      <c r="I10" s="945">
        <f>4+2+2</f>
        <v>8</v>
      </c>
      <c r="J10" s="946">
        <v>697.1</v>
      </c>
      <c r="K10" s="812"/>
      <c r="L10" s="812"/>
      <c r="M10" s="832">
        <f>E10+G10</f>
        <v>23</v>
      </c>
      <c r="N10" s="813">
        <f>F10+H10+J10+K10+L10</f>
        <v>1201.5</v>
      </c>
    </row>
    <row r="11" spans="1:14" s="274" customFormat="1" ht="24" customHeight="1">
      <c r="A11" s="733"/>
      <c r="B11" s="733"/>
      <c r="C11" s="735" t="s">
        <v>165</v>
      </c>
      <c r="D11" s="734"/>
      <c r="E11" s="735">
        <f>SUM(E8:E10)</f>
        <v>23</v>
      </c>
      <c r="F11" s="818">
        <f aca="true" t="shared" si="0" ref="F11:N11">SUM(F8:F10)</f>
        <v>504.4</v>
      </c>
      <c r="G11" s="735"/>
      <c r="H11" s="735"/>
      <c r="I11" s="735">
        <f t="shared" si="0"/>
        <v>16</v>
      </c>
      <c r="J11" s="735">
        <f t="shared" si="0"/>
        <v>1095.8</v>
      </c>
      <c r="K11" s="735"/>
      <c r="L11" s="735"/>
      <c r="M11" s="735">
        <f t="shared" si="0"/>
        <v>23</v>
      </c>
      <c r="N11" s="818">
        <f t="shared" si="0"/>
        <v>1600.2</v>
      </c>
    </row>
    <row r="12" spans="1:14" s="674" customFormat="1" ht="63">
      <c r="A12" s="807" t="s">
        <v>428</v>
      </c>
      <c r="B12" s="801">
        <v>5</v>
      </c>
      <c r="C12" s="1098" t="s">
        <v>453</v>
      </c>
      <c r="D12" s="819" t="s">
        <v>79</v>
      </c>
      <c r="E12" s="803"/>
      <c r="F12" s="811"/>
      <c r="G12" s="803"/>
      <c r="H12" s="811"/>
      <c r="I12" s="943">
        <v>4</v>
      </c>
      <c r="J12" s="944">
        <v>120.4</v>
      </c>
      <c r="K12" s="803"/>
      <c r="L12" s="811"/>
      <c r="M12" s="832">
        <f>E12+G12</f>
        <v>0</v>
      </c>
      <c r="N12" s="813">
        <f>F12+H12+J12+K12+L12</f>
        <v>120.4</v>
      </c>
    </row>
    <row r="13" spans="1:14" s="274" customFormat="1" ht="24" customHeight="1">
      <c r="A13" s="733"/>
      <c r="B13" s="733"/>
      <c r="C13" s="735" t="s">
        <v>165</v>
      </c>
      <c r="D13" s="734"/>
      <c r="E13" s="735"/>
      <c r="F13" s="818"/>
      <c r="G13" s="735"/>
      <c r="H13" s="818"/>
      <c r="I13" s="735">
        <f>SUM(I12)</f>
        <v>4</v>
      </c>
      <c r="J13" s="735">
        <f>SUM(J12)</f>
        <v>120.4</v>
      </c>
      <c r="K13" s="818"/>
      <c r="L13" s="818"/>
      <c r="M13" s="834">
        <f>SUM(M12)</f>
        <v>0</v>
      </c>
      <c r="N13" s="738">
        <f>SUM(N12)</f>
        <v>120.4</v>
      </c>
    </row>
    <row r="14" spans="1:14" s="674" customFormat="1" ht="60.75">
      <c r="A14" s="807" t="s">
        <v>147</v>
      </c>
      <c r="B14" s="801">
        <v>6</v>
      </c>
      <c r="C14" s="802" t="s">
        <v>208</v>
      </c>
      <c r="D14" s="817" t="s">
        <v>75</v>
      </c>
      <c r="E14" s="803"/>
      <c r="F14" s="811"/>
      <c r="G14" s="803">
        <v>0</v>
      </c>
      <c r="H14" s="944">
        <v>51</v>
      </c>
      <c r="I14" s="803"/>
      <c r="J14" s="811"/>
      <c r="K14" s="803"/>
      <c r="L14" s="811"/>
      <c r="M14" s="832">
        <f>E14+G14</f>
        <v>0</v>
      </c>
      <c r="N14" s="813">
        <f>F14+H14+J14+K14+L14</f>
        <v>51</v>
      </c>
    </row>
    <row r="15" spans="1:14" s="282" customFormat="1" ht="57.75" customHeight="1">
      <c r="A15" s="807"/>
      <c r="B15" s="820">
        <v>7</v>
      </c>
      <c r="C15" s="802" t="s">
        <v>209</v>
      </c>
      <c r="D15" s="817" t="s">
        <v>75</v>
      </c>
      <c r="E15" s="803"/>
      <c r="F15" s="811"/>
      <c r="G15" s="803">
        <v>0</v>
      </c>
      <c r="H15" s="944">
        <v>44</v>
      </c>
      <c r="I15" s="803"/>
      <c r="J15" s="811"/>
      <c r="K15" s="803"/>
      <c r="L15" s="811"/>
      <c r="M15" s="832">
        <f>E15+G15</f>
        <v>0</v>
      </c>
      <c r="N15" s="813">
        <f>F15+H15+J15+K15+L15</f>
        <v>44</v>
      </c>
    </row>
    <row r="16" spans="1:14" s="274" customFormat="1" ht="24" customHeight="1">
      <c r="A16" s="733"/>
      <c r="B16" s="733"/>
      <c r="C16" s="735" t="s">
        <v>165</v>
      </c>
      <c r="D16" s="734"/>
      <c r="E16" s="735"/>
      <c r="F16" s="818"/>
      <c r="G16" s="950">
        <f>SUM(G14:G15)</f>
        <v>0</v>
      </c>
      <c r="H16" s="818">
        <f>SUM(H14:H15)</f>
        <v>95</v>
      </c>
      <c r="I16" s="954"/>
      <c r="J16" s="818"/>
      <c r="K16" s="950"/>
      <c r="L16" s="950"/>
      <c r="M16" s="834">
        <f>SUM(M14:M15)</f>
        <v>0</v>
      </c>
      <c r="N16" s="818">
        <f>SUM(N14:N15)</f>
        <v>95</v>
      </c>
    </row>
    <row r="17" spans="1:14" s="279" customFormat="1" ht="60.75">
      <c r="A17" s="816" t="s">
        <v>127</v>
      </c>
      <c r="B17" s="801">
        <v>8</v>
      </c>
      <c r="C17" s="822" t="s">
        <v>449</v>
      </c>
      <c r="D17" s="729" t="s">
        <v>66</v>
      </c>
      <c r="E17" s="951">
        <v>4</v>
      </c>
      <c r="F17" s="952">
        <v>216</v>
      </c>
      <c r="G17" s="823"/>
      <c r="H17" s="568"/>
      <c r="I17" s="824"/>
      <c r="J17" s="824"/>
      <c r="K17" s="824"/>
      <c r="L17" s="824"/>
      <c r="M17" s="832">
        <f>E17+G17</f>
        <v>4</v>
      </c>
      <c r="N17" s="813">
        <f aca="true" t="shared" si="1" ref="N17:N23">F17+H17+J17+K17+L17</f>
        <v>216</v>
      </c>
    </row>
    <row r="18" spans="1:14" s="279" customFormat="1" ht="81">
      <c r="A18" s="816"/>
      <c r="B18" s="801">
        <v>9</v>
      </c>
      <c r="C18" s="822" t="s">
        <v>450</v>
      </c>
      <c r="D18" s="729" t="s">
        <v>66</v>
      </c>
      <c r="E18" s="951">
        <v>20</v>
      </c>
      <c r="F18" s="952">
        <v>1228</v>
      </c>
      <c r="G18" s="823"/>
      <c r="H18" s="568"/>
      <c r="I18" s="824"/>
      <c r="J18" s="824"/>
      <c r="K18" s="824"/>
      <c r="L18" s="824"/>
      <c r="M18" s="832">
        <f>E18+G18</f>
        <v>20</v>
      </c>
      <c r="N18" s="813">
        <f t="shared" si="1"/>
        <v>1228</v>
      </c>
    </row>
    <row r="19" spans="1:14" s="279" customFormat="1" ht="39" customHeight="1">
      <c r="A19" s="816"/>
      <c r="B19" s="801">
        <v>10</v>
      </c>
      <c r="C19" s="822" t="s">
        <v>292</v>
      </c>
      <c r="D19" s="729" t="s">
        <v>79</v>
      </c>
      <c r="E19" s="951">
        <v>19</v>
      </c>
      <c r="F19" s="952">
        <v>1299.4</v>
      </c>
      <c r="G19" s="823"/>
      <c r="H19" s="568"/>
      <c r="I19" s="824"/>
      <c r="J19" s="824"/>
      <c r="K19" s="824"/>
      <c r="L19" s="824"/>
      <c r="M19" s="832">
        <f>E19+G19</f>
        <v>19</v>
      </c>
      <c r="N19" s="813">
        <f t="shared" si="1"/>
        <v>1299.4</v>
      </c>
    </row>
    <row r="20" spans="1:14" s="277" customFormat="1" ht="60.75">
      <c r="A20" s="814"/>
      <c r="B20" s="809">
        <v>11</v>
      </c>
      <c r="C20" s="822" t="s">
        <v>426</v>
      </c>
      <c r="D20" s="729" t="s">
        <v>144</v>
      </c>
      <c r="E20" s="943">
        <v>10</v>
      </c>
      <c r="F20" s="944">
        <v>638.5</v>
      </c>
      <c r="G20" s="804"/>
      <c r="H20" s="567"/>
      <c r="I20" s="805"/>
      <c r="J20" s="805"/>
      <c r="K20" s="805"/>
      <c r="L20" s="805"/>
      <c r="M20" s="832">
        <f>E20+G20</f>
        <v>10</v>
      </c>
      <c r="N20" s="813">
        <f t="shared" si="1"/>
        <v>638.5</v>
      </c>
    </row>
    <row r="21" spans="1:14" s="277" customFormat="1" ht="40.5">
      <c r="A21" s="814"/>
      <c r="B21" s="809">
        <v>12</v>
      </c>
      <c r="C21" s="822" t="s">
        <v>429</v>
      </c>
      <c r="D21" s="729" t="s">
        <v>73</v>
      </c>
      <c r="E21" s="943"/>
      <c r="F21" s="944"/>
      <c r="G21" s="804"/>
      <c r="H21" s="567"/>
      <c r="I21" s="805">
        <v>3</v>
      </c>
      <c r="J21" s="805">
        <f>204.5</f>
        <v>204.5</v>
      </c>
      <c r="K21" s="805"/>
      <c r="L21" s="805"/>
      <c r="M21" s="832"/>
      <c r="N21" s="813">
        <f t="shared" si="1"/>
        <v>204.5</v>
      </c>
    </row>
    <row r="22" spans="1:14" s="277" customFormat="1" ht="42.75" customHeight="1">
      <c r="A22" s="814"/>
      <c r="B22" s="809">
        <v>13</v>
      </c>
      <c r="C22" s="821" t="s">
        <v>422</v>
      </c>
      <c r="D22" s="729" t="s">
        <v>74</v>
      </c>
      <c r="E22" s="951">
        <v>28</v>
      </c>
      <c r="F22" s="953">
        <f>680.9+702.1</f>
        <v>1383</v>
      </c>
      <c r="G22" s="804"/>
      <c r="H22" s="567"/>
      <c r="I22" s="805"/>
      <c r="J22" s="805"/>
      <c r="K22" s="805"/>
      <c r="L22" s="805"/>
      <c r="M22" s="832">
        <f>E22+G22</f>
        <v>28</v>
      </c>
      <c r="N22" s="813">
        <f t="shared" si="1"/>
        <v>1383</v>
      </c>
    </row>
    <row r="23" spans="1:14" s="277" customFormat="1" ht="40.5">
      <c r="A23" s="814"/>
      <c r="B23" s="809">
        <v>14</v>
      </c>
      <c r="C23" s="821" t="s">
        <v>423</v>
      </c>
      <c r="D23" s="729" t="s">
        <v>77</v>
      </c>
      <c r="E23" s="951">
        <v>7</v>
      </c>
      <c r="F23" s="953">
        <v>150.5</v>
      </c>
      <c r="G23" s="804"/>
      <c r="H23" s="567"/>
      <c r="I23" s="805"/>
      <c r="J23" s="805"/>
      <c r="K23" s="805"/>
      <c r="L23" s="805"/>
      <c r="M23" s="832">
        <f>E23+G23</f>
        <v>7</v>
      </c>
      <c r="N23" s="813">
        <f t="shared" si="1"/>
        <v>150.5</v>
      </c>
    </row>
    <row r="24" spans="1:14" s="274" customFormat="1" ht="24" customHeight="1">
      <c r="A24" s="733"/>
      <c r="B24" s="733"/>
      <c r="C24" s="735" t="s">
        <v>165</v>
      </c>
      <c r="D24" s="734"/>
      <c r="E24" s="950">
        <f>SUM(E17:E23)</f>
        <v>88</v>
      </c>
      <c r="F24" s="955">
        <f>SUM(F17:F23)</f>
        <v>4915.4</v>
      </c>
      <c r="G24" s="955">
        <f aca="true" t="shared" si="2" ref="G24:N24">SUM(G17:G23)</f>
        <v>0</v>
      </c>
      <c r="H24" s="955">
        <f t="shared" si="2"/>
        <v>0</v>
      </c>
      <c r="I24" s="950">
        <f t="shared" si="2"/>
        <v>3</v>
      </c>
      <c r="J24" s="955">
        <f t="shared" si="2"/>
        <v>204.5</v>
      </c>
      <c r="K24" s="955">
        <f t="shared" si="2"/>
        <v>0</v>
      </c>
      <c r="L24" s="955">
        <f t="shared" si="2"/>
        <v>0</v>
      </c>
      <c r="M24" s="950">
        <f t="shared" si="2"/>
        <v>88</v>
      </c>
      <c r="N24" s="955">
        <f t="shared" si="2"/>
        <v>5119.9</v>
      </c>
    </row>
    <row r="25" spans="1:14" s="286" customFormat="1" ht="39.75" customHeight="1">
      <c r="A25" s="825" t="s">
        <v>290</v>
      </c>
      <c r="B25" s="826">
        <v>15</v>
      </c>
      <c r="C25" s="828" t="s">
        <v>427</v>
      </c>
      <c r="D25" s="827" t="s">
        <v>74</v>
      </c>
      <c r="E25" s="948">
        <v>47</v>
      </c>
      <c r="F25" s="949">
        <f>(502.498+500.395+206.152)*1.1</f>
        <v>1329.9495000000002</v>
      </c>
      <c r="G25" s="827"/>
      <c r="H25" s="829"/>
      <c r="I25" s="830"/>
      <c r="J25" s="830"/>
      <c r="K25" s="830"/>
      <c r="L25" s="830"/>
      <c r="M25" s="832">
        <f>E25+G25</f>
        <v>47</v>
      </c>
      <c r="N25" s="813">
        <f>F25+H25+J25+K25+L25</f>
        <v>1329.9495000000002</v>
      </c>
    </row>
    <row r="26" spans="1:14" s="947" customFormat="1" ht="60.75">
      <c r="A26" s="960"/>
      <c r="B26" s="961">
        <v>16</v>
      </c>
      <c r="C26" s="962" t="s">
        <v>451</v>
      </c>
      <c r="D26" s="963" t="s">
        <v>106</v>
      </c>
      <c r="E26" s="964">
        <v>4</v>
      </c>
      <c r="F26" s="965">
        <v>69.9</v>
      </c>
      <c r="G26" s="963"/>
      <c r="H26" s="537"/>
      <c r="I26" s="966"/>
      <c r="J26" s="966"/>
      <c r="K26" s="966"/>
      <c r="L26" s="966"/>
      <c r="M26" s="956">
        <f>E26+G26</f>
        <v>4</v>
      </c>
      <c r="N26" s="957">
        <f>F26+H26+J26+K26+L26</f>
        <v>69.9</v>
      </c>
    </row>
    <row r="27" spans="1:14" s="274" customFormat="1" ht="24" customHeight="1">
      <c r="A27" s="733"/>
      <c r="B27" s="733"/>
      <c r="C27" s="735" t="s">
        <v>165</v>
      </c>
      <c r="D27" s="734"/>
      <c r="E27" s="950">
        <f>SUM(E25:E26)</f>
        <v>51</v>
      </c>
      <c r="F27" s="955">
        <f>SUM(F25:F26)</f>
        <v>1399.8495000000003</v>
      </c>
      <c r="G27" s="835">
        <f aca="true" t="shared" si="3" ref="G27:L27">SUM(G25)</f>
        <v>0</v>
      </c>
      <c r="H27" s="835">
        <f t="shared" si="3"/>
        <v>0</v>
      </c>
      <c r="I27" s="835">
        <f t="shared" si="3"/>
        <v>0</v>
      </c>
      <c r="J27" s="835">
        <f t="shared" si="3"/>
        <v>0</v>
      </c>
      <c r="K27" s="835">
        <f t="shared" si="3"/>
        <v>0</v>
      </c>
      <c r="L27" s="835">
        <f t="shared" si="3"/>
        <v>0</v>
      </c>
      <c r="M27" s="950">
        <f>SUM(M25:M26)</f>
        <v>51</v>
      </c>
      <c r="N27" s="806">
        <f>SUM(N25:N26)</f>
        <v>1399.8495000000003</v>
      </c>
    </row>
    <row r="28" spans="1:14" s="274" customFormat="1" ht="40.5">
      <c r="A28" s="825" t="s">
        <v>128</v>
      </c>
      <c r="B28" s="826">
        <v>17</v>
      </c>
      <c r="C28" s="828" t="s">
        <v>424</v>
      </c>
      <c r="D28" s="827" t="s">
        <v>73</v>
      </c>
      <c r="E28" s="948"/>
      <c r="F28" s="949"/>
      <c r="G28" s="827"/>
      <c r="H28" s="829"/>
      <c r="I28" s="1097">
        <v>2</v>
      </c>
      <c r="J28" s="1097">
        <v>549.9</v>
      </c>
      <c r="K28" s="830"/>
      <c r="L28" s="830"/>
      <c r="M28" s="958">
        <f>E28+G28</f>
        <v>0</v>
      </c>
      <c r="N28" s="959">
        <f>F28+H28+J28+K28+L28</f>
        <v>549.9</v>
      </c>
    </row>
    <row r="29" spans="1:14" s="274" customFormat="1" ht="60.75">
      <c r="A29" s="825"/>
      <c r="B29" s="826">
        <v>18</v>
      </c>
      <c r="C29" s="828" t="s">
        <v>425</v>
      </c>
      <c r="D29" s="827" t="s">
        <v>74</v>
      </c>
      <c r="E29" s="948"/>
      <c r="F29" s="949"/>
      <c r="G29" s="827"/>
      <c r="H29" s="829"/>
      <c r="I29" s="1097">
        <v>2</v>
      </c>
      <c r="J29" s="1097">
        <v>87.4</v>
      </c>
      <c r="K29" s="830"/>
      <c r="L29" s="830"/>
      <c r="M29" s="958">
        <f>E29+G29</f>
        <v>0</v>
      </c>
      <c r="N29" s="959">
        <f>F29+H29+J29+K29+L29</f>
        <v>87.4</v>
      </c>
    </row>
    <row r="30" spans="1:14" s="274" customFormat="1" ht="24" customHeight="1" thickBot="1">
      <c r="A30" s="733"/>
      <c r="B30" s="733"/>
      <c r="C30" s="735" t="s">
        <v>165</v>
      </c>
      <c r="D30" s="734"/>
      <c r="E30" s="950">
        <f>SUM(E28:E29)</f>
        <v>0</v>
      </c>
      <c r="F30" s="950">
        <f aca="true" t="shared" si="4" ref="F30:N30">SUM(F28:F29)</f>
        <v>0</v>
      </c>
      <c r="G30" s="950">
        <f t="shared" si="4"/>
        <v>0</v>
      </c>
      <c r="H30" s="950">
        <f t="shared" si="4"/>
        <v>0</v>
      </c>
      <c r="I30" s="950">
        <f t="shared" si="4"/>
        <v>4</v>
      </c>
      <c r="J30" s="955">
        <f t="shared" si="4"/>
        <v>637.3</v>
      </c>
      <c r="K30" s="950">
        <f t="shared" si="4"/>
        <v>0</v>
      </c>
      <c r="L30" s="950">
        <f t="shared" si="4"/>
        <v>0</v>
      </c>
      <c r="M30" s="950">
        <f t="shared" si="4"/>
        <v>0</v>
      </c>
      <c r="N30" s="955">
        <f t="shared" si="4"/>
        <v>637.3</v>
      </c>
    </row>
    <row r="31" spans="1:14" s="285" customFormat="1" ht="18.75" customHeight="1" thickBot="1">
      <c r="A31" s="831"/>
      <c r="B31" s="740"/>
      <c r="C31" s="742" t="s">
        <v>56</v>
      </c>
      <c r="D31" s="741"/>
      <c r="E31" s="743">
        <f>SUM(E4:E30)/2</f>
        <v>176</v>
      </c>
      <c r="F31" s="766">
        <f>F6+F11+F24+F27</f>
        <v>8546.3495</v>
      </c>
      <c r="G31" s="969"/>
      <c r="H31" s="766">
        <f>SUM(H4:H30)/2</f>
        <v>95</v>
      </c>
      <c r="I31" s="967">
        <f>SUM(I4:I30)/2</f>
        <v>27</v>
      </c>
      <c r="J31" s="766">
        <f>SUM(J4:J30)/2</f>
        <v>2058</v>
      </c>
      <c r="K31" s="766"/>
      <c r="L31" s="766"/>
      <c r="M31" s="967">
        <f>SUM(M4:M30)/2</f>
        <v>176</v>
      </c>
      <c r="N31" s="766">
        <f>SUM(N4:N30)/2</f>
        <v>10699.3495</v>
      </c>
    </row>
    <row r="32" spans="1:8" s="118" customFormat="1" ht="19.5" customHeight="1">
      <c r="A32" s="142"/>
      <c r="B32" s="197"/>
      <c r="C32" s="187"/>
      <c r="D32" s="98"/>
      <c r="E32" s="139"/>
      <c r="F32" s="268"/>
      <c r="G32" s="722"/>
      <c r="H32" s="83"/>
    </row>
    <row r="33" spans="1:8" s="118" customFormat="1" ht="19.5" customHeight="1">
      <c r="A33" s="64"/>
      <c r="B33" s="92"/>
      <c r="C33" s="187"/>
      <c r="D33" s="141"/>
      <c r="E33" s="139"/>
      <c r="F33" s="267"/>
      <c r="G33" s="722"/>
      <c r="H33" s="83"/>
    </row>
    <row r="34" spans="1:8" s="7" customFormat="1" ht="18.75" customHeight="1">
      <c r="A34" s="192"/>
      <c r="B34" s="138"/>
      <c r="C34" s="186"/>
      <c r="D34" s="141"/>
      <c r="E34" s="202"/>
      <c r="F34" s="269"/>
      <c r="G34" s="1117"/>
      <c r="H34" s="83"/>
    </row>
    <row r="35" spans="1:8" s="7" customFormat="1" ht="18.75" customHeight="1">
      <c r="A35" s="192"/>
      <c r="B35" s="138"/>
      <c r="C35" s="186"/>
      <c r="D35" s="141"/>
      <c r="E35" s="139"/>
      <c r="F35" s="267"/>
      <c r="G35" s="625"/>
      <c r="H35" s="83"/>
    </row>
    <row r="36" spans="1:8" s="7" customFormat="1" ht="18.75" customHeight="1">
      <c r="A36" s="192"/>
      <c r="B36" s="138"/>
      <c r="C36" s="186"/>
      <c r="D36" s="141"/>
      <c r="E36" s="202"/>
      <c r="F36" s="269"/>
      <c r="G36" s="625"/>
      <c r="H36" s="83"/>
    </row>
    <row r="37" spans="1:8" s="7" customFormat="1" ht="18.75" customHeight="1">
      <c r="A37" s="192"/>
      <c r="B37" s="138"/>
      <c r="C37" s="186"/>
      <c r="D37" s="141"/>
      <c r="E37" s="202"/>
      <c r="F37" s="267"/>
      <c r="G37" s="625"/>
      <c r="H37" s="83"/>
    </row>
    <row r="38" spans="1:8" s="7" customFormat="1" ht="18.75" customHeight="1">
      <c r="A38" s="192"/>
      <c r="B38" s="138"/>
      <c r="C38" s="186"/>
      <c r="D38" s="141"/>
      <c r="E38" s="139"/>
      <c r="F38" s="267"/>
      <c r="G38" s="625"/>
      <c r="H38" s="83"/>
    </row>
    <row r="39" spans="1:8" s="7" customFormat="1" ht="18.75" customHeight="1">
      <c r="A39" s="192"/>
      <c r="B39" s="138"/>
      <c r="C39" s="186"/>
      <c r="D39" s="141"/>
      <c r="E39" s="139"/>
      <c r="F39" s="267"/>
      <c r="G39" s="625"/>
      <c r="H39" s="83"/>
    </row>
    <row r="40" spans="1:8" s="118" customFormat="1" ht="19.5" customHeight="1">
      <c r="A40" s="111"/>
      <c r="B40" s="138"/>
      <c r="C40" s="185"/>
      <c r="D40" s="214"/>
      <c r="E40" s="139"/>
      <c r="F40" s="267"/>
      <c r="G40" s="722"/>
      <c r="H40" s="83"/>
    </row>
    <row r="41" spans="1:8" s="118" customFormat="1" ht="19.5" customHeight="1">
      <c r="A41" s="111"/>
      <c r="B41" s="138"/>
      <c r="C41" s="185"/>
      <c r="D41" s="214"/>
      <c r="E41" s="139"/>
      <c r="F41" s="267"/>
      <c r="G41" s="722"/>
      <c r="H41" s="83"/>
    </row>
    <row r="42" ht="21.75">
      <c r="F42" s="270"/>
    </row>
    <row r="43" ht="21.75">
      <c r="F43" s="270"/>
    </row>
    <row r="44" spans="1:8" s="222" customFormat="1" ht="21.75" customHeight="1">
      <c r="A44" s="221"/>
      <c r="B44" s="201"/>
      <c r="D44" s="223"/>
      <c r="E44" s="221"/>
      <c r="F44" s="271"/>
      <c r="G44" s="221"/>
      <c r="H44" s="224"/>
    </row>
    <row r="45" spans="1:8" s="3" customFormat="1" ht="18" customHeight="1">
      <c r="A45" s="113"/>
      <c r="B45" s="201"/>
      <c r="C45" s="188"/>
      <c r="D45" s="114"/>
      <c r="E45" s="112"/>
      <c r="F45" s="272"/>
      <c r="G45" s="2"/>
      <c r="H45"/>
    </row>
    <row r="46" spans="2:6" ht="19.5" customHeight="1">
      <c r="B46" s="91"/>
      <c r="C46" s="189"/>
      <c r="F46" s="273"/>
    </row>
    <row r="47" spans="2:6" ht="17.25">
      <c r="B47" s="91"/>
      <c r="C47" s="189"/>
      <c r="F47" s="273"/>
    </row>
    <row r="48" spans="2:6" ht="17.25">
      <c r="B48" s="91"/>
      <c r="C48" s="189"/>
      <c r="F48" s="273"/>
    </row>
    <row r="49" spans="2:6" ht="17.25">
      <c r="B49" s="91"/>
      <c r="C49" s="189"/>
      <c r="F49" s="273"/>
    </row>
    <row r="50" spans="2:6" ht="17.25">
      <c r="B50" s="91"/>
      <c r="C50" s="189"/>
      <c r="F50" s="273"/>
    </row>
    <row r="51" spans="2:6" ht="17.25">
      <c r="B51" s="91"/>
      <c r="C51" s="189"/>
      <c r="F51" s="273"/>
    </row>
    <row r="52" spans="2:6" ht="17.25">
      <c r="B52" s="91"/>
      <c r="C52" s="189"/>
      <c r="F52" s="273"/>
    </row>
    <row r="53" spans="2:6" ht="17.25">
      <c r="B53" s="91"/>
      <c r="C53" s="189"/>
      <c r="F53" s="273"/>
    </row>
    <row r="54" spans="2:6" ht="17.25">
      <c r="B54" s="91"/>
      <c r="C54" s="189"/>
      <c r="F54" s="273"/>
    </row>
    <row r="55" spans="2:6" ht="17.25">
      <c r="B55" s="91"/>
      <c r="C55" s="189"/>
      <c r="F55" s="273"/>
    </row>
    <row r="56" spans="2:6" ht="17.25">
      <c r="B56" s="91"/>
      <c r="C56" s="189"/>
      <c r="F56" s="273"/>
    </row>
    <row r="57" spans="2:6" ht="17.25">
      <c r="B57" s="91"/>
      <c r="C57" s="189"/>
      <c r="F57" s="273"/>
    </row>
    <row r="58" spans="2:6" ht="17.25">
      <c r="B58" s="91"/>
      <c r="C58" s="189"/>
      <c r="F58" s="273"/>
    </row>
    <row r="59" spans="2:6" ht="17.25">
      <c r="B59" s="91"/>
      <c r="C59" s="189"/>
      <c r="F59" s="273"/>
    </row>
    <row r="60" spans="2:6" ht="17.25">
      <c r="B60" s="91"/>
      <c r="C60" s="189"/>
      <c r="F60" s="273"/>
    </row>
    <row r="61" spans="2:6" ht="17.25">
      <c r="B61" s="91"/>
      <c r="C61" s="189"/>
      <c r="F61" s="273"/>
    </row>
    <row r="62" spans="2:7" ht="17.25">
      <c r="B62" s="91"/>
      <c r="C62" s="189"/>
      <c r="G62" s="721"/>
    </row>
    <row r="63" spans="2:7" ht="17.25">
      <c r="B63" s="91"/>
      <c r="C63" s="189"/>
      <c r="G63" s="721"/>
    </row>
    <row r="64" spans="2:7" ht="17.25">
      <c r="B64" s="91"/>
      <c r="C64" s="189"/>
      <c r="G64" s="721"/>
    </row>
    <row r="65" spans="2:7" ht="17.25">
      <c r="B65" s="91"/>
      <c r="C65" s="189"/>
      <c r="G65" s="721"/>
    </row>
    <row r="66" spans="2:7" ht="17.25">
      <c r="B66" s="91"/>
      <c r="C66" s="189"/>
      <c r="G66" s="721"/>
    </row>
    <row r="67" spans="2:7" ht="17.25">
      <c r="B67" s="91"/>
      <c r="C67" s="189"/>
      <c r="G67" s="721"/>
    </row>
    <row r="68" spans="2:7" ht="17.25">
      <c r="B68" s="91"/>
      <c r="C68" s="189"/>
      <c r="G68" s="721"/>
    </row>
    <row r="69" spans="2:7" ht="17.25">
      <c r="B69" s="91"/>
      <c r="C69" s="189"/>
      <c r="G69" s="721"/>
    </row>
    <row r="70" spans="2:7" ht="17.25">
      <c r="B70" s="91"/>
      <c r="C70" s="189"/>
      <c r="G70" s="721"/>
    </row>
    <row r="71" spans="2:7" ht="17.25">
      <c r="B71" s="91"/>
      <c r="C71" s="189"/>
      <c r="G71" s="721"/>
    </row>
    <row r="72" spans="2:7" ht="17.25">
      <c r="B72" s="91"/>
      <c r="C72" s="189"/>
      <c r="G72" s="721"/>
    </row>
    <row r="73" spans="2:7" ht="17.25">
      <c r="B73" s="91"/>
      <c r="C73" s="189"/>
      <c r="G73" s="721"/>
    </row>
    <row r="74" spans="2:7" ht="17.25">
      <c r="B74" s="91"/>
      <c r="C74" s="189"/>
      <c r="G74" s="721"/>
    </row>
    <row r="75" spans="2:7" ht="17.25">
      <c r="B75" s="91"/>
      <c r="C75" s="189"/>
      <c r="G75" s="721"/>
    </row>
    <row r="76" spans="2:7" ht="17.25">
      <c r="B76" s="91"/>
      <c r="C76" s="189"/>
      <c r="G76" s="721"/>
    </row>
    <row r="77" spans="2:7" ht="17.25">
      <c r="B77" s="91"/>
      <c r="C77" s="189"/>
      <c r="G77" s="721"/>
    </row>
    <row r="78" spans="2:7" ht="17.25">
      <c r="B78" s="91"/>
      <c r="C78" s="189"/>
      <c r="G78" s="721"/>
    </row>
    <row r="79" spans="2:7" ht="17.25">
      <c r="B79" s="91"/>
      <c r="C79" s="189"/>
      <c r="G79" s="721"/>
    </row>
    <row r="80" spans="2:7" ht="17.25">
      <c r="B80" s="91"/>
      <c r="C80" s="189"/>
      <c r="G80" s="721"/>
    </row>
    <row r="81" spans="2:7" ht="17.25">
      <c r="B81" s="91"/>
      <c r="C81" s="189"/>
      <c r="G81" s="721"/>
    </row>
    <row r="82" spans="2:7" ht="17.25">
      <c r="B82" s="91"/>
      <c r="C82" s="189"/>
      <c r="G82" s="721"/>
    </row>
    <row r="83" spans="2:7" ht="17.25">
      <c r="B83" s="91"/>
      <c r="C83" s="189"/>
      <c r="G83" s="721"/>
    </row>
    <row r="84" spans="2:7" ht="17.25">
      <c r="B84" s="91"/>
      <c r="C84" s="189"/>
      <c r="G84" s="721"/>
    </row>
    <row r="85" spans="2:7" ht="17.25">
      <c r="B85" s="91"/>
      <c r="C85" s="189"/>
      <c r="G85" s="721"/>
    </row>
    <row r="86" spans="2:7" ht="17.25">
      <c r="B86" s="91"/>
      <c r="C86" s="189"/>
      <c r="G86" s="721"/>
    </row>
    <row r="87" spans="2:7" ht="17.25">
      <c r="B87" s="91"/>
      <c r="C87" s="189"/>
      <c r="G87" s="721"/>
    </row>
    <row r="88" spans="2:7" ht="17.25">
      <c r="B88" s="91"/>
      <c r="C88" s="189"/>
      <c r="G88" s="721"/>
    </row>
    <row r="89" spans="2:7" ht="18.75" customHeight="1">
      <c r="B89" s="91"/>
      <c r="C89" s="189"/>
      <c r="G89" s="721"/>
    </row>
    <row r="90" spans="2:7" ht="18" customHeight="1">
      <c r="B90" s="91"/>
      <c r="C90" s="189"/>
      <c r="G90" s="721"/>
    </row>
    <row r="91" spans="2:7" ht="18" customHeight="1">
      <c r="B91" s="91"/>
      <c r="C91" s="189"/>
      <c r="G91" s="721"/>
    </row>
    <row r="92" spans="2:7" ht="18.75" customHeight="1">
      <c r="B92" s="91"/>
      <c r="C92" s="189"/>
      <c r="G92" s="721"/>
    </row>
    <row r="93" spans="2:7" ht="18.75" customHeight="1">
      <c r="B93" s="91"/>
      <c r="C93" s="189"/>
      <c r="G93" s="721"/>
    </row>
    <row r="94" spans="2:7" ht="17.25" customHeight="1">
      <c r="B94" s="91"/>
      <c r="C94" s="189"/>
      <c r="G94" s="721"/>
    </row>
    <row r="95" spans="2:7" ht="19.5" customHeight="1">
      <c r="B95" s="91"/>
      <c r="C95" s="189"/>
      <c r="G95" s="721"/>
    </row>
    <row r="96" spans="2:7" ht="19.5" customHeight="1">
      <c r="B96" s="91"/>
      <c r="C96" s="189"/>
      <c r="G96" s="721"/>
    </row>
    <row r="97" spans="2:7" ht="17.25">
      <c r="B97" s="91"/>
      <c r="C97" s="189"/>
      <c r="G97" s="721"/>
    </row>
    <row r="98" spans="2:7" ht="18.75" customHeight="1">
      <c r="B98" s="91"/>
      <c r="C98" s="189"/>
      <c r="G98" s="721"/>
    </row>
    <row r="99" spans="2:7" ht="18.75" customHeight="1">
      <c r="B99" s="91"/>
      <c r="C99" s="189"/>
      <c r="G99" s="721"/>
    </row>
    <row r="100" spans="2:7" ht="18.75" customHeight="1">
      <c r="B100" s="91"/>
      <c r="C100" s="189"/>
      <c r="G100" s="721"/>
    </row>
    <row r="101" spans="2:7" ht="18.75" customHeight="1">
      <c r="B101" s="91"/>
      <c r="C101" s="189"/>
      <c r="G101" s="721"/>
    </row>
    <row r="102" spans="2:7" ht="19.5" customHeight="1">
      <c r="B102" s="91"/>
      <c r="C102" s="189"/>
      <c r="G102" s="721"/>
    </row>
    <row r="103" spans="2:7" ht="17.25">
      <c r="B103" s="91"/>
      <c r="C103" s="189"/>
      <c r="G103" s="721"/>
    </row>
    <row r="104" spans="2:7" ht="17.25">
      <c r="B104" s="91"/>
      <c r="C104" s="189"/>
      <c r="G104" s="721"/>
    </row>
    <row r="105" spans="2:7" ht="17.25">
      <c r="B105" s="91"/>
      <c r="C105" s="189"/>
      <c r="G105" s="721"/>
    </row>
    <row r="106" spans="2:7" ht="17.25">
      <c r="B106" s="91"/>
      <c r="C106" s="189"/>
      <c r="G106" s="721"/>
    </row>
    <row r="107" spans="2:7" ht="17.25">
      <c r="B107" s="91"/>
      <c r="C107" s="189"/>
      <c r="G107" s="721"/>
    </row>
    <row r="108" spans="2:7" ht="17.25">
      <c r="B108" s="91"/>
      <c r="C108" s="189"/>
      <c r="G108" s="721"/>
    </row>
    <row r="109" spans="2:7" ht="17.25">
      <c r="B109" s="91"/>
      <c r="C109" s="189"/>
      <c r="G109" s="721"/>
    </row>
    <row r="110" spans="2:7" ht="17.25">
      <c r="B110" s="91"/>
      <c r="C110" s="189"/>
      <c r="G110" s="721"/>
    </row>
    <row r="111" spans="2:7" ht="17.25">
      <c r="B111" s="91"/>
      <c r="C111" s="189"/>
      <c r="G111" s="721"/>
    </row>
    <row r="112" spans="2:7" ht="17.25">
      <c r="B112" s="91"/>
      <c r="C112" s="189"/>
      <c r="G112" s="721"/>
    </row>
    <row r="113" spans="2:7" ht="17.25">
      <c r="B113" s="91"/>
      <c r="C113" s="189"/>
      <c r="G113" s="721"/>
    </row>
    <row r="114" spans="2:7" ht="17.25">
      <c r="B114" s="91"/>
      <c r="C114" s="189"/>
      <c r="G114" s="721"/>
    </row>
    <row r="115" spans="2:7" ht="17.25">
      <c r="B115" s="91"/>
      <c r="C115" s="189"/>
      <c r="G115" s="721"/>
    </row>
    <row r="116" spans="2:7" ht="17.25">
      <c r="B116" s="91"/>
      <c r="C116" s="189"/>
      <c r="G116" s="721"/>
    </row>
    <row r="117" spans="2:7" ht="17.25">
      <c r="B117" s="91"/>
      <c r="C117" s="189"/>
      <c r="G117" s="721"/>
    </row>
    <row r="118" spans="2:7" ht="17.25">
      <c r="B118" s="91"/>
      <c r="C118" s="189"/>
      <c r="G118" s="721"/>
    </row>
    <row r="119" spans="2:7" ht="17.25">
      <c r="B119" s="91"/>
      <c r="C119" s="189"/>
      <c r="G119" s="721"/>
    </row>
    <row r="120" spans="1:8" s="26" customFormat="1" ht="21">
      <c r="A120" s="25"/>
      <c r="B120" s="203"/>
      <c r="C120" s="190"/>
      <c r="D120" s="115"/>
      <c r="E120" s="25"/>
      <c r="G120" s="25"/>
      <c r="H120"/>
    </row>
    <row r="121" spans="1:8" s="26" customFormat="1" ht="21">
      <c r="A121" s="25"/>
      <c r="B121" s="203"/>
      <c r="C121" s="190"/>
      <c r="D121" s="115"/>
      <c r="E121" s="25"/>
      <c r="G121" s="25"/>
      <c r="H121"/>
    </row>
    <row r="122" spans="1:8" s="26" customFormat="1" ht="21">
      <c r="A122" s="25"/>
      <c r="B122" s="203"/>
      <c r="C122" s="190"/>
      <c r="D122" s="115"/>
      <c r="E122" s="25"/>
      <c r="G122" s="25"/>
      <c r="H122"/>
    </row>
    <row r="123" spans="1:8" s="26" customFormat="1" ht="21">
      <c r="A123" s="25"/>
      <c r="B123" s="203"/>
      <c r="C123" s="190"/>
      <c r="D123" s="115"/>
      <c r="E123" s="25"/>
      <c r="G123" s="25"/>
      <c r="H123"/>
    </row>
    <row r="124" spans="1:8" s="26" customFormat="1" ht="21">
      <c r="A124" s="25"/>
      <c r="B124" s="203"/>
      <c r="C124" s="190"/>
      <c r="D124" s="115"/>
      <c r="E124" s="25"/>
      <c r="G124" s="25"/>
      <c r="H124"/>
    </row>
    <row r="125" spans="1:8" s="26" customFormat="1" ht="21">
      <c r="A125" s="25"/>
      <c r="B125" s="203"/>
      <c r="C125" s="190"/>
      <c r="D125" s="115"/>
      <c r="E125" s="25"/>
      <c r="G125" s="25"/>
      <c r="H125"/>
    </row>
    <row r="126" spans="1:8" s="26" customFormat="1" ht="21">
      <c r="A126" s="25"/>
      <c r="B126" s="203"/>
      <c r="C126" s="190"/>
      <c r="D126" s="115"/>
      <c r="E126" s="25"/>
      <c r="G126" s="25"/>
      <c r="H126"/>
    </row>
    <row r="127" spans="1:8" s="26" customFormat="1" ht="21">
      <c r="A127" s="25"/>
      <c r="B127" s="203"/>
      <c r="C127" s="190"/>
      <c r="D127" s="115"/>
      <c r="E127" s="25"/>
      <c r="G127" s="25"/>
      <c r="H127"/>
    </row>
    <row r="128" spans="1:8" s="26" customFormat="1" ht="21">
      <c r="A128" s="25"/>
      <c r="B128" s="203"/>
      <c r="C128" s="190"/>
      <c r="D128" s="115"/>
      <c r="E128" s="25"/>
      <c r="G128" s="25"/>
      <c r="H128"/>
    </row>
    <row r="129" spans="1:8" s="26" customFormat="1" ht="21">
      <c r="A129" s="25"/>
      <c r="B129" s="203"/>
      <c r="C129" s="190"/>
      <c r="D129" s="115"/>
      <c r="E129" s="25"/>
      <c r="G129" s="25"/>
      <c r="H129"/>
    </row>
    <row r="130" spans="1:8" s="26" customFormat="1" ht="21">
      <c r="A130" s="25"/>
      <c r="B130" s="203"/>
      <c r="C130" s="190"/>
      <c r="D130" s="115"/>
      <c r="E130" s="25"/>
      <c r="G130" s="25"/>
      <c r="H130"/>
    </row>
    <row r="131" spans="1:8" s="26" customFormat="1" ht="21">
      <c r="A131" s="25"/>
      <c r="B131" s="203"/>
      <c r="C131" s="190"/>
      <c r="D131" s="115"/>
      <c r="E131" s="25"/>
      <c r="G131" s="25"/>
      <c r="H131"/>
    </row>
    <row r="132" spans="1:8" s="26" customFormat="1" ht="21">
      <c r="A132" s="25"/>
      <c r="B132" s="203"/>
      <c r="C132" s="190"/>
      <c r="D132" s="115"/>
      <c r="E132" s="25"/>
      <c r="G132" s="25"/>
      <c r="H132"/>
    </row>
    <row r="133" spans="1:8" s="26" customFormat="1" ht="21">
      <c r="A133" s="25"/>
      <c r="B133" s="203"/>
      <c r="C133" s="190"/>
      <c r="D133" s="115"/>
      <c r="E133" s="25"/>
      <c r="G133" s="25"/>
      <c r="H133"/>
    </row>
    <row r="134" spans="1:8" s="26" customFormat="1" ht="21">
      <c r="A134" s="25"/>
      <c r="B134" s="203"/>
      <c r="C134" s="190"/>
      <c r="D134" s="115"/>
      <c r="E134" s="25"/>
      <c r="G134" s="25"/>
      <c r="H134"/>
    </row>
    <row r="135" spans="1:8" s="26" customFormat="1" ht="21">
      <c r="A135" s="25"/>
      <c r="B135" s="203"/>
      <c r="C135" s="190"/>
      <c r="D135" s="115"/>
      <c r="E135" s="25"/>
      <c r="G135" s="25"/>
      <c r="H135"/>
    </row>
    <row r="136" spans="1:8" s="26" customFormat="1" ht="21">
      <c r="A136" s="25"/>
      <c r="B136" s="203"/>
      <c r="C136" s="190"/>
      <c r="D136" s="115"/>
      <c r="E136" s="25"/>
      <c r="G136" s="25"/>
      <c r="H136"/>
    </row>
    <row r="137" spans="1:8" s="26" customFormat="1" ht="21">
      <c r="A137" s="25"/>
      <c r="B137" s="203"/>
      <c r="C137" s="190"/>
      <c r="D137" s="115"/>
      <c r="E137" s="25"/>
      <c r="G137" s="25"/>
      <c r="H137"/>
    </row>
    <row r="138" spans="1:8" s="26" customFormat="1" ht="21">
      <c r="A138" s="25"/>
      <c r="B138" s="203"/>
      <c r="C138" s="190"/>
      <c r="D138" s="115"/>
      <c r="E138" s="25"/>
      <c r="G138" s="25"/>
      <c r="H138"/>
    </row>
    <row r="139" spans="1:8" s="26" customFormat="1" ht="21">
      <c r="A139" s="25"/>
      <c r="B139" s="203"/>
      <c r="C139" s="190"/>
      <c r="D139" s="115"/>
      <c r="E139" s="25"/>
      <c r="G139" s="25"/>
      <c r="H139"/>
    </row>
    <row r="140" spans="1:8" s="26" customFormat="1" ht="21">
      <c r="A140" s="25"/>
      <c r="B140" s="203"/>
      <c r="C140" s="190"/>
      <c r="D140" s="115"/>
      <c r="E140" s="25"/>
      <c r="G140" s="25"/>
      <c r="H140"/>
    </row>
    <row r="141" spans="1:8" s="26" customFormat="1" ht="21">
      <c r="A141" s="25"/>
      <c r="B141" s="203"/>
      <c r="C141" s="190"/>
      <c r="D141" s="115"/>
      <c r="E141" s="25"/>
      <c r="G141" s="25"/>
      <c r="H141"/>
    </row>
    <row r="142" spans="1:8" s="26" customFormat="1" ht="21">
      <c r="A142" s="25"/>
      <c r="B142" s="203"/>
      <c r="C142" s="190"/>
      <c r="D142" s="115"/>
      <c r="E142" s="25"/>
      <c r="G142" s="25"/>
      <c r="H142"/>
    </row>
    <row r="143" spans="1:8" s="26" customFormat="1" ht="21">
      <c r="A143" s="25"/>
      <c r="B143" s="203"/>
      <c r="C143" s="190"/>
      <c r="D143" s="115"/>
      <c r="E143" s="25"/>
      <c r="G143" s="25"/>
      <c r="H143"/>
    </row>
    <row r="144" spans="1:8" s="26" customFormat="1" ht="21">
      <c r="A144" s="25"/>
      <c r="B144" s="203"/>
      <c r="C144" s="190"/>
      <c r="D144" s="115"/>
      <c r="E144" s="25"/>
      <c r="G144" s="25"/>
      <c r="H144"/>
    </row>
    <row r="145" spans="1:8" s="26" customFormat="1" ht="21">
      <c r="A145" s="25"/>
      <c r="B145" s="203"/>
      <c r="C145" s="190"/>
      <c r="D145" s="115"/>
      <c r="E145" s="25"/>
      <c r="G145" s="25"/>
      <c r="H145"/>
    </row>
    <row r="146" spans="1:8" s="26" customFormat="1" ht="21">
      <c r="A146" s="25"/>
      <c r="B146" s="203"/>
      <c r="C146" s="190"/>
      <c r="D146" s="115"/>
      <c r="E146" s="25"/>
      <c r="G146" s="25"/>
      <c r="H146"/>
    </row>
    <row r="147" spans="1:8" s="26" customFormat="1" ht="21">
      <c r="A147" s="25"/>
      <c r="B147" s="203"/>
      <c r="C147" s="190"/>
      <c r="D147" s="115"/>
      <c r="E147" s="25"/>
      <c r="G147" s="25"/>
      <c r="H147"/>
    </row>
    <row r="148" spans="1:8" s="26" customFormat="1" ht="21">
      <c r="A148" s="25"/>
      <c r="B148" s="203"/>
      <c r="C148" s="190"/>
      <c r="D148" s="115"/>
      <c r="E148" s="25"/>
      <c r="G148" s="25"/>
      <c r="H148"/>
    </row>
    <row r="149" spans="1:8" s="26" customFormat="1" ht="21">
      <c r="A149" s="25"/>
      <c r="B149" s="203"/>
      <c r="C149" s="190"/>
      <c r="D149" s="115"/>
      <c r="E149" s="25"/>
      <c r="G149" s="25"/>
      <c r="H149"/>
    </row>
    <row r="150" spans="1:8" s="26" customFormat="1" ht="21">
      <c r="A150" s="25"/>
      <c r="B150" s="203"/>
      <c r="C150" s="190"/>
      <c r="D150" s="115"/>
      <c r="E150" s="25"/>
      <c r="G150" s="25"/>
      <c r="H150"/>
    </row>
    <row r="151" spans="1:8" s="26" customFormat="1" ht="21">
      <c r="A151" s="25"/>
      <c r="B151" s="203"/>
      <c r="C151" s="190"/>
      <c r="D151" s="115"/>
      <c r="E151" s="25"/>
      <c r="G151" s="25"/>
      <c r="H151"/>
    </row>
    <row r="152" spans="1:8" s="26" customFormat="1" ht="21">
      <c r="A152" s="25"/>
      <c r="B152" s="203"/>
      <c r="C152" s="190"/>
      <c r="D152" s="115"/>
      <c r="E152" s="25"/>
      <c r="G152" s="25"/>
      <c r="H152"/>
    </row>
    <row r="153" spans="1:8" s="26" customFormat="1" ht="21">
      <c r="A153" s="25"/>
      <c r="B153" s="203"/>
      <c r="C153" s="190"/>
      <c r="D153" s="115"/>
      <c r="E153" s="25"/>
      <c r="G153" s="25"/>
      <c r="H153"/>
    </row>
    <row r="154" spans="1:8" s="26" customFormat="1" ht="21">
      <c r="A154" s="25"/>
      <c r="B154" s="203"/>
      <c r="C154" s="190"/>
      <c r="D154" s="115"/>
      <c r="E154" s="25"/>
      <c r="G154" s="25"/>
      <c r="H154"/>
    </row>
    <row r="155" spans="1:8" s="26" customFormat="1" ht="21">
      <c r="A155" s="25"/>
      <c r="B155" s="203"/>
      <c r="C155" s="190"/>
      <c r="D155" s="115"/>
      <c r="E155" s="25"/>
      <c r="G155" s="25"/>
      <c r="H155"/>
    </row>
    <row r="156" spans="1:8" s="26" customFormat="1" ht="21">
      <c r="A156" s="25"/>
      <c r="B156" s="203"/>
      <c r="C156" s="190"/>
      <c r="D156" s="115"/>
      <c r="E156" s="25"/>
      <c r="G156" s="25"/>
      <c r="H156"/>
    </row>
    <row r="157" spans="1:8" s="26" customFormat="1" ht="21">
      <c r="A157" s="25"/>
      <c r="B157" s="203"/>
      <c r="C157" s="190"/>
      <c r="D157" s="115"/>
      <c r="E157" s="25"/>
      <c r="G157" s="25"/>
      <c r="H157"/>
    </row>
    <row r="158" spans="1:8" s="26" customFormat="1" ht="21">
      <c r="A158" s="25"/>
      <c r="B158" s="203"/>
      <c r="C158" s="190"/>
      <c r="D158" s="115"/>
      <c r="E158" s="25"/>
      <c r="G158" s="25"/>
      <c r="H158"/>
    </row>
    <row r="159" spans="1:8" s="26" customFormat="1" ht="21">
      <c r="A159" s="25"/>
      <c r="B159" s="203"/>
      <c r="C159" s="190"/>
      <c r="D159" s="115"/>
      <c r="E159" s="25"/>
      <c r="G159" s="25"/>
      <c r="H159"/>
    </row>
    <row r="160" spans="1:8" s="26" customFormat="1" ht="21">
      <c r="A160" s="25"/>
      <c r="B160" s="203"/>
      <c r="C160" s="190"/>
      <c r="D160" s="115"/>
      <c r="E160" s="25"/>
      <c r="G160" s="25"/>
      <c r="H160"/>
    </row>
    <row r="161" spans="1:8" s="26" customFormat="1" ht="21">
      <c r="A161" s="25"/>
      <c r="B161" s="203"/>
      <c r="C161" s="190"/>
      <c r="D161" s="115"/>
      <c r="E161" s="25"/>
      <c r="G161" s="25"/>
      <c r="H161"/>
    </row>
    <row r="162" spans="1:8" s="26" customFormat="1" ht="21">
      <c r="A162" s="25"/>
      <c r="B162" s="203"/>
      <c r="C162" s="190"/>
      <c r="D162" s="115"/>
      <c r="E162" s="25"/>
      <c r="G162" s="25"/>
      <c r="H162"/>
    </row>
    <row r="163" spans="1:8" s="26" customFormat="1" ht="21">
      <c r="A163" s="25"/>
      <c r="B163" s="203"/>
      <c r="C163" s="190"/>
      <c r="D163" s="115"/>
      <c r="E163" s="25"/>
      <c r="G163" s="25"/>
      <c r="H163"/>
    </row>
    <row r="164" spans="1:8" s="26" customFormat="1" ht="21">
      <c r="A164" s="25"/>
      <c r="B164" s="203"/>
      <c r="C164" s="190"/>
      <c r="D164" s="115"/>
      <c r="E164" s="25"/>
      <c r="G164" s="25"/>
      <c r="H164"/>
    </row>
    <row r="165" spans="1:8" s="26" customFormat="1" ht="21">
      <c r="A165" s="25"/>
      <c r="B165" s="203"/>
      <c r="C165" s="190"/>
      <c r="D165" s="115"/>
      <c r="E165" s="25"/>
      <c r="G165" s="25"/>
      <c r="H165"/>
    </row>
    <row r="166" spans="1:8" s="26" customFormat="1" ht="21">
      <c r="A166" s="25"/>
      <c r="B166" s="203"/>
      <c r="C166" s="190"/>
      <c r="D166" s="115"/>
      <c r="E166" s="25"/>
      <c r="G166" s="25"/>
      <c r="H166"/>
    </row>
    <row r="167" spans="1:8" s="26" customFormat="1" ht="21">
      <c r="A167" s="25"/>
      <c r="B167" s="203"/>
      <c r="C167" s="190"/>
      <c r="D167" s="115"/>
      <c r="E167" s="25"/>
      <c r="G167" s="25"/>
      <c r="H167"/>
    </row>
    <row r="168" spans="1:8" s="26" customFormat="1" ht="21">
      <c r="A168" s="25"/>
      <c r="B168" s="203"/>
      <c r="C168" s="190"/>
      <c r="D168" s="115"/>
      <c r="E168" s="25"/>
      <c r="G168" s="25"/>
      <c r="H168"/>
    </row>
    <row r="169" spans="1:8" s="26" customFormat="1" ht="21">
      <c r="A169" s="25"/>
      <c r="B169" s="203"/>
      <c r="C169" s="190"/>
      <c r="D169" s="115"/>
      <c r="E169" s="25"/>
      <c r="G169" s="25"/>
      <c r="H169"/>
    </row>
    <row r="170" spans="1:8" s="26" customFormat="1" ht="21">
      <c r="A170" s="25"/>
      <c r="B170" s="203"/>
      <c r="C170" s="190"/>
      <c r="D170" s="115"/>
      <c r="E170" s="25"/>
      <c r="G170" s="25"/>
      <c r="H170"/>
    </row>
    <row r="171" spans="1:8" s="26" customFormat="1" ht="21">
      <c r="A171" s="25"/>
      <c r="B171" s="203"/>
      <c r="C171" s="190"/>
      <c r="D171" s="115"/>
      <c r="E171" s="25"/>
      <c r="G171" s="25"/>
      <c r="H171"/>
    </row>
    <row r="172" spans="1:8" s="26" customFormat="1" ht="21">
      <c r="A172" s="25"/>
      <c r="B172" s="203"/>
      <c r="C172" s="190"/>
      <c r="D172" s="115"/>
      <c r="E172" s="25"/>
      <c r="G172" s="25"/>
      <c r="H172"/>
    </row>
    <row r="173" spans="1:8" s="26" customFormat="1" ht="21">
      <c r="A173" s="25"/>
      <c r="B173" s="203"/>
      <c r="C173" s="190"/>
      <c r="D173" s="115"/>
      <c r="E173" s="25"/>
      <c r="G173" s="25"/>
      <c r="H173"/>
    </row>
    <row r="174" spans="1:8" s="26" customFormat="1" ht="21">
      <c r="A174" s="25"/>
      <c r="B174" s="203"/>
      <c r="C174" s="190"/>
      <c r="D174" s="115"/>
      <c r="E174" s="25"/>
      <c r="G174" s="25"/>
      <c r="H174"/>
    </row>
    <row r="175" spans="1:8" s="26" customFormat="1" ht="21">
      <c r="A175" s="25"/>
      <c r="B175" s="203"/>
      <c r="C175" s="190"/>
      <c r="D175" s="115"/>
      <c r="E175" s="25"/>
      <c r="G175" s="25"/>
      <c r="H175"/>
    </row>
    <row r="176" spans="1:8" s="26" customFormat="1" ht="21">
      <c r="A176" s="25"/>
      <c r="B176" s="203"/>
      <c r="C176" s="190"/>
      <c r="D176" s="115"/>
      <c r="E176" s="25"/>
      <c r="G176" s="25"/>
      <c r="H176"/>
    </row>
    <row r="177" spans="1:8" s="26" customFormat="1" ht="21">
      <c r="A177" s="25"/>
      <c r="B177" s="203"/>
      <c r="C177" s="190"/>
      <c r="D177" s="115"/>
      <c r="E177" s="25"/>
      <c r="G177" s="25"/>
      <c r="H177"/>
    </row>
    <row r="178" spans="1:8" s="26" customFormat="1" ht="21">
      <c r="A178" s="25"/>
      <c r="B178" s="203"/>
      <c r="C178" s="190"/>
      <c r="D178" s="115"/>
      <c r="E178" s="25"/>
      <c r="G178" s="25"/>
      <c r="H178"/>
    </row>
    <row r="179" spans="1:8" s="26" customFormat="1" ht="21">
      <c r="A179" s="25"/>
      <c r="B179" s="203"/>
      <c r="C179" s="190"/>
      <c r="D179" s="115"/>
      <c r="E179" s="25"/>
      <c r="G179" s="25"/>
      <c r="H179"/>
    </row>
    <row r="180" spans="1:8" s="26" customFormat="1" ht="21">
      <c r="A180" s="25"/>
      <c r="B180" s="203"/>
      <c r="C180" s="190"/>
      <c r="D180" s="115"/>
      <c r="E180" s="25"/>
      <c r="G180" s="25"/>
      <c r="H180"/>
    </row>
    <row r="181" spans="1:8" s="26" customFormat="1" ht="21">
      <c r="A181" s="25"/>
      <c r="B181" s="203"/>
      <c r="C181" s="190"/>
      <c r="D181" s="115"/>
      <c r="E181" s="25"/>
      <c r="G181" s="25"/>
      <c r="H181"/>
    </row>
    <row r="182" spans="1:8" s="26" customFormat="1" ht="21">
      <c r="A182" s="25"/>
      <c r="B182" s="203"/>
      <c r="C182" s="190"/>
      <c r="D182" s="115"/>
      <c r="E182" s="25"/>
      <c r="G182" s="25"/>
      <c r="H182"/>
    </row>
    <row r="183" spans="1:8" s="26" customFormat="1" ht="21">
      <c r="A183" s="25"/>
      <c r="B183" s="203"/>
      <c r="C183" s="190"/>
      <c r="D183" s="115"/>
      <c r="E183" s="25"/>
      <c r="G183" s="25"/>
      <c r="H183"/>
    </row>
    <row r="184" spans="1:8" s="26" customFormat="1" ht="21">
      <c r="A184" s="25"/>
      <c r="B184" s="203"/>
      <c r="C184" s="190"/>
      <c r="D184" s="115"/>
      <c r="E184" s="25"/>
      <c r="G184" s="25"/>
      <c r="H184"/>
    </row>
    <row r="185" spans="1:8" s="26" customFormat="1" ht="21">
      <c r="A185" s="25"/>
      <c r="B185" s="203"/>
      <c r="C185" s="190"/>
      <c r="D185" s="115"/>
      <c r="E185" s="25"/>
      <c r="G185" s="25"/>
      <c r="H185"/>
    </row>
    <row r="186" spans="1:8" s="26" customFormat="1" ht="21">
      <c r="A186" s="25"/>
      <c r="B186" s="203"/>
      <c r="C186" s="190"/>
      <c r="D186" s="115"/>
      <c r="E186" s="25"/>
      <c r="G186" s="25"/>
      <c r="H186"/>
    </row>
    <row r="187" spans="1:8" s="26" customFormat="1" ht="21">
      <c r="A187" s="25"/>
      <c r="B187" s="203"/>
      <c r="C187" s="190"/>
      <c r="D187" s="115"/>
      <c r="E187" s="25"/>
      <c r="G187" s="25"/>
      <c r="H187"/>
    </row>
    <row r="188" spans="1:8" s="26" customFormat="1" ht="21">
      <c r="A188" s="25"/>
      <c r="B188" s="203"/>
      <c r="C188" s="190"/>
      <c r="D188" s="115"/>
      <c r="E188" s="25"/>
      <c r="G188" s="25"/>
      <c r="H188"/>
    </row>
    <row r="189" spans="1:8" s="26" customFormat="1" ht="21">
      <c r="A189" s="25"/>
      <c r="B189" s="203"/>
      <c r="C189" s="190"/>
      <c r="D189" s="115"/>
      <c r="E189" s="25"/>
      <c r="G189" s="25"/>
      <c r="H189"/>
    </row>
    <row r="190" spans="1:8" s="26" customFormat="1" ht="21">
      <c r="A190" s="25"/>
      <c r="B190" s="203"/>
      <c r="C190" s="190"/>
      <c r="D190" s="115"/>
      <c r="E190" s="25"/>
      <c r="G190" s="25"/>
      <c r="H190"/>
    </row>
    <row r="191" spans="1:8" s="26" customFormat="1" ht="21">
      <c r="A191" s="25"/>
      <c r="B191" s="203"/>
      <c r="C191" s="190"/>
      <c r="D191" s="115"/>
      <c r="E191" s="25"/>
      <c r="G191" s="25"/>
      <c r="H191"/>
    </row>
    <row r="192" spans="1:8" s="26" customFormat="1" ht="21">
      <c r="A192" s="25"/>
      <c r="B192" s="203"/>
      <c r="C192" s="190"/>
      <c r="D192" s="115"/>
      <c r="E192" s="25"/>
      <c r="G192" s="25"/>
      <c r="H192"/>
    </row>
    <row r="193" spans="1:8" s="26" customFormat="1" ht="21">
      <c r="A193" s="25"/>
      <c r="B193" s="203"/>
      <c r="C193" s="190"/>
      <c r="D193" s="115"/>
      <c r="E193" s="25"/>
      <c r="G193" s="25"/>
      <c r="H193"/>
    </row>
    <row r="194" spans="1:8" s="26" customFormat="1" ht="21.75">
      <c r="A194" s="116"/>
      <c r="B194" s="204"/>
      <c r="C194" s="191"/>
      <c r="D194" s="117"/>
      <c r="E194" s="116"/>
      <c r="F194" s="6"/>
      <c r="G194" s="25"/>
      <c r="H194"/>
    </row>
    <row r="195" spans="1:8" s="26" customFormat="1" ht="21.75">
      <c r="A195" s="116"/>
      <c r="B195" s="204"/>
      <c r="C195" s="191"/>
      <c r="D195" s="117"/>
      <c r="E195" s="116"/>
      <c r="F195" s="6"/>
      <c r="G195" s="25"/>
      <c r="H195"/>
    </row>
    <row r="196" spans="1:8" s="26" customFormat="1" ht="21.75">
      <c r="A196" s="116"/>
      <c r="B196" s="204"/>
      <c r="C196" s="191"/>
      <c r="D196" s="117"/>
      <c r="E196" s="116"/>
      <c r="F196" s="6"/>
      <c r="G196" s="25"/>
      <c r="H196"/>
    </row>
    <row r="197" spans="1:8" s="26" customFormat="1" ht="21.75">
      <c r="A197" s="116"/>
      <c r="B197" s="204"/>
      <c r="C197" s="191"/>
      <c r="D197" s="117"/>
      <c r="E197" s="116"/>
      <c r="F197" s="6"/>
      <c r="G197" s="25"/>
      <c r="H197"/>
    </row>
    <row r="198" spans="1:8" s="26" customFormat="1" ht="21.75">
      <c r="A198" s="116"/>
      <c r="B198" s="204"/>
      <c r="C198" s="191"/>
      <c r="D198" s="117"/>
      <c r="E198" s="116"/>
      <c r="F198" s="6"/>
      <c r="G198" s="25"/>
      <c r="H198"/>
    </row>
    <row r="199" spans="1:8" s="26" customFormat="1" ht="21.75">
      <c r="A199" s="116"/>
      <c r="B199" s="204"/>
      <c r="C199" s="191"/>
      <c r="D199" s="117"/>
      <c r="E199" s="116"/>
      <c r="F199" s="6"/>
      <c r="G199" s="25"/>
      <c r="H199"/>
    </row>
    <row r="200" spans="1:8" s="26" customFormat="1" ht="21.75">
      <c r="A200" s="116"/>
      <c r="B200" s="204"/>
      <c r="C200" s="191"/>
      <c r="D200" s="117"/>
      <c r="E200" s="116"/>
      <c r="F200" s="6"/>
      <c r="G200" s="25"/>
      <c r="H200"/>
    </row>
    <row r="201" spans="1:8" s="26" customFormat="1" ht="21.75">
      <c r="A201" s="116"/>
      <c r="B201" s="204"/>
      <c r="C201" s="191"/>
      <c r="D201" s="117"/>
      <c r="E201" s="116"/>
      <c r="F201" s="6"/>
      <c r="G201" s="25"/>
      <c r="H201"/>
    </row>
    <row r="202" spans="1:8" s="26" customFormat="1" ht="21.75">
      <c r="A202" s="116"/>
      <c r="B202" s="204"/>
      <c r="C202" s="191"/>
      <c r="D202" s="117"/>
      <c r="E202" s="116"/>
      <c r="F202" s="6"/>
      <c r="G202" s="25"/>
      <c r="H202"/>
    </row>
    <row r="203" spans="1:8" s="26" customFormat="1" ht="21.75">
      <c r="A203" s="116"/>
      <c r="B203" s="204"/>
      <c r="C203" s="191"/>
      <c r="D203" s="117"/>
      <c r="E203" s="116"/>
      <c r="F203" s="6"/>
      <c r="G203" s="25"/>
      <c r="H203"/>
    </row>
    <row r="204" spans="1:8" s="26" customFormat="1" ht="21.75">
      <c r="A204" s="116"/>
      <c r="B204" s="204"/>
      <c r="C204" s="191"/>
      <c r="D204" s="117"/>
      <c r="E204" s="116"/>
      <c r="F204" s="6"/>
      <c r="G204" s="25"/>
      <c r="H204"/>
    </row>
    <row r="205" spans="1:8" s="26" customFormat="1" ht="21.75">
      <c r="A205" s="116"/>
      <c r="B205" s="204"/>
      <c r="C205" s="191"/>
      <c r="D205" s="117"/>
      <c r="E205" s="116"/>
      <c r="F205" s="6"/>
      <c r="G205" s="25"/>
      <c r="H205"/>
    </row>
    <row r="206" spans="1:8" s="26" customFormat="1" ht="21.75">
      <c r="A206" s="116"/>
      <c r="B206" s="204"/>
      <c r="C206" s="191"/>
      <c r="D206" s="117"/>
      <c r="E206" s="116"/>
      <c r="F206" s="6"/>
      <c r="G206" s="25"/>
      <c r="H206"/>
    </row>
    <row r="207" spans="1:8" s="26" customFormat="1" ht="21.75">
      <c r="A207" s="116"/>
      <c r="B207" s="204"/>
      <c r="C207" s="191"/>
      <c r="D207" s="117"/>
      <c r="E207" s="116"/>
      <c r="F207" s="6"/>
      <c r="G207" s="25"/>
      <c r="H207"/>
    </row>
    <row r="208" spans="1:8" s="26" customFormat="1" ht="21.75">
      <c r="A208" s="116"/>
      <c r="B208" s="204"/>
      <c r="C208" s="191"/>
      <c r="D208" s="117"/>
      <c r="E208" s="116"/>
      <c r="F208" s="6"/>
      <c r="G208" s="25"/>
      <c r="H208"/>
    </row>
    <row r="209" spans="1:8" s="26" customFormat="1" ht="21.75">
      <c r="A209" s="116"/>
      <c r="B209" s="204"/>
      <c r="C209" s="191"/>
      <c r="D209" s="117"/>
      <c r="E209" s="116"/>
      <c r="F209" s="6"/>
      <c r="G209" s="25"/>
      <c r="H209"/>
    </row>
    <row r="210" spans="1:8" s="26" customFormat="1" ht="21.75">
      <c r="A210" s="116"/>
      <c r="B210" s="204"/>
      <c r="C210" s="191"/>
      <c r="D210" s="117"/>
      <c r="E210" s="116"/>
      <c r="F210" s="6"/>
      <c r="G210" s="25"/>
      <c r="H210"/>
    </row>
    <row r="211" spans="1:8" s="26" customFormat="1" ht="21.75">
      <c r="A211" s="116"/>
      <c r="B211" s="204"/>
      <c r="C211" s="191"/>
      <c r="D211" s="117"/>
      <c r="E211" s="116"/>
      <c r="F211" s="6"/>
      <c r="G211" s="25"/>
      <c r="H211"/>
    </row>
    <row r="212" spans="1:8" s="26" customFormat="1" ht="21.75">
      <c r="A212" s="116"/>
      <c r="B212" s="204"/>
      <c r="C212" s="191"/>
      <c r="D212" s="117"/>
      <c r="E212" s="116"/>
      <c r="F212" s="6"/>
      <c r="G212" s="25"/>
      <c r="H212"/>
    </row>
    <row r="213" spans="1:8" s="26" customFormat="1" ht="21.75">
      <c r="A213" s="116"/>
      <c r="B213" s="204"/>
      <c r="C213" s="191"/>
      <c r="D213" s="117"/>
      <c r="E213" s="116"/>
      <c r="F213" s="6"/>
      <c r="G213" s="25"/>
      <c r="H213"/>
    </row>
    <row r="214" spans="1:8" s="26" customFormat="1" ht="21.75">
      <c r="A214" s="116"/>
      <c r="B214" s="204"/>
      <c r="C214" s="191"/>
      <c r="D214" s="117"/>
      <c r="E214" s="116"/>
      <c r="F214" s="6"/>
      <c r="G214" s="25"/>
      <c r="H214"/>
    </row>
    <row r="215" spans="1:8" s="26" customFormat="1" ht="21.75">
      <c r="A215" s="116"/>
      <c r="B215" s="204"/>
      <c r="C215" s="191"/>
      <c r="D215" s="117"/>
      <c r="E215" s="116"/>
      <c r="F215" s="6"/>
      <c r="G215" s="25"/>
      <c r="H215"/>
    </row>
    <row r="216" spans="1:8" s="26" customFormat="1" ht="21.75">
      <c r="A216" s="116"/>
      <c r="B216" s="204"/>
      <c r="C216" s="191"/>
      <c r="D216" s="117"/>
      <c r="E216" s="116"/>
      <c r="F216" s="6"/>
      <c r="G216" s="25"/>
      <c r="H216"/>
    </row>
    <row r="217" spans="1:8" s="26" customFormat="1" ht="21.75">
      <c r="A217" s="116"/>
      <c r="B217" s="204"/>
      <c r="C217" s="191"/>
      <c r="D217" s="117"/>
      <c r="E217" s="116"/>
      <c r="F217" s="6"/>
      <c r="G217" s="25"/>
      <c r="H217"/>
    </row>
    <row r="218" spans="1:8" s="26" customFormat="1" ht="21.75">
      <c r="A218" s="116"/>
      <c r="B218" s="204"/>
      <c r="C218" s="191"/>
      <c r="D218" s="117"/>
      <c r="E218" s="116"/>
      <c r="F218" s="6"/>
      <c r="G218" s="25"/>
      <c r="H218"/>
    </row>
    <row r="219" spans="1:8" s="26" customFormat="1" ht="21.75">
      <c r="A219" s="116"/>
      <c r="B219" s="204"/>
      <c r="C219" s="191"/>
      <c r="D219" s="117"/>
      <c r="E219" s="116"/>
      <c r="F219" s="6"/>
      <c r="G219" s="25"/>
      <c r="H219"/>
    </row>
    <row r="220" spans="1:8" s="26" customFormat="1" ht="21.75">
      <c r="A220" s="116"/>
      <c r="B220" s="204"/>
      <c r="C220" s="191"/>
      <c r="D220" s="117"/>
      <c r="E220" s="116"/>
      <c r="F220" s="6"/>
      <c r="G220" s="25"/>
      <c r="H220"/>
    </row>
    <row r="221" spans="1:8" s="26" customFormat="1" ht="21.75">
      <c r="A221" s="116"/>
      <c r="B221" s="204"/>
      <c r="C221" s="191"/>
      <c r="D221" s="117"/>
      <c r="E221" s="116"/>
      <c r="F221" s="6"/>
      <c r="G221" s="25"/>
      <c r="H221"/>
    </row>
    <row r="222" spans="1:8" s="26" customFormat="1" ht="21.75">
      <c r="A222" s="116"/>
      <c r="B222" s="204"/>
      <c r="C222" s="191"/>
      <c r="D222" s="117"/>
      <c r="E222" s="116"/>
      <c r="F222" s="6"/>
      <c r="G222" s="25"/>
      <c r="H222"/>
    </row>
    <row r="223" spans="1:8" s="26" customFormat="1" ht="21.75">
      <c r="A223" s="116"/>
      <c r="B223" s="204"/>
      <c r="C223" s="191"/>
      <c r="D223" s="117"/>
      <c r="E223" s="116"/>
      <c r="F223" s="6"/>
      <c r="G223" s="25"/>
      <c r="H223"/>
    </row>
    <row r="224" spans="1:8" s="26" customFormat="1" ht="21.75">
      <c r="A224" s="116"/>
      <c r="B224" s="204"/>
      <c r="C224" s="191"/>
      <c r="D224" s="117"/>
      <c r="E224" s="116"/>
      <c r="F224" s="6"/>
      <c r="G224" s="25"/>
      <c r="H224"/>
    </row>
    <row r="225" spans="1:8" s="26" customFormat="1" ht="21.75">
      <c r="A225" s="116"/>
      <c r="B225" s="204"/>
      <c r="C225" s="191"/>
      <c r="D225" s="117"/>
      <c r="E225" s="116"/>
      <c r="F225" s="6"/>
      <c r="G225" s="25"/>
      <c r="H225"/>
    </row>
    <row r="226" spans="1:8" s="26" customFormat="1" ht="21.75">
      <c r="A226" s="116"/>
      <c r="B226" s="204"/>
      <c r="C226" s="191"/>
      <c r="D226" s="117"/>
      <c r="E226" s="116"/>
      <c r="F226" s="6"/>
      <c r="G226" s="25"/>
      <c r="H226"/>
    </row>
    <row r="227" spans="1:8" s="26" customFormat="1" ht="21.75">
      <c r="A227" s="116"/>
      <c r="B227" s="204"/>
      <c r="C227" s="191"/>
      <c r="D227" s="117"/>
      <c r="E227" s="116"/>
      <c r="F227" s="6"/>
      <c r="G227" s="25"/>
      <c r="H227"/>
    </row>
    <row r="228" spans="1:8" s="26" customFormat="1" ht="21.75">
      <c r="A228" s="116"/>
      <c r="B228" s="204"/>
      <c r="C228" s="191"/>
      <c r="D228" s="117"/>
      <c r="E228" s="116"/>
      <c r="F228" s="6"/>
      <c r="G228" s="25"/>
      <c r="H228"/>
    </row>
    <row r="229" spans="1:8" s="26" customFormat="1" ht="21.75">
      <c r="A229" s="116"/>
      <c r="B229" s="204"/>
      <c r="C229" s="191"/>
      <c r="D229" s="117"/>
      <c r="E229" s="116"/>
      <c r="F229" s="6"/>
      <c r="G229" s="25"/>
      <c r="H229"/>
    </row>
    <row r="230" spans="1:8" s="26" customFormat="1" ht="21.75">
      <c r="A230" s="116"/>
      <c r="B230" s="204"/>
      <c r="C230" s="191"/>
      <c r="D230" s="117"/>
      <c r="E230" s="116"/>
      <c r="F230" s="6"/>
      <c r="G230" s="25"/>
      <c r="H230"/>
    </row>
    <row r="231" spans="1:8" s="26" customFormat="1" ht="21.75">
      <c r="A231" s="116"/>
      <c r="B231" s="204"/>
      <c r="C231" s="191"/>
      <c r="D231" s="117"/>
      <c r="E231" s="116"/>
      <c r="F231" s="6"/>
      <c r="G231" s="25"/>
      <c r="H231"/>
    </row>
    <row r="232" spans="1:8" s="26" customFormat="1" ht="21.75">
      <c r="A232" s="116"/>
      <c r="B232" s="204"/>
      <c r="C232" s="191"/>
      <c r="D232" s="117"/>
      <c r="E232" s="116"/>
      <c r="F232" s="6"/>
      <c r="G232" s="25"/>
      <c r="H232"/>
    </row>
    <row r="233" spans="1:8" s="26" customFormat="1" ht="21.75">
      <c r="A233" s="116"/>
      <c r="B233" s="204"/>
      <c r="C233" s="191"/>
      <c r="D233" s="117"/>
      <c r="E233" s="116"/>
      <c r="F233" s="6"/>
      <c r="G233" s="25"/>
      <c r="H233"/>
    </row>
    <row r="234" spans="1:8" s="26" customFormat="1" ht="21.75">
      <c r="A234" s="116"/>
      <c r="B234" s="204"/>
      <c r="C234" s="191"/>
      <c r="D234" s="117"/>
      <c r="E234" s="116"/>
      <c r="F234" s="6"/>
      <c r="G234" s="25"/>
      <c r="H234"/>
    </row>
    <row r="235" spans="1:8" s="26" customFormat="1" ht="21.75">
      <c r="A235" s="116"/>
      <c r="B235" s="204"/>
      <c r="C235" s="191"/>
      <c r="D235" s="117"/>
      <c r="E235" s="116"/>
      <c r="F235" s="6"/>
      <c r="G235" s="25"/>
      <c r="H235"/>
    </row>
    <row r="236" spans="1:8" s="26" customFormat="1" ht="21.75">
      <c r="A236" s="116"/>
      <c r="B236" s="204"/>
      <c r="C236" s="191"/>
      <c r="D236" s="117"/>
      <c r="E236" s="116"/>
      <c r="F236" s="6"/>
      <c r="G236" s="25"/>
      <c r="H236"/>
    </row>
    <row r="237" spans="1:8" s="26" customFormat="1" ht="21.75">
      <c r="A237" s="116"/>
      <c r="B237" s="204"/>
      <c r="C237" s="191"/>
      <c r="D237" s="117"/>
      <c r="E237" s="116"/>
      <c r="F237" s="6"/>
      <c r="G237" s="25"/>
      <c r="H237"/>
    </row>
    <row r="238" spans="1:8" s="26" customFormat="1" ht="21.75">
      <c r="A238" s="116"/>
      <c r="B238" s="204"/>
      <c r="C238" s="191"/>
      <c r="D238" s="117"/>
      <c r="E238" s="116"/>
      <c r="F238" s="6"/>
      <c r="G238" s="25"/>
      <c r="H238"/>
    </row>
    <row r="239" spans="1:8" s="26" customFormat="1" ht="21.75">
      <c r="A239" s="116"/>
      <c r="B239" s="204"/>
      <c r="C239" s="191"/>
      <c r="D239" s="117"/>
      <c r="E239" s="116"/>
      <c r="F239" s="6"/>
      <c r="G239" s="25"/>
      <c r="H239"/>
    </row>
    <row r="240" spans="1:8" s="26" customFormat="1" ht="21.75">
      <c r="A240" s="116"/>
      <c r="B240" s="204"/>
      <c r="C240" s="191"/>
      <c r="D240" s="117"/>
      <c r="E240" s="116"/>
      <c r="F240" s="6"/>
      <c r="G240" s="25"/>
      <c r="H240"/>
    </row>
    <row r="241" spans="1:8" s="26" customFormat="1" ht="21.75">
      <c r="A241" s="116"/>
      <c r="B241" s="204"/>
      <c r="C241" s="191"/>
      <c r="D241" s="117"/>
      <c r="E241" s="116"/>
      <c r="F241" s="6"/>
      <c r="G241" s="25"/>
      <c r="H241"/>
    </row>
    <row r="242" spans="1:8" s="26" customFormat="1" ht="21.75">
      <c r="A242" s="116"/>
      <c r="B242" s="204"/>
      <c r="C242" s="191"/>
      <c r="D242" s="117"/>
      <c r="E242" s="116"/>
      <c r="F242" s="6"/>
      <c r="G242" s="25"/>
      <c r="H242"/>
    </row>
    <row r="243" spans="1:8" s="26" customFormat="1" ht="21.75">
      <c r="A243" s="116"/>
      <c r="B243" s="204"/>
      <c r="C243" s="191"/>
      <c r="D243" s="117"/>
      <c r="E243" s="116"/>
      <c r="F243" s="6"/>
      <c r="G243" s="25"/>
      <c r="H243"/>
    </row>
    <row r="244" spans="1:8" s="26" customFormat="1" ht="21.75">
      <c r="A244" s="116"/>
      <c r="B244" s="204"/>
      <c r="C244" s="191"/>
      <c r="D244" s="117"/>
      <c r="E244" s="116"/>
      <c r="F244" s="6"/>
      <c r="G244" s="25"/>
      <c r="H244"/>
    </row>
    <row r="245" spans="1:8" s="26" customFormat="1" ht="21.75">
      <c r="A245" s="116"/>
      <c r="B245" s="204"/>
      <c r="C245" s="191"/>
      <c r="D245" s="117"/>
      <c r="E245" s="116"/>
      <c r="F245" s="6"/>
      <c r="G245" s="25"/>
      <c r="H245"/>
    </row>
    <row r="246" spans="1:8" s="26" customFormat="1" ht="21.75">
      <c r="A246" s="116"/>
      <c r="B246" s="204"/>
      <c r="C246" s="191"/>
      <c r="D246" s="117"/>
      <c r="E246" s="116"/>
      <c r="F246" s="6"/>
      <c r="G246" s="25"/>
      <c r="H246"/>
    </row>
    <row r="247" spans="1:8" s="26" customFormat="1" ht="21.75">
      <c r="A247" s="116"/>
      <c r="B247" s="204"/>
      <c r="C247" s="191"/>
      <c r="D247" s="117"/>
      <c r="E247" s="116"/>
      <c r="F247" s="6"/>
      <c r="G247" s="25"/>
      <c r="H247"/>
    </row>
    <row r="248" spans="1:8" s="26" customFormat="1" ht="21.75">
      <c r="A248" s="116"/>
      <c r="B248" s="204"/>
      <c r="C248" s="191"/>
      <c r="D248" s="117"/>
      <c r="E248" s="116"/>
      <c r="F248" s="6"/>
      <c r="G248" s="25"/>
      <c r="H248"/>
    </row>
    <row r="249" spans="1:8" s="26" customFormat="1" ht="21.75">
      <c r="A249" s="116"/>
      <c r="B249" s="204"/>
      <c r="C249" s="191"/>
      <c r="D249" s="117"/>
      <c r="E249" s="116"/>
      <c r="F249" s="6"/>
      <c r="G249" s="25"/>
      <c r="H249"/>
    </row>
    <row r="250" spans="1:8" s="26" customFormat="1" ht="21.75">
      <c r="A250" s="116"/>
      <c r="B250" s="204"/>
      <c r="C250" s="191"/>
      <c r="D250" s="117"/>
      <c r="E250" s="116"/>
      <c r="F250" s="6"/>
      <c r="G250" s="25"/>
      <c r="H250"/>
    </row>
    <row r="251" ht="21.75">
      <c r="G251" s="116"/>
    </row>
  </sheetData>
  <sheetProtection/>
  <mergeCells count="6">
    <mergeCell ref="M2:N2"/>
    <mergeCell ref="K2:K3"/>
    <mergeCell ref="L2:L3"/>
    <mergeCell ref="E2:F2"/>
    <mergeCell ref="G2:H2"/>
    <mergeCell ref="I2:J2"/>
  </mergeCells>
  <printOptions/>
  <pageMargins left="0.02" right="0" top="0.25" bottom="0.23" header="0.53" footer="0.1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N232"/>
  <sheetViews>
    <sheetView zoomScalePageLayoutView="0" workbookViewId="0" topLeftCell="A1">
      <pane xSplit="4" ySplit="3" topLeftCell="E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O19" sqref="O19"/>
    </sheetView>
  </sheetViews>
  <sheetFormatPr defaultColWidth="9.140625" defaultRowHeight="12.75"/>
  <cols>
    <col min="1" max="1" width="10.57421875" style="116" customWidth="1"/>
    <col min="2" max="2" width="3.00390625" style="204" bestFit="1" customWidth="1"/>
    <col min="3" max="3" width="12.28125" style="204" bestFit="1" customWidth="1"/>
    <col min="4" max="4" width="41.7109375" style="191" customWidth="1"/>
    <col min="5" max="5" width="4.8515625" style="116" customWidth="1"/>
    <col min="6" max="6" width="8.28125" style="758" customWidth="1"/>
    <col min="7" max="7" width="5.00390625" style="116" bestFit="1" customWidth="1"/>
    <col min="8" max="8" width="9.140625" style="758" bestFit="1" customWidth="1"/>
    <col min="9" max="9" width="4.8515625" style="116" customWidth="1"/>
    <col min="10" max="10" width="9.00390625" style="723" bestFit="1" customWidth="1"/>
    <col min="11" max="11" width="8.00390625" style="758" customWidth="1"/>
    <col min="12" max="12" width="6.57421875" style="758" customWidth="1"/>
    <col min="13" max="13" width="5.57421875" style="758" customWidth="1"/>
    <col min="14" max="14" width="8.8515625" style="723" customWidth="1"/>
    <col min="15" max="16384" width="9.140625" style="6" customWidth="1"/>
  </cols>
  <sheetData>
    <row r="1" spans="1:14" ht="24.75" customHeight="1" thickBot="1">
      <c r="A1" s="178" t="s">
        <v>330</v>
      </c>
      <c r="D1" s="137"/>
      <c r="E1" s="110"/>
      <c r="G1" s="110"/>
      <c r="N1" s="19" t="s">
        <v>0</v>
      </c>
    </row>
    <row r="2" spans="1:14" s="136" customFormat="1" ht="34.5" customHeight="1" thickBot="1">
      <c r="A2" s="1231" t="s">
        <v>221</v>
      </c>
      <c r="B2" s="714"/>
      <c r="C2" s="713" t="s">
        <v>125</v>
      </c>
      <c r="D2" s="715" t="s">
        <v>124</v>
      </c>
      <c r="E2" s="1190" t="s">
        <v>110</v>
      </c>
      <c r="F2" s="1190"/>
      <c r="G2" s="1190" t="s">
        <v>62</v>
      </c>
      <c r="H2" s="1190"/>
      <c r="I2" s="1190" t="s">
        <v>63</v>
      </c>
      <c r="J2" s="1190"/>
      <c r="K2" s="1233" t="s">
        <v>59</v>
      </c>
      <c r="L2" s="1229" t="s">
        <v>60</v>
      </c>
      <c r="M2" s="1190" t="s">
        <v>111</v>
      </c>
      <c r="N2" s="1190"/>
    </row>
    <row r="3" spans="1:14" ht="22.5" thickBot="1">
      <c r="A3" s="1232"/>
      <c r="B3" s="716"/>
      <c r="C3" s="718"/>
      <c r="D3" s="717"/>
      <c r="E3" s="539" t="s">
        <v>10</v>
      </c>
      <c r="F3" s="759" t="s">
        <v>9</v>
      </c>
      <c r="G3" s="539" t="s">
        <v>10</v>
      </c>
      <c r="H3" s="759" t="s">
        <v>9</v>
      </c>
      <c r="I3" s="719" t="s">
        <v>10</v>
      </c>
      <c r="J3" s="540" t="s">
        <v>9</v>
      </c>
      <c r="K3" s="1234"/>
      <c r="L3" s="1230"/>
      <c r="M3" s="539" t="s">
        <v>10</v>
      </c>
      <c r="N3" s="759" t="s">
        <v>9</v>
      </c>
    </row>
    <row r="4" spans="1:14" s="284" customFormat="1" ht="40.5" customHeight="1">
      <c r="A4" s="737" t="s">
        <v>162</v>
      </c>
      <c r="B4" s="744">
        <v>1</v>
      </c>
      <c r="C4" s="1122" t="s">
        <v>66</v>
      </c>
      <c r="D4" s="751" t="s">
        <v>301</v>
      </c>
      <c r="E4" s="729"/>
      <c r="F4" s="760"/>
      <c r="G4" s="1124">
        <v>0</v>
      </c>
      <c r="H4" s="760">
        <f>92.4+114</f>
        <v>206.4</v>
      </c>
      <c r="I4" s="730"/>
      <c r="J4" s="731"/>
      <c r="K4" s="774"/>
      <c r="L4" s="774"/>
      <c r="M4" s="1123">
        <f aca="true" t="shared" si="0" ref="M4:M9">E4+G4</f>
        <v>0</v>
      </c>
      <c r="N4" s="781">
        <f aca="true" t="shared" si="1" ref="N4:N9">F4+J4+K4+L4+H4</f>
        <v>206.4</v>
      </c>
    </row>
    <row r="5" spans="1:14" s="277" customFormat="1" ht="21.75">
      <c r="A5" s="745"/>
      <c r="B5" s="746">
        <v>2</v>
      </c>
      <c r="C5" s="747" t="s">
        <v>68</v>
      </c>
      <c r="D5" s="751" t="s">
        <v>299</v>
      </c>
      <c r="E5" s="748"/>
      <c r="F5" s="761"/>
      <c r="G5" s="1125">
        <v>0</v>
      </c>
      <c r="H5" s="971">
        <v>92.2</v>
      </c>
      <c r="I5" s="749"/>
      <c r="J5" s="981"/>
      <c r="K5" s="775"/>
      <c r="L5" s="775"/>
      <c r="M5" s="1123">
        <f t="shared" si="0"/>
        <v>0</v>
      </c>
      <c r="N5" s="781">
        <f t="shared" si="1"/>
        <v>92.2</v>
      </c>
    </row>
    <row r="6" spans="1:14" s="277" customFormat="1" ht="21.75">
      <c r="A6" s="745"/>
      <c r="B6" s="746">
        <v>3</v>
      </c>
      <c r="C6" s="747" t="s">
        <v>79</v>
      </c>
      <c r="D6" s="751" t="s">
        <v>242</v>
      </c>
      <c r="E6" s="748"/>
      <c r="F6" s="761"/>
      <c r="G6" s="1127">
        <v>0</v>
      </c>
      <c r="H6" s="971">
        <v>116.3</v>
      </c>
      <c r="I6" s="749"/>
      <c r="J6" s="750"/>
      <c r="K6" s="775"/>
      <c r="L6" s="775"/>
      <c r="M6" s="1123">
        <f t="shared" si="0"/>
        <v>0</v>
      </c>
      <c r="N6" s="781">
        <f t="shared" si="1"/>
        <v>116.3</v>
      </c>
    </row>
    <row r="7" spans="1:14" s="274" customFormat="1" ht="21.75">
      <c r="A7" s="745"/>
      <c r="B7" s="746">
        <v>4</v>
      </c>
      <c r="C7" s="747" t="s">
        <v>144</v>
      </c>
      <c r="D7" s="752" t="s">
        <v>242</v>
      </c>
      <c r="E7" s="747"/>
      <c r="F7" s="762"/>
      <c r="G7" s="1126">
        <v>0</v>
      </c>
      <c r="H7" s="762">
        <v>54.7</v>
      </c>
      <c r="I7" s="753"/>
      <c r="J7" s="754"/>
      <c r="K7" s="776"/>
      <c r="L7" s="776"/>
      <c r="M7" s="1123">
        <f t="shared" si="0"/>
        <v>0</v>
      </c>
      <c r="N7" s="781">
        <f t="shared" si="1"/>
        <v>54.7</v>
      </c>
    </row>
    <row r="8" spans="1:14" s="274" customFormat="1" ht="60.75">
      <c r="A8" s="745"/>
      <c r="B8" s="746">
        <v>5</v>
      </c>
      <c r="C8" s="747" t="s">
        <v>72</v>
      </c>
      <c r="D8" s="752" t="s">
        <v>300</v>
      </c>
      <c r="E8" s="747"/>
      <c r="F8" s="762"/>
      <c r="G8" s="1126">
        <v>0</v>
      </c>
      <c r="H8" s="973">
        <v>206.9</v>
      </c>
      <c r="I8" s="753"/>
      <c r="J8" s="754"/>
      <c r="K8" s="776"/>
      <c r="L8" s="776"/>
      <c r="M8" s="1123">
        <f t="shared" si="0"/>
        <v>0</v>
      </c>
      <c r="N8" s="781">
        <f t="shared" si="1"/>
        <v>206.9</v>
      </c>
    </row>
    <row r="9" spans="1:14" s="277" customFormat="1" ht="60.75">
      <c r="A9" s="745"/>
      <c r="B9" s="746">
        <v>6</v>
      </c>
      <c r="C9" s="747" t="s">
        <v>87</v>
      </c>
      <c r="D9" s="755" t="s">
        <v>300</v>
      </c>
      <c r="E9" s="748"/>
      <c r="F9" s="763"/>
      <c r="G9" s="1126">
        <v>0</v>
      </c>
      <c r="H9" s="972">
        <v>146.4</v>
      </c>
      <c r="I9" s="749"/>
      <c r="J9" s="750"/>
      <c r="K9" s="775"/>
      <c r="L9" s="775"/>
      <c r="M9" s="1123">
        <f t="shared" si="0"/>
        <v>0</v>
      </c>
      <c r="N9" s="781">
        <f t="shared" si="1"/>
        <v>146.4</v>
      </c>
    </row>
    <row r="10" spans="1:14" s="274" customFormat="1" ht="24" customHeight="1">
      <c r="A10" s="732"/>
      <c r="B10" s="733"/>
      <c r="C10" s="734"/>
      <c r="D10" s="735"/>
      <c r="E10" s="896"/>
      <c r="F10" s="895"/>
      <c r="G10" s="1134">
        <f>SUM(G4:G9)</f>
        <v>0</v>
      </c>
      <c r="H10" s="895">
        <f>SUM(H4:H9)</f>
        <v>822.9</v>
      </c>
      <c r="I10" s="896"/>
      <c r="J10" s="895"/>
      <c r="K10" s="895"/>
      <c r="L10" s="895"/>
      <c r="M10" s="1134">
        <f>SUM(M5:M9)</f>
        <v>0</v>
      </c>
      <c r="N10" s="895">
        <f>SUM(N4:N9)</f>
        <v>822.9</v>
      </c>
    </row>
    <row r="11" spans="1:14" s="277" customFormat="1" ht="103.5" customHeight="1">
      <c r="A11" s="756" t="s">
        <v>163</v>
      </c>
      <c r="B11" s="757">
        <v>7</v>
      </c>
      <c r="C11" s="747" t="s">
        <v>76</v>
      </c>
      <c r="D11" s="755" t="s">
        <v>458</v>
      </c>
      <c r="E11" s="970">
        <v>21</v>
      </c>
      <c r="F11" s="972">
        <v>993.8</v>
      </c>
      <c r="G11" s="748"/>
      <c r="H11" s="763"/>
      <c r="I11" s="749"/>
      <c r="J11" s="750"/>
      <c r="K11" s="775"/>
      <c r="L11" s="775"/>
      <c r="M11" s="775">
        <f>E11+G11</f>
        <v>21</v>
      </c>
      <c r="N11" s="781">
        <f>F11+J11+K11+L11+H11</f>
        <v>993.8</v>
      </c>
    </row>
    <row r="12" spans="1:14" s="274" customFormat="1" ht="24" customHeight="1" thickBot="1">
      <c r="A12" s="732"/>
      <c r="B12" s="733"/>
      <c r="C12" s="734"/>
      <c r="D12" s="735" t="s">
        <v>165</v>
      </c>
      <c r="E12" s="735">
        <f>SUM(E11)</f>
        <v>21</v>
      </c>
      <c r="F12" s="735">
        <f>SUM(F11)</f>
        <v>993.8</v>
      </c>
      <c r="G12" s="735"/>
      <c r="H12" s="765"/>
      <c r="I12" s="735"/>
      <c r="J12" s="738"/>
      <c r="K12" s="764"/>
      <c r="L12" s="765"/>
      <c r="M12" s="836">
        <f>SUM(M11:M11)</f>
        <v>21</v>
      </c>
      <c r="N12" s="738">
        <f>SUM(N11:N11)</f>
        <v>993.8</v>
      </c>
    </row>
    <row r="13" spans="1:14" s="285" customFormat="1" ht="18.75" customHeight="1" thickBot="1">
      <c r="A13" s="739"/>
      <c r="B13" s="740"/>
      <c r="C13" s="741"/>
      <c r="D13" s="742" t="s">
        <v>56</v>
      </c>
      <c r="E13" s="743">
        <f aca="true" t="shared" si="2" ref="E13:N13">SUM(E4:E12)/2</f>
        <v>21</v>
      </c>
      <c r="F13" s="766">
        <f t="shared" si="2"/>
        <v>993.8</v>
      </c>
      <c r="G13" s="743">
        <f t="shared" si="2"/>
        <v>0</v>
      </c>
      <c r="H13" s="766">
        <f t="shared" si="2"/>
        <v>822.9</v>
      </c>
      <c r="I13" s="743">
        <f t="shared" si="2"/>
        <v>0</v>
      </c>
      <c r="J13" s="766">
        <f t="shared" si="2"/>
        <v>0</v>
      </c>
      <c r="K13" s="743">
        <f t="shared" si="2"/>
        <v>0</v>
      </c>
      <c r="L13" s="743">
        <f t="shared" si="2"/>
        <v>0</v>
      </c>
      <c r="M13" s="743">
        <f t="shared" si="2"/>
        <v>21</v>
      </c>
      <c r="N13" s="766">
        <f t="shared" si="2"/>
        <v>1816.6999999999998</v>
      </c>
    </row>
    <row r="14" spans="1:14" s="118" customFormat="1" ht="19.5" customHeight="1">
      <c r="A14" s="98"/>
      <c r="B14" s="197"/>
      <c r="C14" s="98"/>
      <c r="D14" s="187"/>
      <c r="E14" s="139"/>
      <c r="F14" s="767"/>
      <c r="G14" s="139"/>
      <c r="H14" s="767"/>
      <c r="I14" s="722"/>
      <c r="J14" s="522"/>
      <c r="K14" s="777"/>
      <c r="L14" s="777"/>
      <c r="M14" s="777"/>
      <c r="N14" s="900"/>
    </row>
    <row r="15" spans="1:14" s="118" customFormat="1" ht="19.5" customHeight="1">
      <c r="A15" s="92"/>
      <c r="B15" s="92"/>
      <c r="C15" s="92"/>
      <c r="D15" s="187"/>
      <c r="E15" s="139"/>
      <c r="F15" s="267"/>
      <c r="G15" s="139"/>
      <c r="H15" s="267"/>
      <c r="I15" s="722"/>
      <c r="J15" s="522"/>
      <c r="K15" s="777"/>
      <c r="L15" s="777"/>
      <c r="M15" s="777"/>
      <c r="N15" s="522"/>
    </row>
    <row r="16" spans="1:14" s="7" customFormat="1" ht="18.75" customHeight="1">
      <c r="A16" s="138"/>
      <c r="B16" s="138"/>
      <c r="C16" s="138"/>
      <c r="D16" s="186"/>
      <c r="E16" s="202"/>
      <c r="F16" s="269"/>
      <c r="G16" s="202"/>
      <c r="H16" s="269"/>
      <c r="I16" s="625"/>
      <c r="J16" s="724"/>
      <c r="K16" s="778"/>
      <c r="L16" s="778"/>
      <c r="M16" s="778"/>
      <c r="N16" s="724"/>
    </row>
    <row r="17" spans="1:14" s="7" customFormat="1" ht="18.75" customHeight="1">
      <c r="A17" s="138"/>
      <c r="B17" s="138"/>
      <c r="C17" s="138"/>
      <c r="D17" s="186"/>
      <c r="E17" s="139"/>
      <c r="F17" s="267"/>
      <c r="G17" s="139"/>
      <c r="H17" s="267"/>
      <c r="I17" s="625"/>
      <c r="J17" s="724"/>
      <c r="K17" s="778"/>
      <c r="L17" s="778"/>
      <c r="M17" s="778"/>
      <c r="N17" s="724"/>
    </row>
    <row r="18" spans="1:14" s="7" customFormat="1" ht="18.75" customHeight="1">
      <c r="A18" s="138"/>
      <c r="B18" s="138"/>
      <c r="C18" s="138"/>
      <c r="D18" s="186"/>
      <c r="E18" s="202"/>
      <c r="F18" s="269"/>
      <c r="G18" s="202"/>
      <c r="H18" s="269"/>
      <c r="I18" s="625"/>
      <c r="J18" s="724"/>
      <c r="K18" s="778"/>
      <c r="L18" s="778"/>
      <c r="M18" s="778"/>
      <c r="N18" s="724"/>
    </row>
    <row r="19" spans="1:14" s="7" customFormat="1" ht="18.75" customHeight="1">
      <c r="A19" s="138"/>
      <c r="B19" s="138"/>
      <c r="C19" s="138"/>
      <c r="D19" s="186"/>
      <c r="E19" s="202"/>
      <c r="F19" s="267"/>
      <c r="G19" s="202"/>
      <c r="H19" s="267"/>
      <c r="I19" s="625"/>
      <c r="J19" s="724"/>
      <c r="K19" s="778"/>
      <c r="L19" s="778"/>
      <c r="M19" s="778"/>
      <c r="N19" s="724"/>
    </row>
    <row r="20" spans="1:14" s="7" customFormat="1" ht="18.75" customHeight="1">
      <c r="A20" s="138"/>
      <c r="B20" s="138"/>
      <c r="C20" s="138"/>
      <c r="D20" s="186"/>
      <c r="E20" s="139"/>
      <c r="F20" s="267"/>
      <c r="G20" s="139"/>
      <c r="H20" s="267"/>
      <c r="I20" s="625"/>
      <c r="J20" s="724"/>
      <c r="K20" s="778"/>
      <c r="L20" s="778"/>
      <c r="M20" s="778"/>
      <c r="N20" s="724"/>
    </row>
    <row r="21" spans="1:14" s="7" customFormat="1" ht="18.75" customHeight="1">
      <c r="A21" s="138"/>
      <c r="B21" s="138"/>
      <c r="C21" s="138"/>
      <c r="D21" s="186"/>
      <c r="E21" s="139"/>
      <c r="F21" s="267"/>
      <c r="G21" s="139"/>
      <c r="H21" s="267"/>
      <c r="I21" s="625"/>
      <c r="J21" s="724"/>
      <c r="K21" s="778"/>
      <c r="L21" s="778"/>
      <c r="M21" s="778"/>
      <c r="N21" s="724"/>
    </row>
    <row r="22" spans="1:14" s="118" customFormat="1" ht="19.5" customHeight="1">
      <c r="A22" s="138"/>
      <c r="B22" s="138"/>
      <c r="C22" s="138"/>
      <c r="D22" s="185"/>
      <c r="E22" s="139"/>
      <c r="F22" s="267"/>
      <c r="G22" s="139"/>
      <c r="H22" s="267"/>
      <c r="I22" s="722"/>
      <c r="J22" s="522"/>
      <c r="K22" s="777"/>
      <c r="L22" s="777"/>
      <c r="M22" s="777"/>
      <c r="N22" s="522"/>
    </row>
    <row r="23" spans="1:14" s="118" customFormat="1" ht="19.5" customHeight="1">
      <c r="A23" s="138"/>
      <c r="B23" s="138"/>
      <c r="C23" s="138"/>
      <c r="D23" s="185"/>
      <c r="E23" s="139"/>
      <c r="F23" s="267"/>
      <c r="G23" s="139"/>
      <c r="H23" s="267"/>
      <c r="I23" s="722"/>
      <c r="J23" s="522"/>
      <c r="K23" s="777"/>
      <c r="L23" s="777"/>
      <c r="M23" s="777"/>
      <c r="N23" s="522"/>
    </row>
    <row r="24" spans="1:8" ht="21.75">
      <c r="A24" s="204"/>
      <c r="F24" s="768"/>
      <c r="H24" s="768"/>
    </row>
    <row r="25" spans="1:8" ht="21.75">
      <c r="A25" s="204"/>
      <c r="F25" s="768"/>
      <c r="H25" s="768"/>
    </row>
    <row r="26" spans="1:14" s="222" customFormat="1" ht="21.75" customHeight="1">
      <c r="A26" s="201"/>
      <c r="B26" s="201"/>
      <c r="C26" s="201"/>
      <c r="E26" s="221"/>
      <c r="F26" s="769"/>
      <c r="G26" s="221"/>
      <c r="H26" s="769"/>
      <c r="I26" s="221"/>
      <c r="J26" s="725"/>
      <c r="K26" s="779"/>
      <c r="L26" s="779"/>
      <c r="M26" s="779"/>
      <c r="N26" s="725"/>
    </row>
    <row r="27" spans="1:14" s="3" customFormat="1" ht="18" customHeight="1">
      <c r="A27" s="201"/>
      <c r="B27" s="201"/>
      <c r="C27" s="201"/>
      <c r="D27" s="188"/>
      <c r="E27" s="112"/>
      <c r="F27" s="770"/>
      <c r="G27" s="112"/>
      <c r="H27" s="770"/>
      <c r="I27" s="2"/>
      <c r="J27" s="726"/>
      <c r="K27" s="780"/>
      <c r="L27" s="780"/>
      <c r="M27" s="780"/>
      <c r="N27" s="726"/>
    </row>
    <row r="28" spans="1:14" ht="19.5" customHeight="1">
      <c r="A28" s="91"/>
      <c r="B28" s="91"/>
      <c r="C28" s="91"/>
      <c r="D28" s="189"/>
      <c r="F28" s="771"/>
      <c r="H28" s="771"/>
      <c r="I28" s="721"/>
      <c r="J28" s="727"/>
      <c r="K28" s="772"/>
      <c r="L28" s="772"/>
      <c r="M28" s="772"/>
      <c r="N28" s="727"/>
    </row>
    <row r="29" spans="2:14" ht="17.25">
      <c r="B29" s="91"/>
      <c r="C29" s="91"/>
      <c r="D29" s="189"/>
      <c r="F29" s="771"/>
      <c r="H29" s="771"/>
      <c r="I29" s="721"/>
      <c r="J29" s="727"/>
      <c r="K29" s="772"/>
      <c r="L29" s="772"/>
      <c r="M29" s="772"/>
      <c r="N29" s="727"/>
    </row>
    <row r="30" spans="2:14" ht="17.25">
      <c r="B30" s="91"/>
      <c r="C30" s="91"/>
      <c r="D30" s="189"/>
      <c r="F30" s="771"/>
      <c r="H30" s="771"/>
      <c r="I30" s="721"/>
      <c r="J30" s="727"/>
      <c r="K30" s="772"/>
      <c r="L30" s="772"/>
      <c r="M30" s="772"/>
      <c r="N30" s="727"/>
    </row>
    <row r="31" spans="2:14" ht="17.25">
      <c r="B31" s="91"/>
      <c r="C31" s="91"/>
      <c r="D31" s="189"/>
      <c r="F31" s="771"/>
      <c r="H31" s="771"/>
      <c r="I31" s="721"/>
      <c r="J31" s="727"/>
      <c r="K31" s="772"/>
      <c r="L31" s="772"/>
      <c r="M31" s="772"/>
      <c r="N31" s="727"/>
    </row>
    <row r="32" spans="2:14" ht="17.25">
      <c r="B32" s="91"/>
      <c r="C32" s="91"/>
      <c r="D32" s="189"/>
      <c r="F32" s="771"/>
      <c r="H32" s="771"/>
      <c r="I32" s="721"/>
      <c r="J32" s="727"/>
      <c r="K32" s="772"/>
      <c r="L32" s="772"/>
      <c r="M32" s="772"/>
      <c r="N32" s="727"/>
    </row>
    <row r="33" spans="2:14" ht="17.25">
      <c r="B33" s="91"/>
      <c r="C33" s="91"/>
      <c r="D33" s="189"/>
      <c r="F33" s="771"/>
      <c r="H33" s="771"/>
      <c r="I33" s="721"/>
      <c r="J33" s="727"/>
      <c r="K33" s="772"/>
      <c r="L33" s="772"/>
      <c r="M33" s="772"/>
      <c r="N33" s="727"/>
    </row>
    <row r="34" spans="2:14" ht="17.25">
      <c r="B34" s="91"/>
      <c r="C34" s="91"/>
      <c r="D34" s="189"/>
      <c r="F34" s="771"/>
      <c r="H34" s="771"/>
      <c r="I34" s="721"/>
      <c r="J34" s="727"/>
      <c r="K34" s="772"/>
      <c r="L34" s="772"/>
      <c r="M34" s="772"/>
      <c r="N34" s="727"/>
    </row>
    <row r="35" spans="2:14" ht="17.25">
      <c r="B35" s="91"/>
      <c r="C35" s="91"/>
      <c r="D35" s="189"/>
      <c r="F35" s="771"/>
      <c r="H35" s="771"/>
      <c r="I35" s="721"/>
      <c r="J35" s="727"/>
      <c r="K35" s="772"/>
      <c r="L35" s="772"/>
      <c r="M35" s="772"/>
      <c r="N35" s="727"/>
    </row>
    <row r="36" spans="2:14" ht="17.25">
      <c r="B36" s="91"/>
      <c r="C36" s="91"/>
      <c r="D36" s="189"/>
      <c r="F36" s="771"/>
      <c r="H36" s="771"/>
      <c r="I36" s="721"/>
      <c r="J36" s="727"/>
      <c r="K36" s="772"/>
      <c r="L36" s="772"/>
      <c r="M36" s="772"/>
      <c r="N36" s="727"/>
    </row>
    <row r="37" spans="2:14" ht="17.25">
      <c r="B37" s="91"/>
      <c r="C37" s="91"/>
      <c r="D37" s="189"/>
      <c r="F37" s="771"/>
      <c r="H37" s="771"/>
      <c r="I37" s="721"/>
      <c r="J37" s="727"/>
      <c r="K37" s="772"/>
      <c r="L37" s="772"/>
      <c r="M37" s="772"/>
      <c r="N37" s="727"/>
    </row>
    <row r="38" spans="2:14" ht="17.25">
      <c r="B38" s="91"/>
      <c r="C38" s="91"/>
      <c r="D38" s="189"/>
      <c r="F38" s="771"/>
      <c r="H38" s="771"/>
      <c r="I38" s="721"/>
      <c r="J38" s="727"/>
      <c r="K38" s="772"/>
      <c r="L38" s="772"/>
      <c r="M38" s="772"/>
      <c r="N38" s="727"/>
    </row>
    <row r="39" spans="2:14" ht="17.25">
      <c r="B39" s="91"/>
      <c r="C39" s="91"/>
      <c r="D39" s="189"/>
      <c r="F39" s="771"/>
      <c r="H39" s="771"/>
      <c r="I39" s="721"/>
      <c r="J39" s="727"/>
      <c r="K39" s="772"/>
      <c r="L39" s="772"/>
      <c r="M39" s="772"/>
      <c r="N39" s="727"/>
    </row>
    <row r="40" spans="2:14" ht="17.25">
      <c r="B40" s="91"/>
      <c r="C40" s="91"/>
      <c r="D40" s="189"/>
      <c r="F40" s="771"/>
      <c r="H40" s="771"/>
      <c r="I40" s="721"/>
      <c r="J40" s="727"/>
      <c r="K40" s="772"/>
      <c r="L40" s="772"/>
      <c r="M40" s="772"/>
      <c r="N40" s="727"/>
    </row>
    <row r="41" spans="2:14" ht="17.25">
      <c r="B41" s="91"/>
      <c r="C41" s="91"/>
      <c r="D41" s="189"/>
      <c r="F41" s="771"/>
      <c r="H41" s="771"/>
      <c r="I41" s="721"/>
      <c r="J41" s="727"/>
      <c r="K41" s="772"/>
      <c r="L41" s="772"/>
      <c r="M41" s="772"/>
      <c r="N41" s="727"/>
    </row>
    <row r="42" spans="2:14" ht="17.25">
      <c r="B42" s="91"/>
      <c r="C42" s="91"/>
      <c r="D42" s="189"/>
      <c r="F42" s="771"/>
      <c r="H42" s="771"/>
      <c r="I42" s="721"/>
      <c r="J42" s="727"/>
      <c r="K42" s="772"/>
      <c r="L42" s="772"/>
      <c r="M42" s="772"/>
      <c r="N42" s="727"/>
    </row>
    <row r="43" spans="2:14" ht="17.25">
      <c r="B43" s="91"/>
      <c r="C43" s="91"/>
      <c r="D43" s="189"/>
      <c r="F43" s="771"/>
      <c r="H43" s="771"/>
      <c r="I43" s="721"/>
      <c r="J43" s="727"/>
      <c r="K43" s="772"/>
      <c r="L43" s="772"/>
      <c r="M43" s="772"/>
      <c r="N43" s="727"/>
    </row>
    <row r="44" spans="2:14" ht="17.25">
      <c r="B44" s="91"/>
      <c r="C44" s="91"/>
      <c r="D44" s="189"/>
      <c r="F44" s="772"/>
      <c r="H44" s="772"/>
      <c r="I44" s="721"/>
      <c r="J44" s="727"/>
      <c r="K44" s="772"/>
      <c r="L44" s="772"/>
      <c r="M44" s="772"/>
      <c r="N44" s="727"/>
    </row>
    <row r="45" spans="2:14" ht="17.25">
      <c r="B45" s="91"/>
      <c r="C45" s="91"/>
      <c r="D45" s="189"/>
      <c r="F45" s="772"/>
      <c r="H45" s="772"/>
      <c r="I45" s="721"/>
      <c r="J45" s="727"/>
      <c r="K45" s="772"/>
      <c r="L45" s="772"/>
      <c r="M45" s="772"/>
      <c r="N45" s="727"/>
    </row>
    <row r="46" spans="2:14" ht="17.25">
      <c r="B46" s="91"/>
      <c r="C46" s="91"/>
      <c r="D46" s="189"/>
      <c r="F46" s="772"/>
      <c r="H46" s="772"/>
      <c r="I46" s="721"/>
      <c r="J46" s="727"/>
      <c r="K46" s="772"/>
      <c r="L46" s="772"/>
      <c r="M46" s="772"/>
      <c r="N46" s="727"/>
    </row>
    <row r="47" spans="2:14" ht="17.25">
      <c r="B47" s="91"/>
      <c r="C47" s="91"/>
      <c r="D47" s="189"/>
      <c r="F47" s="772"/>
      <c r="H47" s="772"/>
      <c r="I47" s="721"/>
      <c r="J47" s="727"/>
      <c r="K47" s="772"/>
      <c r="L47" s="772"/>
      <c r="M47" s="772"/>
      <c r="N47" s="727"/>
    </row>
    <row r="48" spans="2:14" ht="17.25">
      <c r="B48" s="91"/>
      <c r="C48" s="91"/>
      <c r="D48" s="189"/>
      <c r="F48" s="772"/>
      <c r="H48" s="772"/>
      <c r="I48" s="721"/>
      <c r="J48" s="727"/>
      <c r="K48" s="772"/>
      <c r="L48" s="772"/>
      <c r="M48" s="772"/>
      <c r="N48" s="727"/>
    </row>
    <row r="49" spans="2:14" ht="17.25">
      <c r="B49" s="91"/>
      <c r="C49" s="91"/>
      <c r="D49" s="189"/>
      <c r="F49" s="772"/>
      <c r="H49" s="772"/>
      <c r="I49" s="721"/>
      <c r="J49" s="727"/>
      <c r="K49" s="772"/>
      <c r="L49" s="772"/>
      <c r="M49" s="772"/>
      <c r="N49" s="727"/>
    </row>
    <row r="50" spans="2:14" ht="17.25">
      <c r="B50" s="91"/>
      <c r="C50" s="91"/>
      <c r="D50" s="189"/>
      <c r="F50" s="772"/>
      <c r="H50" s="772"/>
      <c r="I50" s="721"/>
      <c r="J50" s="727"/>
      <c r="K50" s="772"/>
      <c r="L50" s="772"/>
      <c r="M50" s="772"/>
      <c r="N50" s="727"/>
    </row>
    <row r="51" spans="2:14" ht="17.25">
      <c r="B51" s="91"/>
      <c r="C51" s="91"/>
      <c r="D51" s="189"/>
      <c r="F51" s="772"/>
      <c r="H51" s="772"/>
      <c r="I51" s="721"/>
      <c r="J51" s="727"/>
      <c r="K51" s="772"/>
      <c r="L51" s="772"/>
      <c r="M51" s="772"/>
      <c r="N51" s="727"/>
    </row>
    <row r="52" spans="2:14" ht="17.25">
      <c r="B52" s="91"/>
      <c r="C52" s="91"/>
      <c r="D52" s="189"/>
      <c r="F52" s="772"/>
      <c r="H52" s="772"/>
      <c r="I52" s="721"/>
      <c r="J52" s="727"/>
      <c r="K52" s="772"/>
      <c r="L52" s="772"/>
      <c r="M52" s="772"/>
      <c r="N52" s="727"/>
    </row>
    <row r="53" spans="2:14" ht="17.25">
      <c r="B53" s="91"/>
      <c r="C53" s="91"/>
      <c r="D53" s="189"/>
      <c r="F53" s="772"/>
      <c r="H53" s="772"/>
      <c r="I53" s="721"/>
      <c r="J53" s="727"/>
      <c r="K53" s="772"/>
      <c r="L53" s="772"/>
      <c r="M53" s="772"/>
      <c r="N53" s="727"/>
    </row>
    <row r="54" spans="2:14" ht="17.25">
      <c r="B54" s="91"/>
      <c r="C54" s="91"/>
      <c r="D54" s="189"/>
      <c r="F54" s="772"/>
      <c r="H54" s="772"/>
      <c r="I54" s="721"/>
      <c r="J54" s="727"/>
      <c r="K54" s="772"/>
      <c r="L54" s="772"/>
      <c r="M54" s="772"/>
      <c r="N54" s="727"/>
    </row>
    <row r="55" spans="2:14" ht="17.25">
      <c r="B55" s="91"/>
      <c r="C55" s="91"/>
      <c r="D55" s="189"/>
      <c r="F55" s="772"/>
      <c r="H55" s="772"/>
      <c r="I55" s="721"/>
      <c r="J55" s="727"/>
      <c r="K55" s="772"/>
      <c r="L55" s="772"/>
      <c r="M55" s="772"/>
      <c r="N55" s="727"/>
    </row>
    <row r="56" spans="2:14" ht="17.25">
      <c r="B56" s="91"/>
      <c r="C56" s="91"/>
      <c r="D56" s="189"/>
      <c r="F56" s="772"/>
      <c r="H56" s="772"/>
      <c r="I56" s="721"/>
      <c r="J56" s="727"/>
      <c r="K56" s="772"/>
      <c r="L56" s="772"/>
      <c r="M56" s="772"/>
      <c r="N56" s="727"/>
    </row>
    <row r="57" spans="2:14" ht="17.25">
      <c r="B57" s="91"/>
      <c r="C57" s="91"/>
      <c r="D57" s="189"/>
      <c r="F57" s="772"/>
      <c r="H57" s="772"/>
      <c r="I57" s="721"/>
      <c r="J57" s="727"/>
      <c r="K57" s="772"/>
      <c r="L57" s="772"/>
      <c r="M57" s="772"/>
      <c r="N57" s="727"/>
    </row>
    <row r="58" spans="2:14" ht="17.25">
      <c r="B58" s="91"/>
      <c r="C58" s="91"/>
      <c r="D58" s="189"/>
      <c r="F58" s="772"/>
      <c r="H58" s="772"/>
      <c r="I58" s="721"/>
      <c r="J58" s="727"/>
      <c r="K58" s="772"/>
      <c r="L58" s="772"/>
      <c r="M58" s="772"/>
      <c r="N58" s="727"/>
    </row>
    <row r="59" spans="2:14" ht="17.25">
      <c r="B59" s="91"/>
      <c r="C59" s="91"/>
      <c r="D59" s="189"/>
      <c r="F59" s="772"/>
      <c r="H59" s="772"/>
      <c r="I59" s="721"/>
      <c r="J59" s="727"/>
      <c r="K59" s="772"/>
      <c r="L59" s="772"/>
      <c r="M59" s="772"/>
      <c r="N59" s="727"/>
    </row>
    <row r="60" spans="2:14" ht="17.25">
      <c r="B60" s="91"/>
      <c r="C60" s="91"/>
      <c r="D60" s="189"/>
      <c r="F60" s="772"/>
      <c r="H60" s="772"/>
      <c r="I60" s="721"/>
      <c r="J60" s="727"/>
      <c r="K60" s="772"/>
      <c r="L60" s="772"/>
      <c r="M60" s="772"/>
      <c r="N60" s="727"/>
    </row>
    <row r="61" spans="2:14" ht="17.25">
      <c r="B61" s="91"/>
      <c r="C61" s="91"/>
      <c r="D61" s="189"/>
      <c r="F61" s="772"/>
      <c r="H61" s="772"/>
      <c r="I61" s="721"/>
      <c r="J61" s="727"/>
      <c r="K61" s="772"/>
      <c r="L61" s="772"/>
      <c r="M61" s="772"/>
      <c r="N61" s="727"/>
    </row>
    <row r="62" spans="2:14" ht="17.25">
      <c r="B62" s="91"/>
      <c r="C62" s="91"/>
      <c r="D62" s="189"/>
      <c r="F62" s="772"/>
      <c r="H62" s="772"/>
      <c r="I62" s="721"/>
      <c r="J62" s="727"/>
      <c r="K62" s="772"/>
      <c r="L62" s="772"/>
      <c r="M62" s="772"/>
      <c r="N62" s="727"/>
    </row>
    <row r="63" spans="2:14" ht="17.25">
      <c r="B63" s="91"/>
      <c r="C63" s="91"/>
      <c r="D63" s="189"/>
      <c r="F63" s="772"/>
      <c r="H63" s="772"/>
      <c r="I63" s="721"/>
      <c r="J63" s="727"/>
      <c r="K63" s="772"/>
      <c r="L63" s="772"/>
      <c r="M63" s="772"/>
      <c r="N63" s="727"/>
    </row>
    <row r="64" spans="2:14" ht="17.25">
      <c r="B64" s="91"/>
      <c r="C64" s="91"/>
      <c r="D64" s="189"/>
      <c r="F64" s="772"/>
      <c r="H64" s="772"/>
      <c r="I64" s="721"/>
      <c r="J64" s="727"/>
      <c r="K64" s="772"/>
      <c r="L64" s="772"/>
      <c r="M64" s="772"/>
      <c r="N64" s="727"/>
    </row>
    <row r="65" spans="2:14" ht="17.25">
      <c r="B65" s="91"/>
      <c r="C65" s="91"/>
      <c r="D65" s="189"/>
      <c r="F65" s="772"/>
      <c r="H65" s="772"/>
      <c r="I65" s="721"/>
      <c r="J65" s="727"/>
      <c r="K65" s="772"/>
      <c r="L65" s="772"/>
      <c r="M65" s="772"/>
      <c r="N65" s="727"/>
    </row>
    <row r="66" spans="2:14" ht="17.25">
      <c r="B66" s="91"/>
      <c r="C66" s="91"/>
      <c r="D66" s="189"/>
      <c r="F66" s="772"/>
      <c r="H66" s="772"/>
      <c r="I66" s="721"/>
      <c r="J66" s="727"/>
      <c r="K66" s="772"/>
      <c r="L66" s="772"/>
      <c r="M66" s="772"/>
      <c r="N66" s="727"/>
    </row>
    <row r="67" spans="2:14" ht="17.25">
      <c r="B67" s="91"/>
      <c r="C67" s="91"/>
      <c r="D67" s="189"/>
      <c r="F67" s="772"/>
      <c r="H67" s="772"/>
      <c r="I67" s="721"/>
      <c r="J67" s="727"/>
      <c r="K67" s="772"/>
      <c r="L67" s="772"/>
      <c r="M67" s="772"/>
      <c r="N67" s="727"/>
    </row>
    <row r="68" spans="2:14" ht="17.25">
      <c r="B68" s="91"/>
      <c r="C68" s="91"/>
      <c r="D68" s="189"/>
      <c r="F68" s="772"/>
      <c r="H68" s="772"/>
      <c r="I68" s="721"/>
      <c r="J68" s="727"/>
      <c r="K68" s="772"/>
      <c r="L68" s="772"/>
      <c r="M68" s="772"/>
      <c r="N68" s="727"/>
    </row>
    <row r="69" spans="2:14" ht="17.25">
      <c r="B69" s="91"/>
      <c r="C69" s="91"/>
      <c r="D69" s="189"/>
      <c r="F69" s="772"/>
      <c r="H69" s="772"/>
      <c r="I69" s="721"/>
      <c r="J69" s="727"/>
      <c r="K69" s="772"/>
      <c r="L69" s="772"/>
      <c r="M69" s="772"/>
      <c r="N69" s="727"/>
    </row>
    <row r="70" spans="2:14" ht="17.25">
      <c r="B70" s="91"/>
      <c r="C70" s="91"/>
      <c r="D70" s="189"/>
      <c r="F70" s="772"/>
      <c r="H70" s="772"/>
      <c r="I70" s="721"/>
      <c r="J70" s="727"/>
      <c r="K70" s="772"/>
      <c r="L70" s="772"/>
      <c r="M70" s="772"/>
      <c r="N70" s="727"/>
    </row>
    <row r="71" spans="2:14" ht="18.75" customHeight="1">
      <c r="B71" s="91"/>
      <c r="C71" s="91"/>
      <c r="D71" s="189"/>
      <c r="F71" s="772"/>
      <c r="H71" s="772"/>
      <c r="I71" s="721"/>
      <c r="J71" s="727"/>
      <c r="K71" s="772"/>
      <c r="L71" s="772"/>
      <c r="M71" s="772"/>
      <c r="N71" s="727"/>
    </row>
    <row r="72" spans="2:14" ht="18" customHeight="1">
      <c r="B72" s="91"/>
      <c r="C72" s="91"/>
      <c r="D72" s="189"/>
      <c r="F72" s="772"/>
      <c r="H72" s="772"/>
      <c r="I72" s="721"/>
      <c r="J72" s="727"/>
      <c r="K72" s="772"/>
      <c r="L72" s="772"/>
      <c r="M72" s="772"/>
      <c r="N72" s="727"/>
    </row>
    <row r="73" spans="2:14" ht="18" customHeight="1">
      <c r="B73" s="91"/>
      <c r="C73" s="91"/>
      <c r="D73" s="189"/>
      <c r="F73" s="772"/>
      <c r="H73" s="772"/>
      <c r="I73" s="721"/>
      <c r="J73" s="727"/>
      <c r="K73" s="772"/>
      <c r="L73" s="772"/>
      <c r="M73" s="772"/>
      <c r="N73" s="727"/>
    </row>
    <row r="74" spans="2:14" ht="18.75" customHeight="1">
      <c r="B74" s="91"/>
      <c r="C74" s="91"/>
      <c r="D74" s="189"/>
      <c r="F74" s="772"/>
      <c r="H74" s="772"/>
      <c r="I74" s="721"/>
      <c r="J74" s="727"/>
      <c r="K74" s="772"/>
      <c r="L74" s="772"/>
      <c r="M74" s="772"/>
      <c r="N74" s="727"/>
    </row>
    <row r="75" spans="2:14" ht="18.75" customHeight="1">
      <c r="B75" s="91"/>
      <c r="C75" s="91"/>
      <c r="D75" s="189"/>
      <c r="F75" s="772"/>
      <c r="H75" s="772"/>
      <c r="I75" s="721"/>
      <c r="J75" s="727"/>
      <c r="K75" s="772"/>
      <c r="L75" s="772"/>
      <c r="M75" s="772"/>
      <c r="N75" s="727"/>
    </row>
    <row r="76" spans="2:14" ht="17.25" customHeight="1">
      <c r="B76" s="91"/>
      <c r="C76" s="91"/>
      <c r="D76" s="189"/>
      <c r="F76" s="772"/>
      <c r="H76" s="772"/>
      <c r="I76" s="721"/>
      <c r="J76" s="727"/>
      <c r="K76" s="772"/>
      <c r="L76" s="772"/>
      <c r="M76" s="772"/>
      <c r="N76" s="727"/>
    </row>
    <row r="77" spans="2:14" ht="19.5" customHeight="1">
      <c r="B77" s="91"/>
      <c r="C77" s="91"/>
      <c r="D77" s="189"/>
      <c r="F77" s="772"/>
      <c r="H77" s="772"/>
      <c r="I77" s="721"/>
      <c r="J77" s="727"/>
      <c r="K77" s="772"/>
      <c r="L77" s="772"/>
      <c r="M77" s="772"/>
      <c r="N77" s="727"/>
    </row>
    <row r="78" spans="2:14" ht="19.5" customHeight="1">
      <c r="B78" s="91"/>
      <c r="C78" s="91"/>
      <c r="D78" s="189"/>
      <c r="F78" s="772"/>
      <c r="H78" s="772"/>
      <c r="I78" s="721"/>
      <c r="J78" s="727"/>
      <c r="K78" s="772"/>
      <c r="L78" s="772"/>
      <c r="M78" s="772"/>
      <c r="N78" s="727"/>
    </row>
    <row r="79" spans="2:14" ht="17.25">
      <c r="B79" s="91"/>
      <c r="C79" s="91"/>
      <c r="D79" s="189"/>
      <c r="F79" s="772"/>
      <c r="H79" s="772"/>
      <c r="I79" s="721"/>
      <c r="J79" s="727"/>
      <c r="K79" s="772"/>
      <c r="L79" s="772"/>
      <c r="M79" s="772"/>
      <c r="N79" s="727"/>
    </row>
    <row r="80" spans="2:14" ht="18.75" customHeight="1">
      <c r="B80" s="91"/>
      <c r="C80" s="91"/>
      <c r="D80" s="189"/>
      <c r="F80" s="772"/>
      <c r="H80" s="772"/>
      <c r="I80" s="721"/>
      <c r="J80" s="727"/>
      <c r="K80" s="772"/>
      <c r="L80" s="772"/>
      <c r="M80" s="772"/>
      <c r="N80" s="727"/>
    </row>
    <row r="81" spans="2:14" ht="18.75" customHeight="1">
      <c r="B81" s="91"/>
      <c r="C81" s="91"/>
      <c r="D81" s="189"/>
      <c r="F81" s="772"/>
      <c r="H81" s="772"/>
      <c r="I81" s="721"/>
      <c r="J81" s="727"/>
      <c r="K81" s="772"/>
      <c r="L81" s="772"/>
      <c r="M81" s="772"/>
      <c r="N81" s="727"/>
    </row>
    <row r="82" spans="2:14" ht="18.75" customHeight="1">
      <c r="B82" s="91"/>
      <c r="C82" s="91"/>
      <c r="D82" s="189"/>
      <c r="F82" s="772"/>
      <c r="H82" s="772"/>
      <c r="I82" s="721"/>
      <c r="J82" s="727"/>
      <c r="K82" s="772"/>
      <c r="L82" s="772"/>
      <c r="M82" s="772"/>
      <c r="N82" s="727"/>
    </row>
    <row r="83" spans="2:14" ht="18.75" customHeight="1">
      <c r="B83" s="91"/>
      <c r="C83" s="91"/>
      <c r="D83" s="189"/>
      <c r="F83" s="772"/>
      <c r="H83" s="772"/>
      <c r="I83" s="721"/>
      <c r="J83" s="727"/>
      <c r="K83" s="772"/>
      <c r="L83" s="772"/>
      <c r="M83" s="772"/>
      <c r="N83" s="727"/>
    </row>
    <row r="84" spans="2:14" ht="19.5" customHeight="1">
      <c r="B84" s="91"/>
      <c r="C84" s="91"/>
      <c r="D84" s="189"/>
      <c r="F84" s="772"/>
      <c r="H84" s="772"/>
      <c r="I84" s="721"/>
      <c r="J84" s="727"/>
      <c r="K84" s="772"/>
      <c r="L84" s="772"/>
      <c r="M84" s="772"/>
      <c r="N84" s="727"/>
    </row>
    <row r="85" spans="2:14" ht="17.25">
      <c r="B85" s="91"/>
      <c r="C85" s="91"/>
      <c r="D85" s="189"/>
      <c r="F85" s="772"/>
      <c r="H85" s="772"/>
      <c r="I85" s="721"/>
      <c r="J85" s="727"/>
      <c r="K85" s="772"/>
      <c r="L85" s="772"/>
      <c r="M85" s="772"/>
      <c r="N85" s="727"/>
    </row>
    <row r="86" spans="2:14" ht="17.25">
      <c r="B86" s="91"/>
      <c r="C86" s="91"/>
      <c r="D86" s="189"/>
      <c r="F86" s="772"/>
      <c r="H86" s="772"/>
      <c r="I86" s="721"/>
      <c r="J86" s="727"/>
      <c r="K86" s="772"/>
      <c r="L86" s="772"/>
      <c r="M86" s="772"/>
      <c r="N86" s="727"/>
    </row>
    <row r="87" spans="2:14" ht="17.25">
      <c r="B87" s="91"/>
      <c r="C87" s="91"/>
      <c r="D87" s="189"/>
      <c r="F87" s="772"/>
      <c r="H87" s="772"/>
      <c r="I87" s="721"/>
      <c r="J87" s="727"/>
      <c r="K87" s="772"/>
      <c r="L87" s="772"/>
      <c r="M87" s="772"/>
      <c r="N87" s="727"/>
    </row>
    <row r="88" spans="2:14" ht="17.25">
      <c r="B88" s="91"/>
      <c r="C88" s="91"/>
      <c r="D88" s="189"/>
      <c r="F88" s="772"/>
      <c r="H88" s="772"/>
      <c r="I88" s="721"/>
      <c r="J88" s="727"/>
      <c r="K88" s="772"/>
      <c r="L88" s="772"/>
      <c r="M88" s="772"/>
      <c r="N88" s="727"/>
    </row>
    <row r="89" spans="2:14" ht="17.25">
      <c r="B89" s="91"/>
      <c r="C89" s="91"/>
      <c r="D89" s="189"/>
      <c r="F89" s="772"/>
      <c r="H89" s="772"/>
      <c r="I89" s="721"/>
      <c r="J89" s="727"/>
      <c r="K89" s="772"/>
      <c r="L89" s="772"/>
      <c r="M89" s="772"/>
      <c r="N89" s="727"/>
    </row>
    <row r="90" spans="2:14" ht="17.25">
      <c r="B90" s="91"/>
      <c r="C90" s="91"/>
      <c r="D90" s="189"/>
      <c r="F90" s="772"/>
      <c r="H90" s="772"/>
      <c r="I90" s="721"/>
      <c r="J90" s="727"/>
      <c r="K90" s="772"/>
      <c r="L90" s="772"/>
      <c r="M90" s="772"/>
      <c r="N90" s="727"/>
    </row>
    <row r="91" spans="2:14" ht="17.25">
      <c r="B91" s="91"/>
      <c r="C91" s="91"/>
      <c r="D91" s="189"/>
      <c r="F91" s="772"/>
      <c r="H91" s="772"/>
      <c r="I91" s="721"/>
      <c r="J91" s="727"/>
      <c r="K91" s="772"/>
      <c r="L91" s="772"/>
      <c r="M91" s="772"/>
      <c r="N91" s="727"/>
    </row>
    <row r="92" spans="2:14" ht="17.25">
      <c r="B92" s="91"/>
      <c r="C92" s="91"/>
      <c r="D92" s="189"/>
      <c r="F92" s="772"/>
      <c r="H92" s="772"/>
      <c r="I92" s="721"/>
      <c r="J92" s="727"/>
      <c r="K92" s="772"/>
      <c r="L92" s="772"/>
      <c r="M92" s="772"/>
      <c r="N92" s="727"/>
    </row>
    <row r="93" spans="2:14" ht="17.25">
      <c r="B93" s="91"/>
      <c r="C93" s="91"/>
      <c r="D93" s="189"/>
      <c r="F93" s="772"/>
      <c r="H93" s="772"/>
      <c r="I93" s="721"/>
      <c r="J93" s="727"/>
      <c r="K93" s="772"/>
      <c r="L93" s="772"/>
      <c r="M93" s="772"/>
      <c r="N93" s="727"/>
    </row>
    <row r="94" spans="2:14" ht="17.25">
      <c r="B94" s="91"/>
      <c r="C94" s="91"/>
      <c r="D94" s="189"/>
      <c r="F94" s="772"/>
      <c r="H94" s="772"/>
      <c r="I94" s="721"/>
      <c r="J94" s="727"/>
      <c r="K94" s="772"/>
      <c r="L94" s="772"/>
      <c r="M94" s="772"/>
      <c r="N94" s="727"/>
    </row>
    <row r="95" spans="2:14" ht="17.25">
      <c r="B95" s="91"/>
      <c r="C95" s="91"/>
      <c r="D95" s="189"/>
      <c r="F95" s="772"/>
      <c r="H95" s="772"/>
      <c r="I95" s="721"/>
      <c r="J95" s="727"/>
      <c r="K95" s="772"/>
      <c r="L95" s="772"/>
      <c r="M95" s="772"/>
      <c r="N95" s="727"/>
    </row>
    <row r="96" spans="2:14" ht="17.25">
      <c r="B96" s="91"/>
      <c r="C96" s="91"/>
      <c r="D96" s="189"/>
      <c r="F96" s="772"/>
      <c r="H96" s="772"/>
      <c r="I96" s="721"/>
      <c r="J96" s="727"/>
      <c r="K96" s="772"/>
      <c r="L96" s="772"/>
      <c r="M96" s="772"/>
      <c r="N96" s="727"/>
    </row>
    <row r="97" spans="2:14" ht="17.25">
      <c r="B97" s="91"/>
      <c r="C97" s="91"/>
      <c r="D97" s="189"/>
      <c r="F97" s="772"/>
      <c r="H97" s="772"/>
      <c r="I97" s="721"/>
      <c r="J97" s="727"/>
      <c r="K97" s="772"/>
      <c r="L97" s="772"/>
      <c r="M97" s="772"/>
      <c r="N97" s="727"/>
    </row>
    <row r="98" spans="2:14" ht="17.25">
      <c r="B98" s="91"/>
      <c r="C98" s="91"/>
      <c r="D98" s="189"/>
      <c r="F98" s="772"/>
      <c r="H98" s="772"/>
      <c r="I98" s="721"/>
      <c r="J98" s="727"/>
      <c r="K98" s="772"/>
      <c r="L98" s="772"/>
      <c r="M98" s="772"/>
      <c r="N98" s="727"/>
    </row>
    <row r="99" spans="2:14" ht="17.25">
      <c r="B99" s="91"/>
      <c r="C99" s="91"/>
      <c r="D99" s="189"/>
      <c r="F99" s="772"/>
      <c r="H99" s="772"/>
      <c r="I99" s="721"/>
      <c r="J99" s="727"/>
      <c r="K99" s="772"/>
      <c r="L99" s="772"/>
      <c r="M99" s="772"/>
      <c r="N99" s="727"/>
    </row>
    <row r="100" spans="2:14" ht="17.25">
      <c r="B100" s="91"/>
      <c r="C100" s="91"/>
      <c r="D100" s="189"/>
      <c r="F100" s="772"/>
      <c r="H100" s="772"/>
      <c r="I100" s="721"/>
      <c r="J100" s="727"/>
      <c r="K100" s="772"/>
      <c r="L100" s="772"/>
      <c r="M100" s="772"/>
      <c r="N100" s="727"/>
    </row>
    <row r="101" spans="2:14" ht="17.25">
      <c r="B101" s="91"/>
      <c r="C101" s="91"/>
      <c r="D101" s="189"/>
      <c r="F101" s="772"/>
      <c r="H101" s="772"/>
      <c r="I101" s="721"/>
      <c r="J101" s="727"/>
      <c r="K101" s="772"/>
      <c r="L101" s="772"/>
      <c r="M101" s="772"/>
      <c r="N101" s="727"/>
    </row>
    <row r="102" spans="1:14" s="26" customFormat="1" ht="21">
      <c r="A102" s="25"/>
      <c r="B102" s="203"/>
      <c r="C102" s="203"/>
      <c r="D102" s="190"/>
      <c r="E102" s="25"/>
      <c r="F102" s="773"/>
      <c r="G102" s="25"/>
      <c r="H102" s="773"/>
      <c r="I102" s="25"/>
      <c r="J102" s="728"/>
      <c r="K102" s="773"/>
      <c r="L102" s="773"/>
      <c r="M102" s="773"/>
      <c r="N102" s="728"/>
    </row>
    <row r="103" spans="1:14" s="26" customFormat="1" ht="21">
      <c r="A103" s="25"/>
      <c r="B103" s="203"/>
      <c r="C103" s="203"/>
      <c r="D103" s="190"/>
      <c r="E103" s="25"/>
      <c r="F103" s="773"/>
      <c r="G103" s="25"/>
      <c r="H103" s="773"/>
      <c r="I103" s="25"/>
      <c r="J103" s="728"/>
      <c r="K103" s="773"/>
      <c r="L103" s="773"/>
      <c r="M103" s="773"/>
      <c r="N103" s="728"/>
    </row>
    <row r="104" spans="1:14" s="26" customFormat="1" ht="21">
      <c r="A104" s="25"/>
      <c r="B104" s="203"/>
      <c r="C104" s="203"/>
      <c r="D104" s="190"/>
      <c r="E104" s="25"/>
      <c r="F104" s="773"/>
      <c r="G104" s="25"/>
      <c r="H104" s="773"/>
      <c r="I104" s="25"/>
      <c r="J104" s="728"/>
      <c r="K104" s="773"/>
      <c r="L104" s="773"/>
      <c r="M104" s="773"/>
      <c r="N104" s="728"/>
    </row>
    <row r="105" spans="1:14" s="26" customFormat="1" ht="21">
      <c r="A105" s="25"/>
      <c r="B105" s="203"/>
      <c r="C105" s="203"/>
      <c r="D105" s="190"/>
      <c r="E105" s="25"/>
      <c r="F105" s="773"/>
      <c r="G105" s="25"/>
      <c r="H105" s="773"/>
      <c r="I105" s="25"/>
      <c r="J105" s="728"/>
      <c r="K105" s="773"/>
      <c r="L105" s="773"/>
      <c r="M105" s="773"/>
      <c r="N105" s="728"/>
    </row>
    <row r="106" spans="1:14" s="26" customFormat="1" ht="21">
      <c r="A106" s="25"/>
      <c r="B106" s="203"/>
      <c r="C106" s="203"/>
      <c r="D106" s="190"/>
      <c r="E106" s="25"/>
      <c r="F106" s="773"/>
      <c r="G106" s="25"/>
      <c r="H106" s="773"/>
      <c r="I106" s="25"/>
      <c r="J106" s="728"/>
      <c r="K106" s="773"/>
      <c r="L106" s="773"/>
      <c r="M106" s="773"/>
      <c r="N106" s="728"/>
    </row>
    <row r="107" spans="1:14" s="26" customFormat="1" ht="21">
      <c r="A107" s="25"/>
      <c r="B107" s="203"/>
      <c r="C107" s="203"/>
      <c r="D107" s="190"/>
      <c r="E107" s="25"/>
      <c r="F107" s="773"/>
      <c r="G107" s="25"/>
      <c r="H107" s="773"/>
      <c r="I107" s="25"/>
      <c r="J107" s="728"/>
      <c r="K107" s="773"/>
      <c r="L107" s="773"/>
      <c r="M107" s="773"/>
      <c r="N107" s="728"/>
    </row>
    <row r="108" spans="1:14" s="26" customFormat="1" ht="21">
      <c r="A108" s="25"/>
      <c r="B108" s="203"/>
      <c r="C108" s="203"/>
      <c r="D108" s="190"/>
      <c r="E108" s="25"/>
      <c r="F108" s="773"/>
      <c r="G108" s="25"/>
      <c r="H108" s="773"/>
      <c r="I108" s="25"/>
      <c r="J108" s="728"/>
      <c r="K108" s="773"/>
      <c r="L108" s="773"/>
      <c r="M108" s="773"/>
      <c r="N108" s="728"/>
    </row>
    <row r="109" spans="1:14" s="26" customFormat="1" ht="21">
      <c r="A109" s="25"/>
      <c r="B109" s="203"/>
      <c r="C109" s="203"/>
      <c r="D109" s="190"/>
      <c r="E109" s="25"/>
      <c r="F109" s="773"/>
      <c r="G109" s="25"/>
      <c r="H109" s="773"/>
      <c r="I109" s="25"/>
      <c r="J109" s="728"/>
      <c r="K109" s="773"/>
      <c r="L109" s="773"/>
      <c r="M109" s="773"/>
      <c r="N109" s="728"/>
    </row>
    <row r="110" spans="1:14" s="26" customFormat="1" ht="21">
      <c r="A110" s="25"/>
      <c r="B110" s="203"/>
      <c r="C110" s="203"/>
      <c r="D110" s="190"/>
      <c r="E110" s="25"/>
      <c r="F110" s="773"/>
      <c r="G110" s="25"/>
      <c r="H110" s="773"/>
      <c r="I110" s="25"/>
      <c r="J110" s="728"/>
      <c r="K110" s="773"/>
      <c r="L110" s="773"/>
      <c r="M110" s="773"/>
      <c r="N110" s="728"/>
    </row>
    <row r="111" spans="1:14" s="26" customFormat="1" ht="21">
      <c r="A111" s="25"/>
      <c r="B111" s="203"/>
      <c r="C111" s="203"/>
      <c r="D111" s="190"/>
      <c r="E111" s="25"/>
      <c r="F111" s="773"/>
      <c r="G111" s="25"/>
      <c r="H111" s="773"/>
      <c r="I111" s="25"/>
      <c r="J111" s="728"/>
      <c r="K111" s="773"/>
      <c r="L111" s="773"/>
      <c r="M111" s="773"/>
      <c r="N111" s="728"/>
    </row>
    <row r="112" spans="1:14" s="26" customFormat="1" ht="21">
      <c r="A112" s="25"/>
      <c r="B112" s="203"/>
      <c r="C112" s="203"/>
      <c r="D112" s="190"/>
      <c r="E112" s="25"/>
      <c r="F112" s="773"/>
      <c r="G112" s="25"/>
      <c r="H112" s="773"/>
      <c r="I112" s="25"/>
      <c r="J112" s="728"/>
      <c r="K112" s="773"/>
      <c r="L112" s="773"/>
      <c r="M112" s="773"/>
      <c r="N112" s="728"/>
    </row>
    <row r="113" spans="1:14" s="26" customFormat="1" ht="21">
      <c r="A113" s="25"/>
      <c r="B113" s="203"/>
      <c r="C113" s="203"/>
      <c r="D113" s="190"/>
      <c r="E113" s="25"/>
      <c r="F113" s="773"/>
      <c r="G113" s="25"/>
      <c r="H113" s="773"/>
      <c r="I113" s="25"/>
      <c r="J113" s="728"/>
      <c r="K113" s="773"/>
      <c r="L113" s="773"/>
      <c r="M113" s="773"/>
      <c r="N113" s="728"/>
    </row>
    <row r="114" spans="1:14" s="26" customFormat="1" ht="21">
      <c r="A114" s="25"/>
      <c r="B114" s="203"/>
      <c r="C114" s="203"/>
      <c r="D114" s="190"/>
      <c r="E114" s="25"/>
      <c r="F114" s="773"/>
      <c r="G114" s="25"/>
      <c r="H114" s="773"/>
      <c r="I114" s="25"/>
      <c r="J114" s="728"/>
      <c r="K114" s="773"/>
      <c r="L114" s="773"/>
      <c r="M114" s="773"/>
      <c r="N114" s="728"/>
    </row>
    <row r="115" spans="1:14" s="26" customFormat="1" ht="21">
      <c r="A115" s="25"/>
      <c r="B115" s="203"/>
      <c r="C115" s="203"/>
      <c r="D115" s="190"/>
      <c r="E115" s="25"/>
      <c r="F115" s="773"/>
      <c r="G115" s="25"/>
      <c r="H115" s="773"/>
      <c r="I115" s="25"/>
      <c r="J115" s="728"/>
      <c r="K115" s="773"/>
      <c r="L115" s="773"/>
      <c r="M115" s="773"/>
      <c r="N115" s="728"/>
    </row>
    <row r="116" spans="1:14" s="26" customFormat="1" ht="21">
      <c r="A116" s="25"/>
      <c r="B116" s="203"/>
      <c r="C116" s="203"/>
      <c r="D116" s="190"/>
      <c r="E116" s="25"/>
      <c r="F116" s="773"/>
      <c r="G116" s="25"/>
      <c r="H116" s="773"/>
      <c r="I116" s="25"/>
      <c r="J116" s="728"/>
      <c r="K116" s="773"/>
      <c r="L116" s="773"/>
      <c r="M116" s="773"/>
      <c r="N116" s="728"/>
    </row>
    <row r="117" spans="1:14" s="26" customFormat="1" ht="21">
      <c r="A117" s="25"/>
      <c r="B117" s="203"/>
      <c r="C117" s="203"/>
      <c r="D117" s="190"/>
      <c r="E117" s="25"/>
      <c r="F117" s="773"/>
      <c r="G117" s="25"/>
      <c r="H117" s="773"/>
      <c r="I117" s="25"/>
      <c r="J117" s="728"/>
      <c r="K117" s="773"/>
      <c r="L117" s="773"/>
      <c r="M117" s="773"/>
      <c r="N117" s="728"/>
    </row>
    <row r="118" spans="1:14" s="26" customFormat="1" ht="21">
      <c r="A118" s="25"/>
      <c r="B118" s="203"/>
      <c r="C118" s="203"/>
      <c r="D118" s="190"/>
      <c r="E118" s="25"/>
      <c r="F118" s="773"/>
      <c r="G118" s="25"/>
      <c r="H118" s="773"/>
      <c r="I118" s="25"/>
      <c r="J118" s="728"/>
      <c r="K118" s="773"/>
      <c r="L118" s="773"/>
      <c r="M118" s="773"/>
      <c r="N118" s="728"/>
    </row>
    <row r="119" spans="1:14" s="26" customFormat="1" ht="21">
      <c r="A119" s="25"/>
      <c r="B119" s="203"/>
      <c r="C119" s="203"/>
      <c r="D119" s="190"/>
      <c r="E119" s="25"/>
      <c r="F119" s="773"/>
      <c r="G119" s="25"/>
      <c r="H119" s="773"/>
      <c r="I119" s="25"/>
      <c r="J119" s="728"/>
      <c r="K119" s="773"/>
      <c r="L119" s="773"/>
      <c r="M119" s="773"/>
      <c r="N119" s="728"/>
    </row>
    <row r="120" spans="1:14" s="26" customFormat="1" ht="21">
      <c r="A120" s="25"/>
      <c r="B120" s="203"/>
      <c r="C120" s="203"/>
      <c r="D120" s="190"/>
      <c r="E120" s="25"/>
      <c r="F120" s="773"/>
      <c r="G120" s="25"/>
      <c r="H120" s="773"/>
      <c r="I120" s="25"/>
      <c r="J120" s="728"/>
      <c r="K120" s="773"/>
      <c r="L120" s="773"/>
      <c r="M120" s="773"/>
      <c r="N120" s="728"/>
    </row>
    <row r="121" spans="1:14" s="26" customFormat="1" ht="21">
      <c r="A121" s="25"/>
      <c r="B121" s="203"/>
      <c r="C121" s="203"/>
      <c r="D121" s="190"/>
      <c r="E121" s="25"/>
      <c r="F121" s="773"/>
      <c r="G121" s="25"/>
      <c r="H121" s="773"/>
      <c r="I121" s="25"/>
      <c r="J121" s="728"/>
      <c r="K121" s="773"/>
      <c r="L121" s="773"/>
      <c r="M121" s="773"/>
      <c r="N121" s="728"/>
    </row>
    <row r="122" spans="1:14" s="26" customFormat="1" ht="21">
      <c r="A122" s="25"/>
      <c r="B122" s="203"/>
      <c r="C122" s="203"/>
      <c r="D122" s="190"/>
      <c r="E122" s="25"/>
      <c r="F122" s="773"/>
      <c r="G122" s="25"/>
      <c r="H122" s="773"/>
      <c r="I122" s="25"/>
      <c r="J122" s="728"/>
      <c r="K122" s="773"/>
      <c r="L122" s="773"/>
      <c r="M122" s="773"/>
      <c r="N122" s="728"/>
    </row>
    <row r="123" spans="1:14" s="26" customFormat="1" ht="21">
      <c r="A123" s="25"/>
      <c r="B123" s="203"/>
      <c r="C123" s="203"/>
      <c r="D123" s="190"/>
      <c r="E123" s="25"/>
      <c r="F123" s="773"/>
      <c r="G123" s="25"/>
      <c r="H123" s="773"/>
      <c r="I123" s="25"/>
      <c r="J123" s="728"/>
      <c r="K123" s="773"/>
      <c r="L123" s="773"/>
      <c r="M123" s="773"/>
      <c r="N123" s="728"/>
    </row>
    <row r="124" spans="1:14" s="26" customFormat="1" ht="21">
      <c r="A124" s="25"/>
      <c r="B124" s="203"/>
      <c r="C124" s="203"/>
      <c r="D124" s="190"/>
      <c r="E124" s="25"/>
      <c r="F124" s="773"/>
      <c r="G124" s="25"/>
      <c r="H124" s="773"/>
      <c r="I124" s="25"/>
      <c r="J124" s="728"/>
      <c r="K124" s="773"/>
      <c r="L124" s="773"/>
      <c r="M124" s="773"/>
      <c r="N124" s="728"/>
    </row>
    <row r="125" spans="1:14" s="26" customFormat="1" ht="21">
      <c r="A125" s="25"/>
      <c r="B125" s="203"/>
      <c r="C125" s="203"/>
      <c r="D125" s="190"/>
      <c r="E125" s="25"/>
      <c r="F125" s="773"/>
      <c r="G125" s="25"/>
      <c r="H125" s="773"/>
      <c r="I125" s="25"/>
      <c r="J125" s="728"/>
      <c r="K125" s="773"/>
      <c r="L125" s="773"/>
      <c r="M125" s="773"/>
      <c r="N125" s="728"/>
    </row>
    <row r="126" spans="1:14" s="26" customFormat="1" ht="21">
      <c r="A126" s="25"/>
      <c r="B126" s="203"/>
      <c r="C126" s="203"/>
      <c r="D126" s="190"/>
      <c r="E126" s="25"/>
      <c r="F126" s="773"/>
      <c r="G126" s="25"/>
      <c r="H126" s="773"/>
      <c r="I126" s="25"/>
      <c r="J126" s="728"/>
      <c r="K126" s="773"/>
      <c r="L126" s="773"/>
      <c r="M126" s="773"/>
      <c r="N126" s="728"/>
    </row>
    <row r="127" spans="1:14" s="26" customFormat="1" ht="21">
      <c r="A127" s="25"/>
      <c r="B127" s="203"/>
      <c r="C127" s="203"/>
      <c r="D127" s="190"/>
      <c r="E127" s="25"/>
      <c r="F127" s="773"/>
      <c r="G127" s="25"/>
      <c r="H127" s="773"/>
      <c r="I127" s="25"/>
      <c r="J127" s="728"/>
      <c r="K127" s="773"/>
      <c r="L127" s="773"/>
      <c r="M127" s="773"/>
      <c r="N127" s="728"/>
    </row>
    <row r="128" spans="1:14" s="26" customFormat="1" ht="21">
      <c r="A128" s="25"/>
      <c r="B128" s="203"/>
      <c r="C128" s="203"/>
      <c r="D128" s="190"/>
      <c r="E128" s="25"/>
      <c r="F128" s="773"/>
      <c r="G128" s="25"/>
      <c r="H128" s="773"/>
      <c r="I128" s="25"/>
      <c r="J128" s="728"/>
      <c r="K128" s="773"/>
      <c r="L128" s="773"/>
      <c r="M128" s="773"/>
      <c r="N128" s="728"/>
    </row>
    <row r="129" spans="1:14" s="26" customFormat="1" ht="21">
      <c r="A129" s="25"/>
      <c r="B129" s="203"/>
      <c r="C129" s="203"/>
      <c r="D129" s="190"/>
      <c r="E129" s="25"/>
      <c r="F129" s="773"/>
      <c r="G129" s="25"/>
      <c r="H129" s="773"/>
      <c r="I129" s="25"/>
      <c r="J129" s="728"/>
      <c r="K129" s="773"/>
      <c r="L129" s="773"/>
      <c r="M129" s="773"/>
      <c r="N129" s="728"/>
    </row>
    <row r="130" spans="1:14" s="26" customFormat="1" ht="21">
      <c r="A130" s="25"/>
      <c r="B130" s="203"/>
      <c r="C130" s="203"/>
      <c r="D130" s="190"/>
      <c r="E130" s="25"/>
      <c r="F130" s="773"/>
      <c r="G130" s="25"/>
      <c r="H130" s="773"/>
      <c r="I130" s="25"/>
      <c r="J130" s="728"/>
      <c r="K130" s="773"/>
      <c r="L130" s="773"/>
      <c r="M130" s="773"/>
      <c r="N130" s="728"/>
    </row>
    <row r="131" spans="1:14" s="26" customFormat="1" ht="21">
      <c r="A131" s="25"/>
      <c r="B131" s="203"/>
      <c r="C131" s="203"/>
      <c r="D131" s="190"/>
      <c r="E131" s="25"/>
      <c r="F131" s="773"/>
      <c r="G131" s="25"/>
      <c r="H131" s="773"/>
      <c r="I131" s="25"/>
      <c r="J131" s="728"/>
      <c r="K131" s="773"/>
      <c r="L131" s="773"/>
      <c r="M131" s="773"/>
      <c r="N131" s="728"/>
    </row>
    <row r="132" spans="1:14" s="26" customFormat="1" ht="21">
      <c r="A132" s="25"/>
      <c r="B132" s="203"/>
      <c r="C132" s="203"/>
      <c r="D132" s="190"/>
      <c r="E132" s="25"/>
      <c r="F132" s="773"/>
      <c r="G132" s="25"/>
      <c r="H132" s="773"/>
      <c r="I132" s="25"/>
      <c r="J132" s="728"/>
      <c r="K132" s="773"/>
      <c r="L132" s="773"/>
      <c r="M132" s="773"/>
      <c r="N132" s="728"/>
    </row>
    <row r="133" spans="1:14" s="26" customFormat="1" ht="21">
      <c r="A133" s="25"/>
      <c r="B133" s="203"/>
      <c r="C133" s="203"/>
      <c r="D133" s="190"/>
      <c r="E133" s="25"/>
      <c r="F133" s="773"/>
      <c r="G133" s="25"/>
      <c r="H133" s="773"/>
      <c r="I133" s="25"/>
      <c r="J133" s="728"/>
      <c r="K133" s="773"/>
      <c r="L133" s="773"/>
      <c r="M133" s="773"/>
      <c r="N133" s="728"/>
    </row>
    <row r="134" spans="1:14" s="26" customFormat="1" ht="21">
      <c r="A134" s="25"/>
      <c r="B134" s="203"/>
      <c r="C134" s="203"/>
      <c r="D134" s="190"/>
      <c r="E134" s="25"/>
      <c r="F134" s="773"/>
      <c r="G134" s="25"/>
      <c r="H134" s="773"/>
      <c r="I134" s="25"/>
      <c r="J134" s="728"/>
      <c r="K134" s="773"/>
      <c r="L134" s="773"/>
      <c r="M134" s="773"/>
      <c r="N134" s="728"/>
    </row>
    <row r="135" spans="1:14" s="26" customFormat="1" ht="21">
      <c r="A135" s="25"/>
      <c r="B135" s="203"/>
      <c r="C135" s="203"/>
      <c r="D135" s="190"/>
      <c r="E135" s="25"/>
      <c r="F135" s="773"/>
      <c r="G135" s="25"/>
      <c r="H135" s="773"/>
      <c r="I135" s="25"/>
      <c r="J135" s="728"/>
      <c r="K135" s="773"/>
      <c r="L135" s="773"/>
      <c r="M135" s="773"/>
      <c r="N135" s="728"/>
    </row>
    <row r="136" spans="1:14" s="26" customFormat="1" ht="21">
      <c r="A136" s="25"/>
      <c r="B136" s="203"/>
      <c r="C136" s="203"/>
      <c r="D136" s="190"/>
      <c r="E136" s="25"/>
      <c r="F136" s="773"/>
      <c r="G136" s="25"/>
      <c r="H136" s="773"/>
      <c r="I136" s="25"/>
      <c r="J136" s="728"/>
      <c r="K136" s="773"/>
      <c r="L136" s="773"/>
      <c r="M136" s="773"/>
      <c r="N136" s="728"/>
    </row>
    <row r="137" spans="1:14" s="26" customFormat="1" ht="21">
      <c r="A137" s="25"/>
      <c r="B137" s="203"/>
      <c r="C137" s="203"/>
      <c r="D137" s="190"/>
      <c r="E137" s="25"/>
      <c r="F137" s="773"/>
      <c r="G137" s="25"/>
      <c r="H137" s="773"/>
      <c r="I137" s="25"/>
      <c r="J137" s="728"/>
      <c r="K137" s="773"/>
      <c r="L137" s="773"/>
      <c r="M137" s="773"/>
      <c r="N137" s="728"/>
    </row>
    <row r="138" spans="1:14" s="26" customFormat="1" ht="21">
      <c r="A138" s="25"/>
      <c r="B138" s="203"/>
      <c r="C138" s="203"/>
      <c r="D138" s="190"/>
      <c r="E138" s="25"/>
      <c r="F138" s="773"/>
      <c r="G138" s="25"/>
      <c r="H138" s="773"/>
      <c r="I138" s="25"/>
      <c r="J138" s="728"/>
      <c r="K138" s="773"/>
      <c r="L138" s="773"/>
      <c r="M138" s="773"/>
      <c r="N138" s="728"/>
    </row>
    <row r="139" spans="1:14" s="26" customFormat="1" ht="21">
      <c r="A139" s="25"/>
      <c r="B139" s="203"/>
      <c r="C139" s="203"/>
      <c r="D139" s="190"/>
      <c r="E139" s="25"/>
      <c r="F139" s="773"/>
      <c r="G139" s="25"/>
      <c r="H139" s="773"/>
      <c r="I139" s="25"/>
      <c r="J139" s="728"/>
      <c r="K139" s="773"/>
      <c r="L139" s="773"/>
      <c r="M139" s="773"/>
      <c r="N139" s="728"/>
    </row>
    <row r="140" spans="1:14" s="26" customFormat="1" ht="21">
      <c r="A140" s="25"/>
      <c r="B140" s="203"/>
      <c r="C140" s="203"/>
      <c r="D140" s="190"/>
      <c r="E140" s="25"/>
      <c r="F140" s="773"/>
      <c r="G140" s="25"/>
      <c r="H140" s="773"/>
      <c r="I140" s="25"/>
      <c r="J140" s="728"/>
      <c r="K140" s="773"/>
      <c r="L140" s="773"/>
      <c r="M140" s="773"/>
      <c r="N140" s="728"/>
    </row>
    <row r="141" spans="1:14" s="26" customFormat="1" ht="21">
      <c r="A141" s="25"/>
      <c r="B141" s="203"/>
      <c r="C141" s="203"/>
      <c r="D141" s="190"/>
      <c r="E141" s="25"/>
      <c r="F141" s="773"/>
      <c r="G141" s="25"/>
      <c r="H141" s="773"/>
      <c r="I141" s="25"/>
      <c r="J141" s="728"/>
      <c r="K141" s="773"/>
      <c r="L141" s="773"/>
      <c r="M141" s="773"/>
      <c r="N141" s="728"/>
    </row>
    <row r="142" spans="1:14" s="26" customFormat="1" ht="21">
      <c r="A142" s="25"/>
      <c r="B142" s="203"/>
      <c r="C142" s="203"/>
      <c r="D142" s="190"/>
      <c r="E142" s="25"/>
      <c r="F142" s="773"/>
      <c r="G142" s="25"/>
      <c r="H142" s="773"/>
      <c r="I142" s="25"/>
      <c r="J142" s="728"/>
      <c r="K142" s="773"/>
      <c r="L142" s="773"/>
      <c r="M142" s="773"/>
      <c r="N142" s="728"/>
    </row>
    <row r="143" spans="1:14" s="26" customFormat="1" ht="21">
      <c r="A143" s="25"/>
      <c r="B143" s="203"/>
      <c r="C143" s="203"/>
      <c r="D143" s="190"/>
      <c r="E143" s="25"/>
      <c r="F143" s="773"/>
      <c r="G143" s="25"/>
      <c r="H143" s="773"/>
      <c r="I143" s="25"/>
      <c r="J143" s="728"/>
      <c r="K143" s="773"/>
      <c r="L143" s="773"/>
      <c r="M143" s="773"/>
      <c r="N143" s="728"/>
    </row>
    <row r="144" spans="1:14" s="26" customFormat="1" ht="21">
      <c r="A144" s="25"/>
      <c r="B144" s="203"/>
      <c r="C144" s="203"/>
      <c r="D144" s="190"/>
      <c r="E144" s="25"/>
      <c r="F144" s="773"/>
      <c r="G144" s="25"/>
      <c r="H144" s="773"/>
      <c r="I144" s="25"/>
      <c r="J144" s="728"/>
      <c r="K144" s="773"/>
      <c r="L144" s="773"/>
      <c r="M144" s="773"/>
      <c r="N144" s="728"/>
    </row>
    <row r="145" spans="1:14" s="26" customFormat="1" ht="21">
      <c r="A145" s="25"/>
      <c r="B145" s="203"/>
      <c r="C145" s="203"/>
      <c r="D145" s="190"/>
      <c r="E145" s="25"/>
      <c r="F145" s="773"/>
      <c r="G145" s="25"/>
      <c r="H145" s="773"/>
      <c r="I145" s="25"/>
      <c r="J145" s="728"/>
      <c r="K145" s="773"/>
      <c r="L145" s="773"/>
      <c r="M145" s="773"/>
      <c r="N145" s="728"/>
    </row>
    <row r="146" spans="1:14" s="26" customFormat="1" ht="21">
      <c r="A146" s="25"/>
      <c r="B146" s="203"/>
      <c r="C146" s="203"/>
      <c r="D146" s="190"/>
      <c r="E146" s="25"/>
      <c r="F146" s="773"/>
      <c r="G146" s="25"/>
      <c r="H146" s="773"/>
      <c r="I146" s="25"/>
      <c r="J146" s="728"/>
      <c r="K146" s="773"/>
      <c r="L146" s="773"/>
      <c r="M146" s="773"/>
      <c r="N146" s="728"/>
    </row>
    <row r="147" spans="1:14" s="26" customFormat="1" ht="21">
      <c r="A147" s="25"/>
      <c r="B147" s="203"/>
      <c r="C147" s="203"/>
      <c r="D147" s="190"/>
      <c r="E147" s="25"/>
      <c r="F147" s="773"/>
      <c r="G147" s="25"/>
      <c r="H147" s="773"/>
      <c r="I147" s="25"/>
      <c r="J147" s="728"/>
      <c r="K147" s="773"/>
      <c r="L147" s="773"/>
      <c r="M147" s="773"/>
      <c r="N147" s="728"/>
    </row>
    <row r="148" spans="1:14" s="26" customFormat="1" ht="21">
      <c r="A148" s="25"/>
      <c r="B148" s="203"/>
      <c r="C148" s="203"/>
      <c r="D148" s="190"/>
      <c r="E148" s="25"/>
      <c r="F148" s="773"/>
      <c r="G148" s="25"/>
      <c r="H148" s="773"/>
      <c r="I148" s="25"/>
      <c r="J148" s="728"/>
      <c r="K148" s="773"/>
      <c r="L148" s="773"/>
      <c r="M148" s="773"/>
      <c r="N148" s="728"/>
    </row>
    <row r="149" spans="1:14" s="26" customFormat="1" ht="21">
      <c r="A149" s="25"/>
      <c r="B149" s="203"/>
      <c r="C149" s="203"/>
      <c r="D149" s="190"/>
      <c r="E149" s="25"/>
      <c r="F149" s="773"/>
      <c r="G149" s="25"/>
      <c r="H149" s="773"/>
      <c r="I149" s="25"/>
      <c r="J149" s="728"/>
      <c r="K149" s="773"/>
      <c r="L149" s="773"/>
      <c r="M149" s="773"/>
      <c r="N149" s="728"/>
    </row>
    <row r="150" spans="1:14" s="26" customFormat="1" ht="21">
      <c r="A150" s="25"/>
      <c r="B150" s="203"/>
      <c r="C150" s="203"/>
      <c r="D150" s="190"/>
      <c r="E150" s="25"/>
      <c r="F150" s="773"/>
      <c r="G150" s="25"/>
      <c r="H150" s="773"/>
      <c r="I150" s="25"/>
      <c r="J150" s="728"/>
      <c r="K150" s="773"/>
      <c r="L150" s="773"/>
      <c r="M150" s="773"/>
      <c r="N150" s="728"/>
    </row>
    <row r="151" spans="1:14" s="26" customFormat="1" ht="21">
      <c r="A151" s="25"/>
      <c r="B151" s="203"/>
      <c r="C151" s="203"/>
      <c r="D151" s="190"/>
      <c r="E151" s="25"/>
      <c r="F151" s="773"/>
      <c r="G151" s="25"/>
      <c r="H151" s="773"/>
      <c r="I151" s="25"/>
      <c r="J151" s="728"/>
      <c r="K151" s="773"/>
      <c r="L151" s="773"/>
      <c r="M151" s="773"/>
      <c r="N151" s="728"/>
    </row>
    <row r="152" spans="1:14" s="26" customFormat="1" ht="21">
      <c r="A152" s="25"/>
      <c r="B152" s="203"/>
      <c r="C152" s="203"/>
      <c r="D152" s="190"/>
      <c r="E152" s="25"/>
      <c r="F152" s="773"/>
      <c r="G152" s="25"/>
      <c r="H152" s="773"/>
      <c r="I152" s="25"/>
      <c r="J152" s="728"/>
      <c r="K152" s="773"/>
      <c r="L152" s="773"/>
      <c r="M152" s="773"/>
      <c r="N152" s="728"/>
    </row>
    <row r="153" spans="1:14" s="26" customFormat="1" ht="21">
      <c r="A153" s="25"/>
      <c r="B153" s="203"/>
      <c r="C153" s="203"/>
      <c r="D153" s="190"/>
      <c r="E153" s="25"/>
      <c r="F153" s="773"/>
      <c r="G153" s="25"/>
      <c r="H153" s="773"/>
      <c r="I153" s="25"/>
      <c r="J153" s="728"/>
      <c r="K153" s="773"/>
      <c r="L153" s="773"/>
      <c r="M153" s="773"/>
      <c r="N153" s="728"/>
    </row>
    <row r="154" spans="1:14" s="26" customFormat="1" ht="21">
      <c r="A154" s="25"/>
      <c r="B154" s="203"/>
      <c r="C154" s="203"/>
      <c r="D154" s="190"/>
      <c r="E154" s="25"/>
      <c r="F154" s="773"/>
      <c r="G154" s="25"/>
      <c r="H154" s="773"/>
      <c r="I154" s="25"/>
      <c r="J154" s="728"/>
      <c r="K154" s="773"/>
      <c r="L154" s="773"/>
      <c r="M154" s="773"/>
      <c r="N154" s="728"/>
    </row>
    <row r="155" spans="1:14" s="26" customFormat="1" ht="21">
      <c r="A155" s="25"/>
      <c r="B155" s="203"/>
      <c r="C155" s="203"/>
      <c r="D155" s="190"/>
      <c r="E155" s="25"/>
      <c r="F155" s="773"/>
      <c r="G155" s="25"/>
      <c r="H155" s="773"/>
      <c r="I155" s="25"/>
      <c r="J155" s="728"/>
      <c r="K155" s="773"/>
      <c r="L155" s="773"/>
      <c r="M155" s="773"/>
      <c r="N155" s="728"/>
    </row>
    <row r="156" spans="1:14" s="26" customFormat="1" ht="21">
      <c r="A156" s="25"/>
      <c r="B156" s="203"/>
      <c r="C156" s="203"/>
      <c r="D156" s="190"/>
      <c r="E156" s="25"/>
      <c r="F156" s="773"/>
      <c r="G156" s="25"/>
      <c r="H156" s="773"/>
      <c r="I156" s="25"/>
      <c r="J156" s="728"/>
      <c r="K156" s="773"/>
      <c r="L156" s="773"/>
      <c r="M156" s="773"/>
      <c r="N156" s="728"/>
    </row>
    <row r="157" spans="1:14" s="26" customFormat="1" ht="21">
      <c r="A157" s="25"/>
      <c r="B157" s="203"/>
      <c r="C157" s="203"/>
      <c r="D157" s="190"/>
      <c r="E157" s="25"/>
      <c r="F157" s="773"/>
      <c r="G157" s="25"/>
      <c r="H157" s="773"/>
      <c r="I157" s="25"/>
      <c r="J157" s="728"/>
      <c r="K157" s="773"/>
      <c r="L157" s="773"/>
      <c r="M157" s="773"/>
      <c r="N157" s="728"/>
    </row>
    <row r="158" spans="1:14" s="26" customFormat="1" ht="21">
      <c r="A158" s="25"/>
      <c r="B158" s="203"/>
      <c r="C158" s="203"/>
      <c r="D158" s="190"/>
      <c r="E158" s="25"/>
      <c r="F158" s="773"/>
      <c r="G158" s="25"/>
      <c r="H158" s="773"/>
      <c r="I158" s="25"/>
      <c r="J158" s="728"/>
      <c r="K158" s="773"/>
      <c r="L158" s="773"/>
      <c r="M158" s="773"/>
      <c r="N158" s="728"/>
    </row>
    <row r="159" spans="1:14" s="26" customFormat="1" ht="21">
      <c r="A159" s="25"/>
      <c r="B159" s="203"/>
      <c r="C159" s="203"/>
      <c r="D159" s="190"/>
      <c r="E159" s="25"/>
      <c r="F159" s="773"/>
      <c r="G159" s="25"/>
      <c r="H159" s="773"/>
      <c r="I159" s="25"/>
      <c r="J159" s="728"/>
      <c r="K159" s="773"/>
      <c r="L159" s="773"/>
      <c r="M159" s="773"/>
      <c r="N159" s="728"/>
    </row>
    <row r="160" spans="1:14" s="26" customFormat="1" ht="21">
      <c r="A160" s="25"/>
      <c r="B160" s="203"/>
      <c r="C160" s="203"/>
      <c r="D160" s="190"/>
      <c r="E160" s="25"/>
      <c r="F160" s="773"/>
      <c r="G160" s="25"/>
      <c r="H160" s="773"/>
      <c r="I160" s="25"/>
      <c r="J160" s="728"/>
      <c r="K160" s="773"/>
      <c r="L160" s="773"/>
      <c r="M160" s="773"/>
      <c r="N160" s="728"/>
    </row>
    <row r="161" spans="1:14" s="26" customFormat="1" ht="21">
      <c r="A161" s="25"/>
      <c r="B161" s="203"/>
      <c r="C161" s="203"/>
      <c r="D161" s="190"/>
      <c r="E161" s="25"/>
      <c r="F161" s="773"/>
      <c r="G161" s="25"/>
      <c r="H161" s="773"/>
      <c r="I161" s="25"/>
      <c r="J161" s="728"/>
      <c r="K161" s="773"/>
      <c r="L161" s="773"/>
      <c r="M161" s="773"/>
      <c r="N161" s="728"/>
    </row>
    <row r="162" spans="1:14" s="26" customFormat="1" ht="21">
      <c r="A162" s="25"/>
      <c r="B162" s="203"/>
      <c r="C162" s="203"/>
      <c r="D162" s="190"/>
      <c r="E162" s="25"/>
      <c r="F162" s="773"/>
      <c r="G162" s="25"/>
      <c r="H162" s="773"/>
      <c r="I162" s="25"/>
      <c r="J162" s="728"/>
      <c r="K162" s="773"/>
      <c r="L162" s="773"/>
      <c r="M162" s="773"/>
      <c r="N162" s="728"/>
    </row>
    <row r="163" spans="1:14" s="26" customFormat="1" ht="21">
      <c r="A163" s="25"/>
      <c r="B163" s="203"/>
      <c r="C163" s="203"/>
      <c r="D163" s="190"/>
      <c r="E163" s="25"/>
      <c r="F163" s="773"/>
      <c r="G163" s="25"/>
      <c r="H163" s="773"/>
      <c r="I163" s="25"/>
      <c r="J163" s="728"/>
      <c r="K163" s="773"/>
      <c r="L163" s="773"/>
      <c r="M163" s="773"/>
      <c r="N163" s="728"/>
    </row>
    <row r="164" spans="1:14" s="26" customFormat="1" ht="21">
      <c r="A164" s="25"/>
      <c r="B164" s="203"/>
      <c r="C164" s="203"/>
      <c r="D164" s="190"/>
      <c r="E164" s="25"/>
      <c r="F164" s="773"/>
      <c r="G164" s="25"/>
      <c r="H164" s="773"/>
      <c r="I164" s="25"/>
      <c r="J164" s="728"/>
      <c r="K164" s="773"/>
      <c r="L164" s="773"/>
      <c r="M164" s="773"/>
      <c r="N164" s="728"/>
    </row>
    <row r="165" spans="1:14" s="26" customFormat="1" ht="21">
      <c r="A165" s="25"/>
      <c r="B165" s="203"/>
      <c r="C165" s="203"/>
      <c r="D165" s="190"/>
      <c r="E165" s="25"/>
      <c r="F165" s="773"/>
      <c r="G165" s="25"/>
      <c r="H165" s="773"/>
      <c r="I165" s="25"/>
      <c r="J165" s="728"/>
      <c r="K165" s="773"/>
      <c r="L165" s="773"/>
      <c r="M165" s="773"/>
      <c r="N165" s="728"/>
    </row>
    <row r="166" spans="1:14" s="26" customFormat="1" ht="21">
      <c r="A166" s="25"/>
      <c r="B166" s="203"/>
      <c r="C166" s="203"/>
      <c r="D166" s="190"/>
      <c r="E166" s="25"/>
      <c r="F166" s="773"/>
      <c r="G166" s="25"/>
      <c r="H166" s="773"/>
      <c r="I166" s="25"/>
      <c r="J166" s="728"/>
      <c r="K166" s="773"/>
      <c r="L166" s="773"/>
      <c r="M166" s="773"/>
      <c r="N166" s="728"/>
    </row>
    <row r="167" spans="1:14" s="26" customFormat="1" ht="21">
      <c r="A167" s="25"/>
      <c r="B167" s="203"/>
      <c r="C167" s="203"/>
      <c r="D167" s="190"/>
      <c r="E167" s="25"/>
      <c r="F167" s="773"/>
      <c r="G167" s="25"/>
      <c r="H167" s="773"/>
      <c r="I167" s="25"/>
      <c r="J167" s="728"/>
      <c r="K167" s="773"/>
      <c r="L167" s="773"/>
      <c r="M167" s="773"/>
      <c r="N167" s="728"/>
    </row>
    <row r="168" spans="1:14" s="26" customFormat="1" ht="21">
      <c r="A168" s="25"/>
      <c r="B168" s="203"/>
      <c r="C168" s="203"/>
      <c r="D168" s="190"/>
      <c r="E168" s="25"/>
      <c r="F168" s="773"/>
      <c r="G168" s="25"/>
      <c r="H168" s="773"/>
      <c r="I168" s="25"/>
      <c r="J168" s="728"/>
      <c r="K168" s="773"/>
      <c r="L168" s="773"/>
      <c r="M168" s="773"/>
      <c r="N168" s="728"/>
    </row>
    <row r="169" spans="1:14" s="26" customFormat="1" ht="21">
      <c r="A169" s="25"/>
      <c r="B169" s="203"/>
      <c r="C169" s="203"/>
      <c r="D169" s="190"/>
      <c r="E169" s="25"/>
      <c r="F169" s="773"/>
      <c r="G169" s="25"/>
      <c r="H169" s="773"/>
      <c r="I169" s="25"/>
      <c r="J169" s="728"/>
      <c r="K169" s="773"/>
      <c r="L169" s="773"/>
      <c r="M169" s="773"/>
      <c r="N169" s="728"/>
    </row>
    <row r="170" spans="1:14" s="26" customFormat="1" ht="21">
      <c r="A170" s="25"/>
      <c r="B170" s="203"/>
      <c r="C170" s="203"/>
      <c r="D170" s="190"/>
      <c r="E170" s="25"/>
      <c r="F170" s="773"/>
      <c r="G170" s="25"/>
      <c r="H170" s="773"/>
      <c r="I170" s="25"/>
      <c r="J170" s="728"/>
      <c r="K170" s="773"/>
      <c r="L170" s="773"/>
      <c r="M170" s="773"/>
      <c r="N170" s="728"/>
    </row>
    <row r="171" spans="1:14" s="26" customFormat="1" ht="21">
      <c r="A171" s="25"/>
      <c r="B171" s="203"/>
      <c r="C171" s="203"/>
      <c r="D171" s="190"/>
      <c r="E171" s="25"/>
      <c r="F171" s="773"/>
      <c r="G171" s="25"/>
      <c r="H171" s="773"/>
      <c r="I171" s="25"/>
      <c r="J171" s="728"/>
      <c r="K171" s="773"/>
      <c r="L171" s="773"/>
      <c r="M171" s="773"/>
      <c r="N171" s="728"/>
    </row>
    <row r="172" spans="1:14" s="26" customFormat="1" ht="21">
      <c r="A172" s="25"/>
      <c r="B172" s="203"/>
      <c r="C172" s="203"/>
      <c r="D172" s="190"/>
      <c r="E172" s="25"/>
      <c r="F172" s="773"/>
      <c r="G172" s="25"/>
      <c r="H172" s="773"/>
      <c r="I172" s="25"/>
      <c r="J172" s="728"/>
      <c r="K172" s="773"/>
      <c r="L172" s="773"/>
      <c r="M172" s="773"/>
      <c r="N172" s="728"/>
    </row>
    <row r="173" spans="1:14" s="26" customFormat="1" ht="21">
      <c r="A173" s="25"/>
      <c r="B173" s="203"/>
      <c r="C173" s="203"/>
      <c r="D173" s="190"/>
      <c r="E173" s="25"/>
      <c r="F173" s="773"/>
      <c r="G173" s="25"/>
      <c r="H173" s="773"/>
      <c r="I173" s="25"/>
      <c r="J173" s="728"/>
      <c r="K173" s="773"/>
      <c r="L173" s="773"/>
      <c r="M173" s="773"/>
      <c r="N173" s="728"/>
    </row>
    <row r="174" spans="1:14" s="26" customFormat="1" ht="21">
      <c r="A174" s="25"/>
      <c r="B174" s="203"/>
      <c r="C174" s="203"/>
      <c r="D174" s="190"/>
      <c r="E174" s="25"/>
      <c r="F174" s="773"/>
      <c r="G174" s="25"/>
      <c r="H174" s="773"/>
      <c r="I174" s="25"/>
      <c r="J174" s="728"/>
      <c r="K174" s="773"/>
      <c r="L174" s="773"/>
      <c r="M174" s="773"/>
      <c r="N174" s="728"/>
    </row>
    <row r="175" spans="1:14" s="26" customFormat="1" ht="21">
      <c r="A175" s="25"/>
      <c r="B175" s="203"/>
      <c r="C175" s="203"/>
      <c r="D175" s="190"/>
      <c r="E175" s="25"/>
      <c r="F175" s="773"/>
      <c r="G175" s="25"/>
      <c r="H175" s="773"/>
      <c r="I175" s="25"/>
      <c r="J175" s="728"/>
      <c r="K175" s="773"/>
      <c r="L175" s="773"/>
      <c r="M175" s="773"/>
      <c r="N175" s="728"/>
    </row>
    <row r="176" spans="1:14" s="26" customFormat="1" ht="21.75">
      <c r="A176" s="116"/>
      <c r="B176" s="204"/>
      <c r="C176" s="204"/>
      <c r="D176" s="191"/>
      <c r="E176" s="116"/>
      <c r="F176" s="758"/>
      <c r="G176" s="116"/>
      <c r="H176" s="758"/>
      <c r="I176" s="25"/>
      <c r="J176" s="728"/>
      <c r="K176" s="773"/>
      <c r="L176" s="773"/>
      <c r="M176" s="773"/>
      <c r="N176" s="728"/>
    </row>
    <row r="177" spans="1:14" s="26" customFormat="1" ht="21.75">
      <c r="A177" s="116"/>
      <c r="B177" s="204"/>
      <c r="C177" s="204"/>
      <c r="D177" s="191"/>
      <c r="E177" s="116"/>
      <c r="F177" s="758"/>
      <c r="G177" s="116"/>
      <c r="H177" s="758"/>
      <c r="I177" s="25"/>
      <c r="J177" s="728"/>
      <c r="K177" s="773"/>
      <c r="L177" s="773"/>
      <c r="M177" s="773"/>
      <c r="N177" s="728"/>
    </row>
    <row r="178" spans="1:14" s="26" customFormat="1" ht="21.75">
      <c r="A178" s="116"/>
      <c r="B178" s="204"/>
      <c r="C178" s="204"/>
      <c r="D178" s="191"/>
      <c r="E178" s="116"/>
      <c r="F178" s="758"/>
      <c r="G178" s="116"/>
      <c r="H178" s="758"/>
      <c r="I178" s="25"/>
      <c r="J178" s="728"/>
      <c r="K178" s="773"/>
      <c r="L178" s="773"/>
      <c r="M178" s="773"/>
      <c r="N178" s="728"/>
    </row>
    <row r="179" spans="1:14" s="26" customFormat="1" ht="21.75">
      <c r="A179" s="116"/>
      <c r="B179" s="204"/>
      <c r="C179" s="204"/>
      <c r="D179" s="191"/>
      <c r="E179" s="116"/>
      <c r="F179" s="758"/>
      <c r="G179" s="116"/>
      <c r="H179" s="758"/>
      <c r="I179" s="25"/>
      <c r="J179" s="728"/>
      <c r="K179" s="773"/>
      <c r="L179" s="773"/>
      <c r="M179" s="773"/>
      <c r="N179" s="728"/>
    </row>
    <row r="180" spans="1:14" s="26" customFormat="1" ht="21.75">
      <c r="A180" s="116"/>
      <c r="B180" s="204"/>
      <c r="C180" s="204"/>
      <c r="D180" s="191"/>
      <c r="E180" s="116"/>
      <c r="F180" s="758"/>
      <c r="G180" s="116"/>
      <c r="H180" s="758"/>
      <c r="I180" s="25"/>
      <c r="J180" s="728"/>
      <c r="K180" s="773"/>
      <c r="L180" s="773"/>
      <c r="M180" s="773"/>
      <c r="N180" s="728"/>
    </row>
    <row r="181" spans="1:14" s="26" customFormat="1" ht="21.75">
      <c r="A181" s="116"/>
      <c r="B181" s="204"/>
      <c r="C181" s="204"/>
      <c r="D181" s="191"/>
      <c r="E181" s="116"/>
      <c r="F181" s="758"/>
      <c r="G181" s="116"/>
      <c r="H181" s="758"/>
      <c r="I181" s="25"/>
      <c r="J181" s="728"/>
      <c r="K181" s="773"/>
      <c r="L181" s="773"/>
      <c r="M181" s="773"/>
      <c r="N181" s="728"/>
    </row>
    <row r="182" spans="1:14" s="26" customFormat="1" ht="21.75">
      <c r="A182" s="116"/>
      <c r="B182" s="204"/>
      <c r="C182" s="204"/>
      <c r="D182" s="191"/>
      <c r="E182" s="116"/>
      <c r="F182" s="758"/>
      <c r="G182" s="116"/>
      <c r="H182" s="758"/>
      <c r="I182" s="25"/>
      <c r="J182" s="728"/>
      <c r="K182" s="773"/>
      <c r="L182" s="773"/>
      <c r="M182" s="773"/>
      <c r="N182" s="728"/>
    </row>
    <row r="183" spans="1:14" s="26" customFormat="1" ht="21.75">
      <c r="A183" s="116"/>
      <c r="B183" s="204"/>
      <c r="C183" s="204"/>
      <c r="D183" s="191"/>
      <c r="E183" s="116"/>
      <c r="F183" s="758"/>
      <c r="G183" s="116"/>
      <c r="H183" s="758"/>
      <c r="I183" s="25"/>
      <c r="J183" s="728"/>
      <c r="K183" s="773"/>
      <c r="L183" s="773"/>
      <c r="M183" s="773"/>
      <c r="N183" s="728"/>
    </row>
    <row r="184" spans="1:14" s="26" customFormat="1" ht="21.75">
      <c r="A184" s="116"/>
      <c r="B184" s="204"/>
      <c r="C184" s="204"/>
      <c r="D184" s="191"/>
      <c r="E184" s="116"/>
      <c r="F184" s="758"/>
      <c r="G184" s="116"/>
      <c r="H184" s="758"/>
      <c r="I184" s="25"/>
      <c r="J184" s="728"/>
      <c r="K184" s="773"/>
      <c r="L184" s="773"/>
      <c r="M184" s="773"/>
      <c r="N184" s="728"/>
    </row>
    <row r="185" spans="1:14" s="26" customFormat="1" ht="21.75">
      <c r="A185" s="116"/>
      <c r="B185" s="204"/>
      <c r="C185" s="204"/>
      <c r="D185" s="191"/>
      <c r="E185" s="116"/>
      <c r="F185" s="758"/>
      <c r="G185" s="116"/>
      <c r="H185" s="758"/>
      <c r="I185" s="25"/>
      <c r="J185" s="728"/>
      <c r="K185" s="773"/>
      <c r="L185" s="773"/>
      <c r="M185" s="773"/>
      <c r="N185" s="728"/>
    </row>
    <row r="186" spans="1:14" s="26" customFormat="1" ht="21.75">
      <c r="A186" s="116"/>
      <c r="B186" s="204"/>
      <c r="C186" s="204"/>
      <c r="D186" s="191"/>
      <c r="E186" s="116"/>
      <c r="F186" s="758"/>
      <c r="G186" s="116"/>
      <c r="H186" s="758"/>
      <c r="I186" s="25"/>
      <c r="J186" s="728"/>
      <c r="K186" s="773"/>
      <c r="L186" s="773"/>
      <c r="M186" s="773"/>
      <c r="N186" s="728"/>
    </row>
    <row r="187" spans="1:14" s="26" customFormat="1" ht="21.75">
      <c r="A187" s="116"/>
      <c r="B187" s="204"/>
      <c r="C187" s="204"/>
      <c r="D187" s="191"/>
      <c r="E187" s="116"/>
      <c r="F187" s="758"/>
      <c r="G187" s="116"/>
      <c r="H187" s="758"/>
      <c r="I187" s="25"/>
      <c r="J187" s="728"/>
      <c r="K187" s="773"/>
      <c r="L187" s="773"/>
      <c r="M187" s="773"/>
      <c r="N187" s="728"/>
    </row>
    <row r="188" spans="1:14" s="26" customFormat="1" ht="21.75">
      <c r="A188" s="116"/>
      <c r="B188" s="204"/>
      <c r="C188" s="204"/>
      <c r="D188" s="191"/>
      <c r="E188" s="116"/>
      <c r="F188" s="758"/>
      <c r="G188" s="116"/>
      <c r="H188" s="758"/>
      <c r="I188" s="25"/>
      <c r="J188" s="728"/>
      <c r="K188" s="773"/>
      <c r="L188" s="773"/>
      <c r="M188" s="773"/>
      <c r="N188" s="728"/>
    </row>
    <row r="189" spans="1:14" s="26" customFormat="1" ht="21.75">
      <c r="A189" s="116"/>
      <c r="B189" s="204"/>
      <c r="C189" s="204"/>
      <c r="D189" s="191"/>
      <c r="E189" s="116"/>
      <c r="F189" s="758"/>
      <c r="G189" s="116"/>
      <c r="H189" s="758"/>
      <c r="I189" s="25"/>
      <c r="J189" s="728"/>
      <c r="K189" s="773"/>
      <c r="L189" s="773"/>
      <c r="M189" s="773"/>
      <c r="N189" s="728"/>
    </row>
    <row r="190" spans="1:14" s="26" customFormat="1" ht="21.75">
      <c r="A190" s="116"/>
      <c r="B190" s="204"/>
      <c r="C190" s="204"/>
      <c r="D190" s="191"/>
      <c r="E190" s="116"/>
      <c r="F190" s="758"/>
      <c r="G190" s="116"/>
      <c r="H190" s="758"/>
      <c r="I190" s="25"/>
      <c r="J190" s="728"/>
      <c r="K190" s="773"/>
      <c r="L190" s="773"/>
      <c r="M190" s="773"/>
      <c r="N190" s="728"/>
    </row>
    <row r="191" spans="1:14" s="26" customFormat="1" ht="21.75">
      <c r="A191" s="116"/>
      <c r="B191" s="204"/>
      <c r="C191" s="204"/>
      <c r="D191" s="191"/>
      <c r="E191" s="116"/>
      <c r="F191" s="758"/>
      <c r="G191" s="116"/>
      <c r="H191" s="758"/>
      <c r="I191" s="25"/>
      <c r="J191" s="728"/>
      <c r="K191" s="773"/>
      <c r="L191" s="773"/>
      <c r="M191" s="773"/>
      <c r="N191" s="728"/>
    </row>
    <row r="192" spans="1:14" s="26" customFormat="1" ht="21.75">
      <c r="A192" s="116"/>
      <c r="B192" s="204"/>
      <c r="C192" s="204"/>
      <c r="D192" s="191"/>
      <c r="E192" s="116"/>
      <c r="F192" s="758"/>
      <c r="G192" s="116"/>
      <c r="H192" s="758"/>
      <c r="I192" s="25"/>
      <c r="J192" s="728"/>
      <c r="K192" s="773"/>
      <c r="L192" s="773"/>
      <c r="M192" s="773"/>
      <c r="N192" s="728"/>
    </row>
    <row r="193" spans="1:14" s="26" customFormat="1" ht="21.75">
      <c r="A193" s="116"/>
      <c r="B193" s="204"/>
      <c r="C193" s="204"/>
      <c r="D193" s="191"/>
      <c r="E193" s="116"/>
      <c r="F193" s="758"/>
      <c r="G193" s="116"/>
      <c r="H193" s="758"/>
      <c r="I193" s="25"/>
      <c r="J193" s="728"/>
      <c r="K193" s="773"/>
      <c r="L193" s="773"/>
      <c r="M193" s="773"/>
      <c r="N193" s="728"/>
    </row>
    <row r="194" spans="1:14" s="26" customFormat="1" ht="21.75">
      <c r="A194" s="116"/>
      <c r="B194" s="204"/>
      <c r="C194" s="204"/>
      <c r="D194" s="191"/>
      <c r="E194" s="116"/>
      <c r="F194" s="758"/>
      <c r="G194" s="116"/>
      <c r="H194" s="758"/>
      <c r="I194" s="25"/>
      <c r="J194" s="728"/>
      <c r="K194" s="773"/>
      <c r="L194" s="773"/>
      <c r="M194" s="773"/>
      <c r="N194" s="728"/>
    </row>
    <row r="195" spans="1:14" s="26" customFormat="1" ht="21.75">
      <c r="A195" s="116"/>
      <c r="B195" s="204"/>
      <c r="C195" s="204"/>
      <c r="D195" s="191"/>
      <c r="E195" s="116"/>
      <c r="F195" s="758"/>
      <c r="G195" s="116"/>
      <c r="H195" s="758"/>
      <c r="I195" s="25"/>
      <c r="J195" s="728"/>
      <c r="K195" s="773"/>
      <c r="L195" s="773"/>
      <c r="M195" s="773"/>
      <c r="N195" s="728"/>
    </row>
    <row r="196" spans="1:14" s="26" customFormat="1" ht="21.75">
      <c r="A196" s="116"/>
      <c r="B196" s="204"/>
      <c r="C196" s="204"/>
      <c r="D196" s="191"/>
      <c r="E196" s="116"/>
      <c r="F196" s="758"/>
      <c r="G196" s="116"/>
      <c r="H196" s="758"/>
      <c r="I196" s="25"/>
      <c r="J196" s="728"/>
      <c r="K196" s="773"/>
      <c r="L196" s="773"/>
      <c r="M196" s="773"/>
      <c r="N196" s="728"/>
    </row>
    <row r="197" spans="1:14" s="26" customFormat="1" ht="21.75">
      <c r="A197" s="116"/>
      <c r="B197" s="204"/>
      <c r="C197" s="204"/>
      <c r="D197" s="191"/>
      <c r="E197" s="116"/>
      <c r="F197" s="758"/>
      <c r="G197" s="116"/>
      <c r="H197" s="758"/>
      <c r="I197" s="25"/>
      <c r="J197" s="728"/>
      <c r="K197" s="773"/>
      <c r="L197" s="773"/>
      <c r="M197" s="773"/>
      <c r="N197" s="728"/>
    </row>
    <row r="198" spans="1:14" s="26" customFormat="1" ht="21.75">
      <c r="A198" s="116"/>
      <c r="B198" s="204"/>
      <c r="C198" s="204"/>
      <c r="D198" s="191"/>
      <c r="E198" s="116"/>
      <c r="F198" s="758"/>
      <c r="G198" s="116"/>
      <c r="H198" s="758"/>
      <c r="I198" s="25"/>
      <c r="J198" s="728"/>
      <c r="K198" s="773"/>
      <c r="L198" s="773"/>
      <c r="M198" s="773"/>
      <c r="N198" s="728"/>
    </row>
    <row r="199" spans="1:14" s="26" customFormat="1" ht="21.75">
      <c r="A199" s="116"/>
      <c r="B199" s="204"/>
      <c r="C199" s="204"/>
      <c r="D199" s="191"/>
      <c r="E199" s="116"/>
      <c r="F199" s="758"/>
      <c r="G199" s="116"/>
      <c r="H199" s="758"/>
      <c r="I199" s="25"/>
      <c r="J199" s="728"/>
      <c r="K199" s="773"/>
      <c r="L199" s="773"/>
      <c r="M199" s="773"/>
      <c r="N199" s="728"/>
    </row>
    <row r="200" spans="1:14" s="26" customFormat="1" ht="21.75">
      <c r="A200" s="116"/>
      <c r="B200" s="204"/>
      <c r="C200" s="204"/>
      <c r="D200" s="191"/>
      <c r="E200" s="116"/>
      <c r="F200" s="758"/>
      <c r="G200" s="116"/>
      <c r="H200" s="758"/>
      <c r="I200" s="25"/>
      <c r="J200" s="728"/>
      <c r="K200" s="773"/>
      <c r="L200" s="773"/>
      <c r="M200" s="773"/>
      <c r="N200" s="728"/>
    </row>
    <row r="201" spans="1:14" s="26" customFormat="1" ht="21.75">
      <c r="A201" s="116"/>
      <c r="B201" s="204"/>
      <c r="C201" s="204"/>
      <c r="D201" s="191"/>
      <c r="E201" s="116"/>
      <c r="F201" s="758"/>
      <c r="G201" s="116"/>
      <c r="H201" s="758"/>
      <c r="I201" s="25"/>
      <c r="J201" s="728"/>
      <c r="K201" s="773"/>
      <c r="L201" s="773"/>
      <c r="M201" s="773"/>
      <c r="N201" s="728"/>
    </row>
    <row r="202" spans="1:14" s="26" customFormat="1" ht="21.75">
      <c r="A202" s="116"/>
      <c r="B202" s="204"/>
      <c r="C202" s="204"/>
      <c r="D202" s="191"/>
      <c r="E202" s="116"/>
      <c r="F202" s="758"/>
      <c r="G202" s="116"/>
      <c r="H202" s="758"/>
      <c r="I202" s="25"/>
      <c r="J202" s="728"/>
      <c r="K202" s="773"/>
      <c r="L202" s="773"/>
      <c r="M202" s="773"/>
      <c r="N202" s="728"/>
    </row>
    <row r="203" spans="1:14" s="26" customFormat="1" ht="21.75">
      <c r="A203" s="116"/>
      <c r="B203" s="204"/>
      <c r="C203" s="204"/>
      <c r="D203" s="191"/>
      <c r="E203" s="116"/>
      <c r="F203" s="758"/>
      <c r="G203" s="116"/>
      <c r="H203" s="758"/>
      <c r="I203" s="25"/>
      <c r="J203" s="728"/>
      <c r="K203" s="773"/>
      <c r="L203" s="773"/>
      <c r="M203" s="773"/>
      <c r="N203" s="728"/>
    </row>
    <row r="204" spans="1:14" s="26" customFormat="1" ht="21.75">
      <c r="A204" s="116"/>
      <c r="B204" s="204"/>
      <c r="C204" s="204"/>
      <c r="D204" s="191"/>
      <c r="E204" s="116"/>
      <c r="F204" s="758"/>
      <c r="G204" s="116"/>
      <c r="H204" s="758"/>
      <c r="I204" s="25"/>
      <c r="J204" s="728"/>
      <c r="K204" s="773"/>
      <c r="L204" s="773"/>
      <c r="M204" s="773"/>
      <c r="N204" s="728"/>
    </row>
    <row r="205" spans="1:14" s="26" customFormat="1" ht="21.75">
      <c r="A205" s="116"/>
      <c r="B205" s="204"/>
      <c r="C205" s="204"/>
      <c r="D205" s="191"/>
      <c r="E205" s="116"/>
      <c r="F205" s="758"/>
      <c r="G205" s="116"/>
      <c r="H205" s="758"/>
      <c r="I205" s="25"/>
      <c r="J205" s="728"/>
      <c r="K205" s="773"/>
      <c r="L205" s="773"/>
      <c r="M205" s="773"/>
      <c r="N205" s="728"/>
    </row>
    <row r="206" spans="1:14" s="26" customFormat="1" ht="21.75">
      <c r="A206" s="116"/>
      <c r="B206" s="204"/>
      <c r="C206" s="204"/>
      <c r="D206" s="191"/>
      <c r="E206" s="116"/>
      <c r="F206" s="758"/>
      <c r="G206" s="116"/>
      <c r="H206" s="758"/>
      <c r="I206" s="25"/>
      <c r="J206" s="728"/>
      <c r="K206" s="773"/>
      <c r="L206" s="773"/>
      <c r="M206" s="773"/>
      <c r="N206" s="728"/>
    </row>
    <row r="207" spans="1:14" s="26" customFormat="1" ht="21.75">
      <c r="A207" s="116"/>
      <c r="B207" s="204"/>
      <c r="C207" s="204"/>
      <c r="D207" s="191"/>
      <c r="E207" s="116"/>
      <c r="F207" s="758"/>
      <c r="G207" s="116"/>
      <c r="H207" s="758"/>
      <c r="I207" s="25"/>
      <c r="J207" s="728"/>
      <c r="K207" s="773"/>
      <c r="L207" s="773"/>
      <c r="M207" s="773"/>
      <c r="N207" s="728"/>
    </row>
    <row r="208" spans="1:14" s="26" customFormat="1" ht="21.75">
      <c r="A208" s="116"/>
      <c r="B208" s="204"/>
      <c r="C208" s="204"/>
      <c r="D208" s="191"/>
      <c r="E208" s="116"/>
      <c r="F208" s="758"/>
      <c r="G208" s="116"/>
      <c r="H208" s="758"/>
      <c r="I208" s="25"/>
      <c r="J208" s="728"/>
      <c r="K208" s="773"/>
      <c r="L208" s="773"/>
      <c r="M208" s="773"/>
      <c r="N208" s="728"/>
    </row>
    <row r="209" spans="1:14" s="26" customFormat="1" ht="21.75">
      <c r="A209" s="116"/>
      <c r="B209" s="204"/>
      <c r="C209" s="204"/>
      <c r="D209" s="191"/>
      <c r="E209" s="116"/>
      <c r="F209" s="758"/>
      <c r="G209" s="116"/>
      <c r="H209" s="758"/>
      <c r="I209" s="25"/>
      <c r="J209" s="728"/>
      <c r="K209" s="773"/>
      <c r="L209" s="773"/>
      <c r="M209" s="773"/>
      <c r="N209" s="728"/>
    </row>
    <row r="210" spans="1:14" s="26" customFormat="1" ht="21.75">
      <c r="A210" s="116"/>
      <c r="B210" s="204"/>
      <c r="C210" s="204"/>
      <c r="D210" s="191"/>
      <c r="E210" s="116"/>
      <c r="F210" s="758"/>
      <c r="G210" s="116"/>
      <c r="H210" s="758"/>
      <c r="I210" s="25"/>
      <c r="J210" s="728"/>
      <c r="K210" s="773"/>
      <c r="L210" s="773"/>
      <c r="M210" s="773"/>
      <c r="N210" s="728"/>
    </row>
    <row r="211" spans="1:14" s="26" customFormat="1" ht="21.75">
      <c r="A211" s="116"/>
      <c r="B211" s="204"/>
      <c r="C211" s="204"/>
      <c r="D211" s="191"/>
      <c r="E211" s="116"/>
      <c r="F211" s="758"/>
      <c r="G211" s="116"/>
      <c r="H211" s="758"/>
      <c r="I211" s="25"/>
      <c r="J211" s="728"/>
      <c r="K211" s="773"/>
      <c r="L211" s="773"/>
      <c r="M211" s="773"/>
      <c r="N211" s="728"/>
    </row>
    <row r="212" spans="1:14" s="26" customFormat="1" ht="21.75">
      <c r="A212" s="116"/>
      <c r="B212" s="204"/>
      <c r="C212" s="204"/>
      <c r="D212" s="191"/>
      <c r="E212" s="116"/>
      <c r="F212" s="758"/>
      <c r="G212" s="116"/>
      <c r="H212" s="758"/>
      <c r="I212" s="25"/>
      <c r="J212" s="728"/>
      <c r="K212" s="773"/>
      <c r="L212" s="773"/>
      <c r="M212" s="773"/>
      <c r="N212" s="728"/>
    </row>
    <row r="213" spans="1:14" s="26" customFormat="1" ht="21.75">
      <c r="A213" s="116"/>
      <c r="B213" s="204"/>
      <c r="C213" s="204"/>
      <c r="D213" s="191"/>
      <c r="E213" s="116"/>
      <c r="F213" s="758"/>
      <c r="G213" s="116"/>
      <c r="H213" s="758"/>
      <c r="I213" s="25"/>
      <c r="J213" s="728"/>
      <c r="K213" s="773"/>
      <c r="L213" s="773"/>
      <c r="M213" s="773"/>
      <c r="N213" s="728"/>
    </row>
    <row r="214" spans="1:14" s="26" customFormat="1" ht="21.75">
      <c r="A214" s="116"/>
      <c r="B214" s="204"/>
      <c r="C214" s="204"/>
      <c r="D214" s="191"/>
      <c r="E214" s="116"/>
      <c r="F214" s="758"/>
      <c r="G214" s="116"/>
      <c r="H214" s="758"/>
      <c r="I214" s="25"/>
      <c r="J214" s="728"/>
      <c r="K214" s="773"/>
      <c r="L214" s="773"/>
      <c r="M214" s="773"/>
      <c r="N214" s="728"/>
    </row>
    <row r="215" spans="1:14" s="26" customFormat="1" ht="21.75">
      <c r="A215" s="116"/>
      <c r="B215" s="204"/>
      <c r="C215" s="204"/>
      <c r="D215" s="191"/>
      <c r="E215" s="116"/>
      <c r="F215" s="758"/>
      <c r="G215" s="116"/>
      <c r="H215" s="758"/>
      <c r="I215" s="25"/>
      <c r="J215" s="728"/>
      <c r="K215" s="773"/>
      <c r="L215" s="773"/>
      <c r="M215" s="773"/>
      <c r="N215" s="728"/>
    </row>
    <row r="216" spans="1:14" s="26" customFormat="1" ht="21.75">
      <c r="A216" s="116"/>
      <c r="B216" s="204"/>
      <c r="C216" s="204"/>
      <c r="D216" s="191"/>
      <c r="E216" s="116"/>
      <c r="F216" s="758"/>
      <c r="G216" s="116"/>
      <c r="H216" s="758"/>
      <c r="I216" s="25"/>
      <c r="J216" s="728"/>
      <c r="K216" s="773"/>
      <c r="L216" s="773"/>
      <c r="M216" s="773"/>
      <c r="N216" s="728"/>
    </row>
    <row r="217" spans="1:14" s="26" customFormat="1" ht="21.75">
      <c r="A217" s="116"/>
      <c r="B217" s="204"/>
      <c r="C217" s="204"/>
      <c r="D217" s="191"/>
      <c r="E217" s="116"/>
      <c r="F217" s="758"/>
      <c r="G217" s="116"/>
      <c r="H217" s="758"/>
      <c r="I217" s="25"/>
      <c r="J217" s="728"/>
      <c r="K217" s="773"/>
      <c r="L217" s="773"/>
      <c r="M217" s="773"/>
      <c r="N217" s="728"/>
    </row>
    <row r="218" spans="1:14" s="26" customFormat="1" ht="21.75">
      <c r="A218" s="116"/>
      <c r="B218" s="204"/>
      <c r="C218" s="204"/>
      <c r="D218" s="191"/>
      <c r="E218" s="116"/>
      <c r="F218" s="758"/>
      <c r="G218" s="116"/>
      <c r="H218" s="758"/>
      <c r="I218" s="25"/>
      <c r="J218" s="728"/>
      <c r="K218" s="773"/>
      <c r="L218" s="773"/>
      <c r="M218" s="773"/>
      <c r="N218" s="728"/>
    </row>
    <row r="219" spans="1:14" s="26" customFormat="1" ht="21.75">
      <c r="A219" s="116"/>
      <c r="B219" s="204"/>
      <c r="C219" s="204"/>
      <c r="D219" s="191"/>
      <c r="E219" s="116"/>
      <c r="F219" s="758"/>
      <c r="G219" s="116"/>
      <c r="H219" s="758"/>
      <c r="I219" s="25"/>
      <c r="J219" s="728"/>
      <c r="K219" s="773"/>
      <c r="L219" s="773"/>
      <c r="M219" s="773"/>
      <c r="N219" s="728"/>
    </row>
    <row r="220" spans="1:14" s="26" customFormat="1" ht="21.75">
      <c r="A220" s="116"/>
      <c r="B220" s="204"/>
      <c r="C220" s="204"/>
      <c r="D220" s="191"/>
      <c r="E220" s="116"/>
      <c r="F220" s="758"/>
      <c r="G220" s="116"/>
      <c r="H220" s="758"/>
      <c r="I220" s="25"/>
      <c r="J220" s="728"/>
      <c r="K220" s="773"/>
      <c r="L220" s="773"/>
      <c r="M220" s="773"/>
      <c r="N220" s="728"/>
    </row>
    <row r="221" spans="1:14" s="26" customFormat="1" ht="21.75">
      <c r="A221" s="116"/>
      <c r="B221" s="204"/>
      <c r="C221" s="204"/>
      <c r="D221" s="191"/>
      <c r="E221" s="116"/>
      <c r="F221" s="758"/>
      <c r="G221" s="116"/>
      <c r="H221" s="758"/>
      <c r="I221" s="25"/>
      <c r="J221" s="728"/>
      <c r="K221" s="773"/>
      <c r="L221" s="773"/>
      <c r="M221" s="773"/>
      <c r="N221" s="728"/>
    </row>
    <row r="222" spans="1:14" s="26" customFormat="1" ht="21.75">
      <c r="A222" s="116"/>
      <c r="B222" s="204"/>
      <c r="C222" s="204"/>
      <c r="D222" s="191"/>
      <c r="E222" s="116"/>
      <c r="F222" s="758"/>
      <c r="G222" s="116"/>
      <c r="H222" s="758"/>
      <c r="I222" s="25"/>
      <c r="J222" s="728"/>
      <c r="K222" s="773"/>
      <c r="L222" s="773"/>
      <c r="M222" s="773"/>
      <c r="N222" s="728"/>
    </row>
    <row r="223" spans="1:14" s="26" customFormat="1" ht="21.75">
      <c r="A223" s="116"/>
      <c r="B223" s="204"/>
      <c r="C223" s="204"/>
      <c r="D223" s="191"/>
      <c r="E223" s="116"/>
      <c r="F223" s="758"/>
      <c r="G223" s="116"/>
      <c r="H223" s="758"/>
      <c r="I223" s="25"/>
      <c r="J223" s="728"/>
      <c r="K223" s="773"/>
      <c r="L223" s="773"/>
      <c r="M223" s="773"/>
      <c r="N223" s="728"/>
    </row>
    <row r="224" spans="1:14" s="26" customFormat="1" ht="21.75">
      <c r="A224" s="116"/>
      <c r="B224" s="204"/>
      <c r="C224" s="204"/>
      <c r="D224" s="191"/>
      <c r="E224" s="116"/>
      <c r="F224" s="758"/>
      <c r="G224" s="116"/>
      <c r="H224" s="758"/>
      <c r="I224" s="25"/>
      <c r="J224" s="728"/>
      <c r="K224" s="773"/>
      <c r="L224" s="773"/>
      <c r="M224" s="773"/>
      <c r="N224" s="728"/>
    </row>
    <row r="225" spans="1:14" s="26" customFormat="1" ht="21.75">
      <c r="A225" s="116"/>
      <c r="B225" s="204"/>
      <c r="C225" s="204"/>
      <c r="D225" s="191"/>
      <c r="E225" s="116"/>
      <c r="F225" s="758"/>
      <c r="G225" s="116"/>
      <c r="H225" s="758"/>
      <c r="I225" s="25"/>
      <c r="J225" s="728"/>
      <c r="K225" s="773"/>
      <c r="L225" s="773"/>
      <c r="M225" s="773"/>
      <c r="N225" s="728"/>
    </row>
    <row r="226" spans="1:14" s="26" customFormat="1" ht="21.75">
      <c r="A226" s="116"/>
      <c r="B226" s="204"/>
      <c r="C226" s="204"/>
      <c r="D226" s="191"/>
      <c r="E226" s="116"/>
      <c r="F226" s="758"/>
      <c r="G226" s="116"/>
      <c r="H226" s="758"/>
      <c r="I226" s="25"/>
      <c r="J226" s="728"/>
      <c r="K226" s="773"/>
      <c r="L226" s="773"/>
      <c r="M226" s="773"/>
      <c r="N226" s="728"/>
    </row>
    <row r="227" spans="1:14" s="26" customFormat="1" ht="21.75">
      <c r="A227" s="116"/>
      <c r="B227" s="204"/>
      <c r="C227" s="204"/>
      <c r="D227" s="191"/>
      <c r="E227" s="116"/>
      <c r="F227" s="758"/>
      <c r="G227" s="116"/>
      <c r="H227" s="758"/>
      <c r="I227" s="25"/>
      <c r="J227" s="728"/>
      <c r="K227" s="773"/>
      <c r="L227" s="773"/>
      <c r="M227" s="773"/>
      <c r="N227" s="728"/>
    </row>
    <row r="228" spans="1:14" s="26" customFormat="1" ht="21.75">
      <c r="A228" s="116"/>
      <c r="B228" s="204"/>
      <c r="C228" s="204"/>
      <c r="D228" s="191"/>
      <c r="E228" s="116"/>
      <c r="F228" s="758"/>
      <c r="G228" s="116"/>
      <c r="H228" s="758"/>
      <c r="I228" s="25"/>
      <c r="J228" s="728"/>
      <c r="K228" s="773"/>
      <c r="L228" s="773"/>
      <c r="M228" s="773"/>
      <c r="N228" s="728"/>
    </row>
    <row r="229" spans="1:14" s="26" customFormat="1" ht="21.75">
      <c r="A229" s="116"/>
      <c r="B229" s="204"/>
      <c r="C229" s="204"/>
      <c r="D229" s="191"/>
      <c r="E229" s="116"/>
      <c r="F229" s="758"/>
      <c r="G229" s="116"/>
      <c r="H229" s="758"/>
      <c r="I229" s="25"/>
      <c r="J229" s="728"/>
      <c r="K229" s="773"/>
      <c r="L229" s="773"/>
      <c r="M229" s="773"/>
      <c r="N229" s="728"/>
    </row>
    <row r="230" spans="1:14" s="26" customFormat="1" ht="21.75">
      <c r="A230" s="116"/>
      <c r="B230" s="204"/>
      <c r="C230" s="204"/>
      <c r="D230" s="191"/>
      <c r="E230" s="116"/>
      <c r="F230" s="758"/>
      <c r="G230" s="116"/>
      <c r="H230" s="758"/>
      <c r="I230" s="25"/>
      <c r="J230" s="728"/>
      <c r="K230" s="773"/>
      <c r="L230" s="773"/>
      <c r="M230" s="773"/>
      <c r="N230" s="728"/>
    </row>
    <row r="231" spans="1:14" s="26" customFormat="1" ht="21.75">
      <c r="A231" s="116"/>
      <c r="B231" s="204"/>
      <c r="C231" s="204"/>
      <c r="D231" s="191"/>
      <c r="E231" s="116"/>
      <c r="F231" s="758"/>
      <c r="G231" s="116"/>
      <c r="H231" s="758"/>
      <c r="I231" s="25"/>
      <c r="J231" s="728"/>
      <c r="K231" s="773"/>
      <c r="L231" s="773"/>
      <c r="M231" s="773"/>
      <c r="N231" s="728"/>
    </row>
    <row r="232" spans="1:14" s="26" customFormat="1" ht="21.75">
      <c r="A232" s="116"/>
      <c r="B232" s="204"/>
      <c r="C232" s="204"/>
      <c r="D232" s="191"/>
      <c r="E232" s="116"/>
      <c r="F232" s="758"/>
      <c r="G232" s="116"/>
      <c r="H232" s="758"/>
      <c r="I232" s="25"/>
      <c r="J232" s="728"/>
      <c r="K232" s="773"/>
      <c r="L232" s="773"/>
      <c r="M232" s="773"/>
      <c r="N232" s="728"/>
    </row>
  </sheetData>
  <sheetProtection/>
  <mergeCells count="7">
    <mergeCell ref="M2:N2"/>
    <mergeCell ref="L2:L3"/>
    <mergeCell ref="A2:A3"/>
    <mergeCell ref="E2:F2"/>
    <mergeCell ref="I2:J2"/>
    <mergeCell ref="K2:K3"/>
    <mergeCell ref="G2:H2"/>
  </mergeCells>
  <printOptions/>
  <pageMargins left="0.18" right="0.16" top="0.29" bottom="0.36" header="0.25" footer="0.27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P979"/>
  <sheetViews>
    <sheetView zoomScalePageLayoutView="0" workbookViewId="0" topLeftCell="A5">
      <selection activeCell="Y20" sqref="Y20"/>
    </sheetView>
  </sheetViews>
  <sheetFormatPr defaultColWidth="9.140625" defaultRowHeight="12.75"/>
  <cols>
    <col min="1" max="1" width="13.7109375" style="65" customWidth="1"/>
    <col min="2" max="2" width="4.421875" style="70" customWidth="1"/>
    <col min="3" max="3" width="9.28125" style="345" bestFit="1" customWidth="1"/>
    <col min="4" max="4" width="5.140625" style="55" customWidth="1"/>
    <col min="5" max="5" width="6.57421875" style="324" customWidth="1"/>
    <col min="6" max="6" width="4.7109375" style="133" customWidth="1"/>
    <col min="7" max="7" width="6.28125" style="324" customWidth="1"/>
    <col min="8" max="8" width="4.8515625" style="133" customWidth="1"/>
    <col min="9" max="9" width="6.57421875" style="324" customWidth="1"/>
    <col min="10" max="10" width="4.421875" style="133" customWidth="1"/>
    <col min="11" max="11" width="6.421875" style="324" customWidth="1"/>
    <col min="12" max="12" width="5.00390625" style="133" customWidth="1"/>
    <col min="13" max="13" width="6.28125" style="324" customWidth="1"/>
    <col min="14" max="14" width="4.7109375" style="134" customWidth="1"/>
    <col min="15" max="15" width="8.421875" style="346" customWidth="1"/>
    <col min="16" max="16" width="5.421875" style="65" customWidth="1"/>
    <col min="17" max="17" width="8.28125" style="709" bestFit="1" customWidth="1"/>
    <col min="18" max="18" width="5.57421875" style="65" customWidth="1"/>
    <col min="19" max="19" width="6.7109375" style="346" customWidth="1"/>
    <col min="20" max="20" width="4.421875" style="65" customWidth="1"/>
    <col min="21" max="21" width="8.140625" style="346" customWidth="1"/>
    <col min="22" max="22" width="5.00390625" style="134" customWidth="1"/>
    <col min="23" max="23" width="9.57421875" style="1034" customWidth="1"/>
    <col min="24" max="24" width="5.7109375" style="65" customWidth="1"/>
    <col min="25" max="25" width="8.8515625" style="65" customWidth="1"/>
    <col min="26" max="26" width="4.421875" style="134" customWidth="1"/>
    <col min="27" max="27" width="9.140625" style="133" customWidth="1"/>
    <col min="28" max="28" width="4.7109375" style="133" customWidth="1"/>
    <col min="29" max="29" width="8.421875" style="133" customWidth="1"/>
    <col min="30" max="30" width="4.140625" style="134" customWidth="1"/>
    <col min="31" max="31" width="7.421875" style="65" customWidth="1"/>
    <col min="32" max="32" width="4.00390625" style="65" customWidth="1"/>
    <col min="33" max="33" width="6.57421875" style="65" customWidth="1"/>
    <col min="34" max="34" width="4.140625" style="134" customWidth="1"/>
    <col min="35" max="35" width="6.8515625" style="65" customWidth="1"/>
    <col min="36" max="36" width="5.8515625" style="134" customWidth="1"/>
    <col min="37" max="37" width="8.421875" style="65" customWidth="1"/>
    <col min="38" max="38" width="5.28125" style="65" customWidth="1"/>
    <col min="39" max="39" width="9.7109375" style="83" customWidth="1"/>
    <col min="40" max="40" width="11.00390625" style="0" customWidth="1"/>
    <col min="41" max="41" width="10.8515625" style="134" customWidth="1"/>
    <col min="42" max="42" width="10.28125" style="65" customWidth="1"/>
    <col min="43" max="16384" width="9.140625" style="65" customWidth="1"/>
  </cols>
  <sheetData>
    <row r="1" spans="1:42" s="56" customFormat="1" ht="23.25" customHeight="1">
      <c r="A1" s="176" t="s">
        <v>318</v>
      </c>
      <c r="B1" s="195"/>
      <c r="C1" s="337"/>
      <c r="D1" s="55"/>
      <c r="E1" s="324"/>
      <c r="F1" s="133"/>
      <c r="G1" s="324"/>
      <c r="H1" s="133"/>
      <c r="I1" s="324"/>
      <c r="J1" s="133"/>
      <c r="K1" s="324"/>
      <c r="L1" s="133"/>
      <c r="M1" s="324"/>
      <c r="N1" s="134"/>
      <c r="O1" s="324"/>
      <c r="P1" s="133"/>
      <c r="Q1" s="709"/>
      <c r="R1" s="133"/>
      <c r="S1" s="324"/>
      <c r="T1" s="133"/>
      <c r="U1" s="324"/>
      <c r="V1" s="134"/>
      <c r="W1" s="1034"/>
      <c r="X1" s="133"/>
      <c r="Y1" s="133"/>
      <c r="AD1" s="134"/>
      <c r="AF1" s="71"/>
      <c r="AG1" s="71" t="s">
        <v>134</v>
      </c>
      <c r="AJ1" s="134"/>
      <c r="AK1" s="65"/>
      <c r="AL1" s="65"/>
      <c r="AM1" s="69"/>
      <c r="AO1" s="134"/>
      <c r="AP1" s="65"/>
    </row>
    <row r="2" spans="1:42" s="56" customFormat="1" ht="34.5" customHeight="1" thickBot="1">
      <c r="A2" s="225" t="s">
        <v>162</v>
      </c>
      <c r="B2" s="196"/>
      <c r="C2" s="338"/>
      <c r="D2"/>
      <c r="E2" s="293"/>
      <c r="F2"/>
      <c r="G2" s="293"/>
      <c r="H2"/>
      <c r="I2" s="293"/>
      <c r="J2"/>
      <c r="K2" s="293"/>
      <c r="L2"/>
      <c r="M2" s="293"/>
      <c r="N2"/>
      <c r="O2" s="293"/>
      <c r="P2"/>
      <c r="Q2" s="1025"/>
      <c r="R2"/>
      <c r="S2" s="293"/>
      <c r="T2"/>
      <c r="U2" s="293"/>
      <c r="V2"/>
      <c r="W2" s="1035" t="s">
        <v>95</v>
      </c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 s="65"/>
      <c r="AM2" s="69"/>
      <c r="AO2" s="134"/>
      <c r="AP2" s="65"/>
    </row>
    <row r="3" spans="1:29" s="56" customFormat="1" ht="71.25" customHeight="1">
      <c r="A3" s="1185" t="s">
        <v>1</v>
      </c>
      <c r="B3" s="1235" t="s">
        <v>66</v>
      </c>
      <c r="C3" s="1235"/>
      <c r="D3" s="1235" t="s">
        <v>78</v>
      </c>
      <c r="E3" s="1235"/>
      <c r="F3" s="1235" t="s">
        <v>68</v>
      </c>
      <c r="G3" s="1235"/>
      <c r="H3" s="1235" t="s">
        <v>79</v>
      </c>
      <c r="I3" s="1235"/>
      <c r="J3" s="1235" t="s">
        <v>144</v>
      </c>
      <c r="K3" s="1235"/>
      <c r="L3" s="1236" t="s">
        <v>72</v>
      </c>
      <c r="M3" s="1236"/>
      <c r="N3" s="1236" t="s">
        <v>73</v>
      </c>
      <c r="O3" s="1236"/>
      <c r="P3" s="1235" t="s">
        <v>74</v>
      </c>
      <c r="Q3" s="1235"/>
      <c r="R3" s="1236" t="s">
        <v>76</v>
      </c>
      <c r="S3" s="1236"/>
      <c r="T3" s="1236" t="s">
        <v>87</v>
      </c>
      <c r="U3" s="1236"/>
      <c r="V3" s="1237" t="s">
        <v>61</v>
      </c>
      <c r="W3" s="1237"/>
      <c r="X3" s="65"/>
      <c r="Y3" s="69"/>
      <c r="Z3"/>
      <c r="AA3"/>
      <c r="AB3"/>
      <c r="AC3"/>
    </row>
    <row r="4" spans="1:29" s="207" customFormat="1" ht="19.5" customHeight="1" thickBot="1">
      <c r="A4" s="1186"/>
      <c r="B4" s="205" t="s">
        <v>10</v>
      </c>
      <c r="C4" s="339" t="s">
        <v>9</v>
      </c>
      <c r="D4" s="205" t="s">
        <v>10</v>
      </c>
      <c r="E4" s="339" t="s">
        <v>9</v>
      </c>
      <c r="F4" s="205" t="s">
        <v>10</v>
      </c>
      <c r="G4" s="339" t="s">
        <v>9</v>
      </c>
      <c r="H4" s="205" t="s">
        <v>10</v>
      </c>
      <c r="I4" s="339" t="s">
        <v>9</v>
      </c>
      <c r="J4" s="205" t="s">
        <v>10</v>
      </c>
      <c r="K4" s="339" t="s">
        <v>9</v>
      </c>
      <c r="L4" s="206" t="s">
        <v>10</v>
      </c>
      <c r="M4" s="339" t="s">
        <v>9</v>
      </c>
      <c r="N4" s="206" t="s">
        <v>10</v>
      </c>
      <c r="O4" s="339" t="s">
        <v>9</v>
      </c>
      <c r="P4" s="206" t="s">
        <v>10</v>
      </c>
      <c r="Q4" s="1026" t="s">
        <v>9</v>
      </c>
      <c r="R4" s="206" t="s">
        <v>10</v>
      </c>
      <c r="S4" s="339" t="s">
        <v>9</v>
      </c>
      <c r="T4" s="206" t="s">
        <v>10</v>
      </c>
      <c r="U4" s="339" t="s">
        <v>9</v>
      </c>
      <c r="V4" s="206" t="s">
        <v>10</v>
      </c>
      <c r="W4" s="1036" t="s">
        <v>9</v>
      </c>
      <c r="Y4" s="208"/>
      <c r="Z4"/>
      <c r="AA4"/>
      <c r="AB4"/>
      <c r="AC4"/>
    </row>
    <row r="5" spans="1:29" s="56" customFormat="1" ht="22.5" customHeight="1">
      <c r="A5" s="72" t="s">
        <v>80</v>
      </c>
      <c r="B5" s="57"/>
      <c r="C5" s="340"/>
      <c r="D5" s="58"/>
      <c r="E5" s="317"/>
      <c r="F5" s="59"/>
      <c r="G5" s="317"/>
      <c r="H5" s="59"/>
      <c r="I5" s="317"/>
      <c r="J5" s="59"/>
      <c r="K5" s="317"/>
      <c r="L5" s="60"/>
      <c r="M5" s="317"/>
      <c r="N5" s="59"/>
      <c r="O5" s="317"/>
      <c r="P5" s="60"/>
      <c r="Q5" s="1027"/>
      <c r="R5" s="59"/>
      <c r="S5" s="317"/>
      <c r="T5" s="60"/>
      <c r="U5" s="317"/>
      <c r="V5" s="60"/>
      <c r="W5" s="1037"/>
      <c r="X5" s="65"/>
      <c r="Y5" s="69"/>
      <c r="Z5"/>
      <c r="AA5"/>
      <c r="AB5"/>
      <c r="AC5"/>
    </row>
    <row r="6" spans="1:29" s="135" customFormat="1" ht="21" customHeight="1">
      <c r="A6" s="106" t="s">
        <v>82</v>
      </c>
      <c r="B6" s="1129"/>
      <c r="C6" s="1024">
        <v>92.4</v>
      </c>
      <c r="D6" s="1129"/>
      <c r="E6" s="1016"/>
      <c r="F6" s="1017"/>
      <c r="G6" s="1016">
        <v>92.2</v>
      </c>
      <c r="H6" s="1015"/>
      <c r="I6" s="1016"/>
      <c r="J6" s="1015"/>
      <c r="K6" s="1016"/>
      <c r="L6" s="1015"/>
      <c r="M6" s="1016"/>
      <c r="N6" s="1017"/>
      <c r="O6" s="1016"/>
      <c r="P6" s="1015"/>
      <c r="Q6" s="1024"/>
      <c r="R6" s="1017"/>
      <c r="S6" s="1016"/>
      <c r="T6" s="1015"/>
      <c r="U6" s="1016"/>
      <c r="V6" s="1130">
        <f aca="true" t="shared" si="0" ref="V6:W8">B6+D6+F6+H6+J6+L6+N6+P6+R6+T6</f>
        <v>0</v>
      </c>
      <c r="W6" s="1131">
        <f t="shared" si="0"/>
        <v>184.60000000000002</v>
      </c>
      <c r="Z6"/>
      <c r="AA6"/>
      <c r="AB6"/>
      <c r="AC6"/>
    </row>
    <row r="7" spans="1:29" s="135" customFormat="1" ht="21" customHeight="1">
      <c r="A7" s="106" t="s">
        <v>83</v>
      </c>
      <c r="B7" s="1129"/>
      <c r="C7" s="1024">
        <v>114</v>
      </c>
      <c r="D7" s="1015"/>
      <c r="E7" s="1016"/>
      <c r="F7" s="1015"/>
      <c r="G7" s="1016"/>
      <c r="H7" s="1017"/>
      <c r="I7" s="1016">
        <v>116.3</v>
      </c>
      <c r="J7" s="1015"/>
      <c r="K7" s="1016">
        <v>54.7</v>
      </c>
      <c r="L7" s="1015"/>
      <c r="M7" s="1016">
        <v>206.9</v>
      </c>
      <c r="N7" s="1015"/>
      <c r="O7" s="1016"/>
      <c r="P7" s="1015"/>
      <c r="Q7" s="1024"/>
      <c r="R7" s="1015"/>
      <c r="S7" s="1016"/>
      <c r="T7" s="1015"/>
      <c r="U7" s="1016">
        <v>146.4</v>
      </c>
      <c r="V7" s="1130">
        <f t="shared" si="0"/>
        <v>0</v>
      </c>
      <c r="W7" s="1131">
        <f t="shared" si="0"/>
        <v>638.3</v>
      </c>
      <c r="Z7"/>
      <c r="AA7"/>
      <c r="AB7"/>
      <c r="AC7"/>
    </row>
    <row r="8" spans="1:29" s="56" customFormat="1" ht="22.5" customHeight="1" thickBot="1">
      <c r="A8" s="147" t="s">
        <v>133</v>
      </c>
      <c r="B8" s="1135"/>
      <c r="C8" s="1136"/>
      <c r="D8" s="1135"/>
      <c r="E8" s="1137"/>
      <c r="F8" s="1135"/>
      <c r="G8" s="1136"/>
      <c r="H8" s="1135"/>
      <c r="I8" s="1136"/>
      <c r="J8" s="1135"/>
      <c r="K8" s="1136"/>
      <c r="L8" s="1135"/>
      <c r="M8" s="1136"/>
      <c r="N8" s="1135"/>
      <c r="O8" s="1136"/>
      <c r="P8" s="1135"/>
      <c r="Q8" s="1138"/>
      <c r="R8" s="1135"/>
      <c r="S8" s="1136"/>
      <c r="T8" s="1135"/>
      <c r="U8" s="1136"/>
      <c r="V8" s="1139">
        <f t="shared" si="0"/>
        <v>0</v>
      </c>
      <c r="W8" s="1140">
        <f t="shared" si="0"/>
        <v>0</v>
      </c>
      <c r="X8" s="65"/>
      <c r="Y8" s="69"/>
      <c r="Z8"/>
      <c r="AA8"/>
      <c r="AB8"/>
      <c r="AC8"/>
    </row>
    <row r="9" spans="1:29" s="56" customFormat="1" ht="23.25" customHeight="1" thickBot="1">
      <c r="A9" s="87" t="s">
        <v>61</v>
      </c>
      <c r="B9" s="1128">
        <f>SUM(B6:B8)</f>
        <v>0</v>
      </c>
      <c r="C9" s="1028">
        <f>SUM(C6:C8)</f>
        <v>206.4</v>
      </c>
      <c r="D9" s="145"/>
      <c r="E9" s="341"/>
      <c r="F9" s="1128">
        <f aca="true" t="shared" si="1" ref="F9:K9">SUM(F6:F8)</f>
        <v>0</v>
      </c>
      <c r="G9" s="341">
        <f t="shared" si="1"/>
        <v>92.2</v>
      </c>
      <c r="H9" s="1128">
        <f t="shared" si="1"/>
        <v>0</v>
      </c>
      <c r="I9" s="341">
        <f t="shared" si="1"/>
        <v>116.3</v>
      </c>
      <c r="J9" s="1128">
        <f t="shared" si="1"/>
        <v>0</v>
      </c>
      <c r="K9" s="341">
        <f t="shared" si="1"/>
        <v>54.7</v>
      </c>
      <c r="L9" s="1128">
        <f>SUM(L6:L8)</f>
        <v>0</v>
      </c>
      <c r="M9" s="341">
        <f>SUM(M6:M8)</f>
        <v>206.9</v>
      </c>
      <c r="N9" s="1128">
        <f>SUM(N6:N8)</f>
        <v>0</v>
      </c>
      <c r="O9" s="341"/>
      <c r="P9" s="1128">
        <f>SUM(P6:P8)</f>
        <v>0</v>
      </c>
      <c r="Q9" s="341"/>
      <c r="R9" s="145"/>
      <c r="S9" s="341"/>
      <c r="T9" s="145"/>
      <c r="U9" s="1028">
        <f>SUM(U6:U8)</f>
        <v>146.4</v>
      </c>
      <c r="V9" s="1128">
        <f>SUM(V6:V8)</f>
        <v>0</v>
      </c>
      <c r="W9" s="1038">
        <f>SUM(W6:W8)</f>
        <v>822.9</v>
      </c>
      <c r="X9" s="65"/>
      <c r="Y9" s="69"/>
      <c r="Z9"/>
      <c r="AA9"/>
      <c r="AB9"/>
      <c r="AC9"/>
    </row>
    <row r="10" spans="1:29" s="56" customFormat="1" ht="23.25" customHeight="1">
      <c r="A10" s="85"/>
      <c r="B10" s="106"/>
      <c r="C10" s="670"/>
      <c r="D10" s="106"/>
      <c r="E10" s="670"/>
      <c r="F10" s="106"/>
      <c r="G10" s="670"/>
      <c r="H10" s="106"/>
      <c r="I10" s="670"/>
      <c r="J10" s="106"/>
      <c r="K10" s="670"/>
      <c r="L10" s="106"/>
      <c r="M10" s="670"/>
      <c r="N10" s="106"/>
      <c r="O10" s="670"/>
      <c r="P10" s="106"/>
      <c r="Q10" s="1029"/>
      <c r="R10" s="106"/>
      <c r="S10" s="670"/>
      <c r="T10" s="106"/>
      <c r="U10" s="670"/>
      <c r="V10" s="106"/>
      <c r="W10" s="428"/>
      <c r="X10" s="65"/>
      <c r="Y10" s="69"/>
      <c r="Z10"/>
      <c r="AA10"/>
      <c r="AB10"/>
      <c r="AC10"/>
    </row>
    <row r="11" spans="1:38" s="56" customFormat="1" ht="27" customHeight="1" thickBot="1">
      <c r="A11" s="226" t="s">
        <v>163</v>
      </c>
      <c r="B11" s="95"/>
      <c r="C11" s="342"/>
      <c r="D11" s="55"/>
      <c r="E11" s="324"/>
      <c r="F11" s="133"/>
      <c r="G11" s="324"/>
      <c r="H11" s="133"/>
      <c r="I11" s="324"/>
      <c r="J11" s="133"/>
      <c r="K11" s="324"/>
      <c r="L11" s="65"/>
      <c r="M11" s="346"/>
      <c r="N11" s="65"/>
      <c r="O11" s="346"/>
      <c r="P11" s="65"/>
      <c r="Q11" s="709"/>
      <c r="R11" s="65"/>
      <c r="S11" s="346"/>
      <c r="T11" s="134"/>
      <c r="U11"/>
      <c r="V11" s="134"/>
      <c r="W11" s="1035" t="s">
        <v>95</v>
      </c>
      <c r="X11" s="133"/>
      <c r="Y11" s="133"/>
      <c r="Z11" s="134"/>
      <c r="AA11" s="65"/>
      <c r="AB11" s="65"/>
      <c r="AC11" s="65"/>
      <c r="AD11" s="134"/>
      <c r="AE11" s="65"/>
      <c r="AF11" s="134"/>
      <c r="AG11" s="65"/>
      <c r="AH11" s="65"/>
      <c r="AI11" s="69"/>
      <c r="AK11" s="134"/>
      <c r="AL11" s="65"/>
    </row>
    <row r="12" spans="1:28" s="56" customFormat="1" ht="67.5" customHeight="1">
      <c r="A12" s="1185" t="s">
        <v>1</v>
      </c>
      <c r="B12" s="1235" t="s">
        <v>66</v>
      </c>
      <c r="C12" s="1235"/>
      <c r="D12" s="1235" t="s">
        <v>78</v>
      </c>
      <c r="E12" s="1235"/>
      <c r="F12" s="1235" t="s">
        <v>68</v>
      </c>
      <c r="G12" s="1235"/>
      <c r="H12" s="1235" t="s">
        <v>79</v>
      </c>
      <c r="I12" s="1235"/>
      <c r="J12" s="1235" t="s">
        <v>144</v>
      </c>
      <c r="K12" s="1235"/>
      <c r="L12" s="1236" t="s">
        <v>72</v>
      </c>
      <c r="M12" s="1236"/>
      <c r="N12" s="1235" t="s">
        <v>73</v>
      </c>
      <c r="O12" s="1235"/>
      <c r="P12" s="1235" t="s">
        <v>74</v>
      </c>
      <c r="Q12" s="1235"/>
      <c r="R12" s="1236" t="s">
        <v>76</v>
      </c>
      <c r="S12" s="1236"/>
      <c r="T12" s="1236" t="s">
        <v>87</v>
      </c>
      <c r="U12" s="1236"/>
      <c r="V12" s="1237" t="s">
        <v>61</v>
      </c>
      <c r="W12" s="1237"/>
      <c r="X12" s="65"/>
      <c r="Y12" s="69"/>
      <c r="AA12" s="134"/>
      <c r="AB12" s="65"/>
    </row>
    <row r="13" spans="1:27" s="207" customFormat="1" ht="27" customHeight="1" thickBot="1">
      <c r="A13" s="1186"/>
      <c r="B13" s="205" t="s">
        <v>10</v>
      </c>
      <c r="C13" s="339" t="s">
        <v>9</v>
      </c>
      <c r="D13" s="205" t="s">
        <v>10</v>
      </c>
      <c r="E13" s="339" t="s">
        <v>9</v>
      </c>
      <c r="F13" s="205" t="s">
        <v>10</v>
      </c>
      <c r="G13" s="339" t="s">
        <v>9</v>
      </c>
      <c r="H13" s="205" t="s">
        <v>10</v>
      </c>
      <c r="I13" s="339" t="s">
        <v>9</v>
      </c>
      <c r="J13" s="205" t="s">
        <v>10</v>
      </c>
      <c r="K13" s="339" t="s">
        <v>9</v>
      </c>
      <c r="L13" s="205" t="s">
        <v>10</v>
      </c>
      <c r="M13" s="339" t="s">
        <v>9</v>
      </c>
      <c r="N13" s="206" t="s">
        <v>10</v>
      </c>
      <c r="O13" s="339" t="s">
        <v>9</v>
      </c>
      <c r="P13" s="206" t="s">
        <v>10</v>
      </c>
      <c r="Q13" s="1026" t="s">
        <v>9</v>
      </c>
      <c r="R13" s="206" t="s">
        <v>10</v>
      </c>
      <c r="S13" s="339" t="s">
        <v>9</v>
      </c>
      <c r="T13" s="206" t="s">
        <v>10</v>
      </c>
      <c r="U13" s="339" t="s">
        <v>9</v>
      </c>
      <c r="V13" s="206" t="s">
        <v>10</v>
      </c>
      <c r="W13" s="1036" t="s">
        <v>9</v>
      </c>
      <c r="Y13" s="208"/>
      <c r="AA13" s="209"/>
    </row>
    <row r="14" spans="1:26" s="56" customFormat="1" ht="21" customHeight="1">
      <c r="A14" s="72" t="s">
        <v>80</v>
      </c>
      <c r="B14" s="57"/>
      <c r="C14" s="340"/>
      <c r="D14" s="58"/>
      <c r="E14" s="317"/>
      <c r="F14" s="59"/>
      <c r="G14" s="317"/>
      <c r="H14" s="59"/>
      <c r="I14" s="317"/>
      <c r="J14" s="59"/>
      <c r="K14" s="317"/>
      <c r="L14" s="59"/>
      <c r="M14" s="317"/>
      <c r="N14" s="60"/>
      <c r="O14" s="317"/>
      <c r="P14" s="60"/>
      <c r="Q14" s="1027"/>
      <c r="R14" s="59"/>
      <c r="S14" s="317"/>
      <c r="T14" s="60"/>
      <c r="U14" s="317"/>
      <c r="V14" s="65"/>
      <c r="W14" s="427"/>
      <c r="Y14" s="134"/>
      <c r="Z14" s="65"/>
    </row>
    <row r="15" spans="1:27" s="56" customFormat="1" ht="19.5" customHeight="1">
      <c r="A15" s="72" t="s">
        <v>81</v>
      </c>
      <c r="B15" s="1018"/>
      <c r="C15" s="1019"/>
      <c r="D15" s="1018"/>
      <c r="E15" s="1019"/>
      <c r="F15" s="1018"/>
      <c r="G15" s="1019"/>
      <c r="H15" s="1018"/>
      <c r="I15" s="1019"/>
      <c r="J15" s="1018"/>
      <c r="K15" s="1019"/>
      <c r="L15" s="1018"/>
      <c r="M15" s="1019"/>
      <c r="N15" s="1018"/>
      <c r="O15" s="1019"/>
      <c r="P15" s="1020"/>
      <c r="Q15" s="1030"/>
      <c r="R15" s="1018">
        <v>6</v>
      </c>
      <c r="S15" s="1019">
        <v>280.8</v>
      </c>
      <c r="T15" s="1018"/>
      <c r="U15" s="1019"/>
      <c r="V15" s="397">
        <f aca="true" t="shared" si="2" ref="V15:W18">B15+D15+F15+H15+J15+L15+N15+P15+R15+T15</f>
        <v>6</v>
      </c>
      <c r="W15" s="1132">
        <f t="shared" si="2"/>
        <v>280.8</v>
      </c>
      <c r="X15" s="90"/>
      <c r="Y15" s="212"/>
      <c r="Z15" s="150"/>
      <c r="AA15" s="151"/>
    </row>
    <row r="16" spans="1:27" s="56" customFormat="1" ht="19.5" customHeight="1">
      <c r="A16" s="72" t="s">
        <v>82</v>
      </c>
      <c r="B16" s="1018"/>
      <c r="C16" s="1019"/>
      <c r="D16" s="1018"/>
      <c r="E16" s="1019"/>
      <c r="F16" s="1018"/>
      <c r="G16" s="1019"/>
      <c r="H16" s="1018"/>
      <c r="I16" s="1019"/>
      <c r="J16" s="1018"/>
      <c r="K16" s="1019"/>
      <c r="L16" s="1018"/>
      <c r="M16" s="1019"/>
      <c r="N16" s="1018"/>
      <c r="O16" s="1019"/>
      <c r="P16" s="1020"/>
      <c r="Q16" s="1030"/>
      <c r="R16" s="1018">
        <v>6</v>
      </c>
      <c r="S16" s="1019">
        <v>282</v>
      </c>
      <c r="T16" s="1018"/>
      <c r="U16" s="1019"/>
      <c r="V16" s="397">
        <f t="shared" si="2"/>
        <v>6</v>
      </c>
      <c r="W16" s="1132">
        <f t="shared" si="2"/>
        <v>282</v>
      </c>
      <c r="X16" s="90"/>
      <c r="Y16" s="212"/>
      <c r="Z16" s="150"/>
      <c r="AA16" s="151"/>
    </row>
    <row r="17" spans="1:27" s="56" customFormat="1" ht="19.5" customHeight="1">
      <c r="A17" s="72" t="s">
        <v>83</v>
      </c>
      <c r="B17" s="1018"/>
      <c r="C17" s="1019"/>
      <c r="D17" s="1018"/>
      <c r="E17" s="1019"/>
      <c r="F17" s="1018"/>
      <c r="G17" s="1019"/>
      <c r="H17" s="1018"/>
      <c r="I17" s="1019"/>
      <c r="J17" s="1018"/>
      <c r="K17" s="1019"/>
      <c r="L17" s="1018"/>
      <c r="M17" s="1019"/>
      <c r="N17" s="1018"/>
      <c r="O17" s="1019"/>
      <c r="P17" s="1020"/>
      <c r="Q17" s="1030"/>
      <c r="R17" s="1018">
        <v>7</v>
      </c>
      <c r="S17" s="1019">
        <v>326.3</v>
      </c>
      <c r="T17" s="1018"/>
      <c r="U17" s="1019"/>
      <c r="V17" s="397">
        <f t="shared" si="2"/>
        <v>7</v>
      </c>
      <c r="W17" s="1132">
        <f t="shared" si="2"/>
        <v>326.3</v>
      </c>
      <c r="X17" s="90"/>
      <c r="Y17" s="212"/>
      <c r="Z17" s="150"/>
      <c r="AA17" s="151"/>
    </row>
    <row r="18" spans="1:25" s="228" customFormat="1" ht="19.5" customHeight="1">
      <c r="A18" s="162" t="s">
        <v>84</v>
      </c>
      <c r="B18" s="1021"/>
      <c r="C18" s="1022"/>
      <c r="D18" s="1021"/>
      <c r="E18" s="1022"/>
      <c r="F18" s="1021"/>
      <c r="G18" s="1022"/>
      <c r="H18" s="1021"/>
      <c r="I18" s="1022"/>
      <c r="J18" s="1021"/>
      <c r="K18" s="1022"/>
      <c r="L18" s="1021"/>
      <c r="M18" s="1022"/>
      <c r="N18" s="1021"/>
      <c r="O18" s="1022"/>
      <c r="P18" s="1023"/>
      <c r="Q18" s="1033"/>
      <c r="R18" s="1021">
        <v>2</v>
      </c>
      <c r="S18" s="1022">
        <v>104.7</v>
      </c>
      <c r="T18" s="1021"/>
      <c r="U18" s="1022"/>
      <c r="V18" s="397">
        <f t="shared" si="2"/>
        <v>2</v>
      </c>
      <c r="W18" s="1132">
        <f t="shared" si="2"/>
        <v>104.7</v>
      </c>
      <c r="Y18" s="18"/>
    </row>
    <row r="19" spans="1:29" s="56" customFormat="1" ht="22.5" customHeight="1" thickBot="1">
      <c r="A19" s="147" t="s">
        <v>133</v>
      </c>
      <c r="B19" s="211"/>
      <c r="C19" s="343"/>
      <c r="D19" s="211"/>
      <c r="E19" s="343"/>
      <c r="F19" s="211"/>
      <c r="G19" s="343"/>
      <c r="H19" s="211"/>
      <c r="I19" s="343"/>
      <c r="J19" s="211"/>
      <c r="K19" s="343"/>
      <c r="L19" s="211"/>
      <c r="M19" s="343"/>
      <c r="N19" s="211"/>
      <c r="O19" s="343"/>
      <c r="P19" s="211"/>
      <c r="Q19" s="1031"/>
      <c r="R19" s="211"/>
      <c r="S19" s="343"/>
      <c r="T19" s="211"/>
      <c r="U19" s="343"/>
      <c r="V19" s="1141"/>
      <c r="W19" s="1142"/>
      <c r="X19" s="65"/>
      <c r="Y19" s="69"/>
      <c r="Z19"/>
      <c r="AA19"/>
      <c r="AB19"/>
      <c r="AC19"/>
    </row>
    <row r="20" spans="1:26" s="159" customFormat="1" ht="23.25" customHeight="1" thickBot="1">
      <c r="A20" s="210" t="s">
        <v>61</v>
      </c>
      <c r="B20" s="230">
        <f aca="true" t="shared" si="3" ref="B20:U20">SUM(B14:B19)</f>
        <v>0</v>
      </c>
      <c r="C20" s="230">
        <f t="shared" si="3"/>
        <v>0</v>
      </c>
      <c r="D20" s="230">
        <f t="shared" si="3"/>
        <v>0</v>
      </c>
      <c r="E20" s="230">
        <f t="shared" si="3"/>
        <v>0</v>
      </c>
      <c r="F20" s="230">
        <f t="shared" si="3"/>
        <v>0</v>
      </c>
      <c r="G20" s="230">
        <f t="shared" si="3"/>
        <v>0</v>
      </c>
      <c r="H20" s="230">
        <f t="shared" si="3"/>
        <v>0</v>
      </c>
      <c r="I20" s="230">
        <f t="shared" si="3"/>
        <v>0</v>
      </c>
      <c r="J20" s="230">
        <f t="shared" si="3"/>
        <v>0</v>
      </c>
      <c r="K20" s="230">
        <f t="shared" si="3"/>
        <v>0</v>
      </c>
      <c r="L20" s="230">
        <f t="shared" si="3"/>
        <v>0</v>
      </c>
      <c r="M20" s="230">
        <f t="shared" si="3"/>
        <v>0</v>
      </c>
      <c r="N20" s="230">
        <f t="shared" si="3"/>
        <v>0</v>
      </c>
      <c r="O20" s="230">
        <f t="shared" si="3"/>
        <v>0</v>
      </c>
      <c r="P20" s="230">
        <f t="shared" si="3"/>
        <v>0</v>
      </c>
      <c r="Q20" s="1032">
        <f t="shared" si="3"/>
        <v>0</v>
      </c>
      <c r="R20" s="230">
        <f t="shared" si="3"/>
        <v>21</v>
      </c>
      <c r="S20" s="1133">
        <f t="shared" si="3"/>
        <v>993.8</v>
      </c>
      <c r="T20" s="230">
        <f t="shared" si="3"/>
        <v>0</v>
      </c>
      <c r="U20" s="230">
        <f t="shared" si="3"/>
        <v>0</v>
      </c>
      <c r="V20" s="230">
        <f>SUM(V15:V18)</f>
        <v>21</v>
      </c>
      <c r="W20" s="1032">
        <f>SUM(W15:W18)</f>
        <v>993.8</v>
      </c>
      <c r="X20" s="42"/>
      <c r="Y20" s="42"/>
      <c r="Z20" s="42"/>
    </row>
    <row r="21" spans="2:23" ht="24" customHeight="1">
      <c r="B21" s="83"/>
      <c r="C21" s="344"/>
      <c r="E21" s="293"/>
      <c r="G21" s="293"/>
      <c r="I21" s="293"/>
      <c r="K21" s="293"/>
      <c r="M21" s="293"/>
      <c r="O21" s="293"/>
      <c r="Q21" s="1025"/>
      <c r="S21" s="293"/>
      <c r="U21" s="293"/>
      <c r="W21" s="1039"/>
    </row>
    <row r="22" spans="2:23" ht="15">
      <c r="B22" s="83"/>
      <c r="C22" s="344"/>
      <c r="E22" s="293"/>
      <c r="G22" s="293"/>
      <c r="I22" s="293"/>
      <c r="K22" s="293"/>
      <c r="M22" s="293"/>
      <c r="O22" s="293"/>
      <c r="Q22" s="1025"/>
      <c r="S22" s="293"/>
      <c r="U22" s="293"/>
      <c r="W22" s="1039"/>
    </row>
    <row r="23" spans="2:23" ht="15">
      <c r="B23" s="83"/>
      <c r="C23" s="344"/>
      <c r="E23" s="293"/>
      <c r="G23" s="293"/>
      <c r="I23" s="293"/>
      <c r="K23" s="293"/>
      <c r="M23" s="293"/>
      <c r="O23" s="293"/>
      <c r="Q23" s="1025"/>
      <c r="S23" s="293"/>
      <c r="U23" s="293"/>
      <c r="W23" s="1039"/>
    </row>
    <row r="24" spans="2:23" ht="69" customHeight="1">
      <c r="B24" s="83"/>
      <c r="C24" s="344"/>
      <c r="E24" s="293"/>
      <c r="G24" s="293"/>
      <c r="I24" s="293"/>
      <c r="K24" s="293"/>
      <c r="M24" s="293"/>
      <c r="O24" s="293"/>
      <c r="Q24" s="1025"/>
      <c r="S24" s="293"/>
      <c r="U24" s="293"/>
      <c r="W24" s="1039"/>
    </row>
    <row r="25" spans="2:23" ht="21.75" customHeight="1">
      <c r="B25" s="83"/>
      <c r="C25" s="344"/>
      <c r="E25" s="293"/>
      <c r="G25" s="293"/>
      <c r="I25" s="293"/>
      <c r="K25" s="293"/>
      <c r="M25" s="293"/>
      <c r="O25" s="293"/>
      <c r="Q25" s="1025"/>
      <c r="S25" s="293"/>
      <c r="U25" s="293"/>
      <c r="W25" s="1039"/>
    </row>
    <row r="26" spans="2:23" ht="27" customHeight="1">
      <c r="B26" s="83"/>
      <c r="C26" s="344"/>
      <c r="E26" s="293"/>
      <c r="G26" s="293"/>
      <c r="I26" s="293"/>
      <c r="K26" s="293"/>
      <c r="M26" s="293"/>
      <c r="O26" s="293"/>
      <c r="Q26" s="1025"/>
      <c r="S26" s="293"/>
      <c r="U26" s="293"/>
      <c r="W26" s="1039"/>
    </row>
    <row r="27" spans="2:23" ht="21" customHeight="1">
      <c r="B27" s="83"/>
      <c r="C27" s="344"/>
      <c r="E27" s="293"/>
      <c r="G27" s="293"/>
      <c r="I27" s="293"/>
      <c r="K27" s="293"/>
      <c r="M27" s="293"/>
      <c r="O27" s="293"/>
      <c r="Q27" s="1025"/>
      <c r="S27" s="293"/>
      <c r="U27" s="293"/>
      <c r="W27" s="1039"/>
    </row>
    <row r="28" spans="2:23" ht="20.25" customHeight="1">
      <c r="B28" s="83"/>
      <c r="C28" s="344"/>
      <c r="E28" s="293"/>
      <c r="G28" s="293"/>
      <c r="I28" s="293"/>
      <c r="K28" s="293"/>
      <c r="M28" s="293"/>
      <c r="O28" s="293"/>
      <c r="Q28" s="1025"/>
      <c r="S28" s="293"/>
      <c r="U28" s="293"/>
      <c r="W28" s="1039"/>
    </row>
    <row r="29" spans="2:23" ht="20.25" customHeight="1">
      <c r="B29" s="83"/>
      <c r="C29" s="344"/>
      <c r="E29" s="293"/>
      <c r="G29" s="293"/>
      <c r="I29" s="293"/>
      <c r="K29" s="293"/>
      <c r="M29" s="293"/>
      <c r="O29" s="293"/>
      <c r="Q29" s="1025"/>
      <c r="S29" s="293"/>
      <c r="U29" s="293"/>
      <c r="W29" s="1039"/>
    </row>
    <row r="30" spans="2:23" ht="20.25" customHeight="1">
      <c r="B30" s="83"/>
      <c r="C30" s="344"/>
      <c r="E30" s="293"/>
      <c r="G30" s="293"/>
      <c r="I30" s="293"/>
      <c r="K30" s="293"/>
      <c r="M30" s="293"/>
      <c r="O30" s="293"/>
      <c r="Q30" s="1025"/>
      <c r="S30" s="293"/>
      <c r="U30" s="293"/>
      <c r="W30" s="1039"/>
    </row>
    <row r="31" spans="2:23" ht="20.25" customHeight="1">
      <c r="B31" s="83"/>
      <c r="C31" s="344"/>
      <c r="E31" s="293"/>
      <c r="G31" s="293"/>
      <c r="I31" s="293"/>
      <c r="K31" s="293"/>
      <c r="M31" s="293"/>
      <c r="O31" s="293"/>
      <c r="Q31" s="1025"/>
      <c r="S31" s="293"/>
      <c r="U31" s="293"/>
      <c r="W31" s="1039"/>
    </row>
    <row r="32" spans="2:23" ht="21.75" customHeight="1">
      <c r="B32" s="83"/>
      <c r="C32" s="344"/>
      <c r="E32" s="293"/>
      <c r="G32" s="293"/>
      <c r="I32" s="293"/>
      <c r="K32" s="293"/>
      <c r="M32" s="293"/>
      <c r="O32" s="293"/>
      <c r="Q32" s="1025"/>
      <c r="S32" s="293"/>
      <c r="U32" s="293"/>
      <c r="W32" s="1039"/>
    </row>
    <row r="33" spans="2:23" ht="20.25" customHeight="1">
      <c r="B33" s="83"/>
      <c r="C33" s="344"/>
      <c r="E33" s="293"/>
      <c r="G33" s="293"/>
      <c r="I33" s="293"/>
      <c r="K33" s="293"/>
      <c r="M33" s="293"/>
      <c r="O33" s="293"/>
      <c r="Q33" s="1025"/>
      <c r="S33" s="293"/>
      <c r="U33" s="293"/>
      <c r="W33" s="1039"/>
    </row>
    <row r="34" spans="2:23" ht="24" customHeight="1">
      <c r="B34" s="83"/>
      <c r="C34" s="344"/>
      <c r="E34" s="293"/>
      <c r="G34" s="293"/>
      <c r="I34" s="293"/>
      <c r="K34" s="293"/>
      <c r="M34" s="293"/>
      <c r="O34" s="293"/>
      <c r="Q34" s="1025"/>
      <c r="S34" s="293"/>
      <c r="U34" s="293"/>
      <c r="W34" s="1039"/>
    </row>
    <row r="35" spans="2:23" ht="15">
      <c r="B35" s="83"/>
      <c r="C35" s="344"/>
      <c r="E35" s="293"/>
      <c r="G35" s="293"/>
      <c r="I35" s="293"/>
      <c r="K35" s="293"/>
      <c r="M35" s="293"/>
      <c r="O35" s="293"/>
      <c r="Q35" s="1025"/>
      <c r="S35" s="293"/>
      <c r="U35" s="293"/>
      <c r="W35" s="1039"/>
    </row>
    <row r="36" spans="24:27" ht="21.75">
      <c r="X36" s="146" t="e">
        <f>SUM(#REF!,#REF!)</f>
        <v>#REF!</v>
      </c>
      <c r="Y36" s="146" t="e">
        <f>SUM(#REF!,#REF!,Y21,Y34)</f>
        <v>#REF!</v>
      </c>
      <c r="AA36" s="133">
        <f>78832*110%</f>
        <v>86715.20000000001</v>
      </c>
    </row>
    <row r="857" ht="21.75">
      <c r="O857" s="346" t="s">
        <v>245</v>
      </c>
    </row>
    <row r="882" ht="21.75">
      <c r="O882" s="346" t="s">
        <v>246</v>
      </c>
    </row>
    <row r="917" ht="21.75">
      <c r="O917" s="901" t="s">
        <v>247</v>
      </c>
    </row>
    <row r="978" ht="21.75">
      <c r="O978" s="346" t="s">
        <v>248</v>
      </c>
    </row>
    <row r="979" ht="21.75">
      <c r="O979" s="346" t="s">
        <v>249</v>
      </c>
    </row>
  </sheetData>
  <sheetProtection/>
  <mergeCells count="24">
    <mergeCell ref="V3:W3"/>
    <mergeCell ref="N3:O3"/>
    <mergeCell ref="P3:Q3"/>
    <mergeCell ref="T3:U3"/>
    <mergeCell ref="B12:C12"/>
    <mergeCell ref="F12:G12"/>
    <mergeCell ref="J3:K3"/>
    <mergeCell ref="L3:M3"/>
    <mergeCell ref="V12:W12"/>
    <mergeCell ref="R12:S12"/>
    <mergeCell ref="A3:A4"/>
    <mergeCell ref="D3:E3"/>
    <mergeCell ref="F3:G3"/>
    <mergeCell ref="B3:C3"/>
    <mergeCell ref="A12:A13"/>
    <mergeCell ref="D12:E12"/>
    <mergeCell ref="H3:I3"/>
    <mergeCell ref="L12:M12"/>
    <mergeCell ref="N12:O12"/>
    <mergeCell ref="P12:Q12"/>
    <mergeCell ref="T12:U12"/>
    <mergeCell ref="J12:K12"/>
    <mergeCell ref="H12:I12"/>
    <mergeCell ref="R3:S3"/>
  </mergeCells>
  <hyperlinks>
    <hyperlink ref="O917" r:id="rId1" display="\\\\\\\\\\\\\\\\\\\\\\\\\\\\\\\\\\\\\\\\\\\\\\\\\\\\\\\\\"/>
  </hyperlinks>
  <printOptions horizontalCentered="1"/>
  <pageMargins left="0" right="0" top="0.5511811023622047" bottom="0.1968503937007874" header="0.15748031496062992" footer="0.2755905511811024"/>
  <pageSetup horizontalDpi="600" verticalDpi="600" orientation="landscape" paperSize="9" scale="9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O81"/>
  <sheetViews>
    <sheetView zoomScalePageLayoutView="0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C18" sqref="AC18"/>
    </sheetView>
  </sheetViews>
  <sheetFormatPr defaultColWidth="9.140625" defaultRowHeight="12.75"/>
  <cols>
    <col min="1" max="1" width="19.28125" style="0" customWidth="1"/>
    <col min="2" max="2" width="4.00390625" style="0" bestFit="1" customWidth="1"/>
    <col min="3" max="3" width="9.28125" style="0" customWidth="1"/>
    <col min="4" max="4" width="3.00390625" style="0" customWidth="1"/>
    <col min="5" max="5" width="8.140625" style="0" customWidth="1"/>
    <col min="6" max="6" width="3.00390625" style="0" customWidth="1"/>
    <col min="7" max="7" width="8.00390625" style="0" customWidth="1"/>
    <col min="8" max="8" width="3.8515625" style="0" customWidth="1"/>
    <col min="9" max="9" width="10.28125" style="0" customWidth="1"/>
    <col min="10" max="10" width="3.00390625" style="0" customWidth="1"/>
    <col min="11" max="11" width="8.140625" style="0" customWidth="1"/>
    <col min="12" max="12" width="3.28125" style="0" customWidth="1"/>
    <col min="13" max="13" width="8.00390625" style="0" customWidth="1"/>
    <col min="14" max="14" width="3.00390625" style="0" customWidth="1"/>
    <col min="15" max="15" width="8.00390625" style="0" customWidth="1"/>
    <col min="16" max="16" width="2.7109375" style="0" customWidth="1"/>
    <col min="17" max="17" width="8.00390625" style="0" customWidth="1"/>
    <col min="18" max="18" width="3.57421875" style="0" customWidth="1"/>
    <col min="19" max="19" width="8.00390625" style="0" customWidth="1"/>
    <col min="20" max="20" width="3.28125" style="0" customWidth="1"/>
    <col min="21" max="21" width="6.57421875" style="0" bestFit="1" customWidth="1"/>
    <col min="22" max="22" width="4.00390625" style="0" bestFit="1" customWidth="1"/>
    <col min="23" max="23" width="9.28125" style="0" bestFit="1" customWidth="1"/>
    <col min="24" max="24" width="4.00390625" style="0" bestFit="1" customWidth="1"/>
    <col min="25" max="25" width="9.28125" style="0" bestFit="1" customWidth="1"/>
    <col min="26" max="26" width="4.00390625" style="0" bestFit="1" customWidth="1"/>
    <col min="27" max="27" width="9.28125" style="0" bestFit="1" customWidth="1"/>
    <col min="28" max="28" width="3.8515625" style="0" bestFit="1" customWidth="1"/>
    <col min="29" max="29" width="9.28125" style="0" bestFit="1" customWidth="1"/>
    <col min="30" max="30" width="4.00390625" style="0" bestFit="1" customWidth="1"/>
    <col min="31" max="31" width="9.28125" style="0" bestFit="1" customWidth="1"/>
    <col min="32" max="32" width="3.8515625" style="0" bestFit="1" customWidth="1"/>
    <col min="33" max="33" width="8.28125" style="0" bestFit="1" customWidth="1"/>
    <col min="34" max="34" width="4.00390625" style="0" bestFit="1" customWidth="1"/>
    <col min="35" max="35" width="9.28125" style="0" bestFit="1" customWidth="1"/>
    <col min="36" max="36" width="3.8515625" style="0" bestFit="1" customWidth="1"/>
    <col min="37" max="37" width="8.28125" style="0" bestFit="1" customWidth="1"/>
    <col min="38" max="38" width="3.8515625" style="0" bestFit="1" customWidth="1"/>
    <col min="39" max="39" width="9.28125" style="0" bestFit="1" customWidth="1"/>
    <col min="40" max="40" width="7.8515625" style="0" bestFit="1" customWidth="1"/>
    <col min="41" max="41" width="10.28125" style="0" bestFit="1" customWidth="1"/>
  </cols>
  <sheetData>
    <row r="1" spans="1:41" ht="65.25" customHeight="1" thickBot="1">
      <c r="A1" s="1150" t="s">
        <v>1</v>
      </c>
      <c r="B1" s="1152" t="s">
        <v>66</v>
      </c>
      <c r="C1" s="1152"/>
      <c r="D1" s="1152" t="s">
        <v>153</v>
      </c>
      <c r="E1" s="1152"/>
      <c r="F1" s="1153" t="s">
        <v>78</v>
      </c>
      <c r="G1" s="1153"/>
      <c r="H1" s="1154" t="s">
        <v>68</v>
      </c>
      <c r="I1" s="1154"/>
      <c r="J1" s="1153" t="s">
        <v>166</v>
      </c>
      <c r="K1" s="1153"/>
      <c r="L1" s="1154" t="s">
        <v>144</v>
      </c>
      <c r="M1" s="1154"/>
      <c r="N1" s="1155" t="s">
        <v>69</v>
      </c>
      <c r="O1" s="1155"/>
      <c r="P1" s="1155" t="s">
        <v>70</v>
      </c>
      <c r="Q1" s="1155"/>
      <c r="R1" s="1154" t="s">
        <v>148</v>
      </c>
      <c r="S1" s="1154"/>
      <c r="T1" s="1156" t="s">
        <v>71</v>
      </c>
      <c r="U1" s="1156"/>
      <c r="V1" s="1156" t="s">
        <v>106</v>
      </c>
      <c r="W1" s="1156"/>
      <c r="X1" s="1157" t="s">
        <v>73</v>
      </c>
      <c r="Y1" s="1157"/>
      <c r="Z1" s="1157" t="s">
        <v>74</v>
      </c>
      <c r="AA1" s="1157"/>
      <c r="AB1" s="1157" t="s">
        <v>75</v>
      </c>
      <c r="AC1" s="1157"/>
      <c r="AD1" s="1157" t="s">
        <v>76</v>
      </c>
      <c r="AE1" s="1157"/>
      <c r="AF1" s="1157" t="s">
        <v>77</v>
      </c>
      <c r="AG1" s="1157"/>
      <c r="AH1" s="1157" t="s">
        <v>87</v>
      </c>
      <c r="AI1" s="1157"/>
      <c r="AJ1" s="1157" t="s">
        <v>294</v>
      </c>
      <c r="AK1" s="1157"/>
      <c r="AL1" s="1157" t="s">
        <v>307</v>
      </c>
      <c r="AM1" s="1157"/>
      <c r="AN1" s="1158" t="s">
        <v>61</v>
      </c>
      <c r="AO1" s="1158"/>
    </row>
    <row r="2" spans="1:41" ht="21.75" thickBot="1">
      <c r="A2" s="1151"/>
      <c r="B2" s="699" t="s">
        <v>10</v>
      </c>
      <c r="C2" s="1052" t="s">
        <v>9</v>
      </c>
      <c r="D2" s="699" t="s">
        <v>10</v>
      </c>
      <c r="E2" s="1052" t="s">
        <v>9</v>
      </c>
      <c r="F2" s="699" t="s">
        <v>10</v>
      </c>
      <c r="G2" s="700" t="s">
        <v>9</v>
      </c>
      <c r="H2" s="699" t="s">
        <v>10</v>
      </c>
      <c r="I2" s="700" t="s">
        <v>9</v>
      </c>
      <c r="J2" s="699" t="s">
        <v>10</v>
      </c>
      <c r="K2" s="700" t="s">
        <v>9</v>
      </c>
      <c r="L2" s="699" t="s">
        <v>10</v>
      </c>
      <c r="M2" s="700" t="s">
        <v>9</v>
      </c>
      <c r="N2" s="699" t="s">
        <v>10</v>
      </c>
      <c r="O2" s="700" t="s">
        <v>9</v>
      </c>
      <c r="P2" s="699" t="s">
        <v>10</v>
      </c>
      <c r="Q2" s="700" t="s">
        <v>9</v>
      </c>
      <c r="R2" s="699" t="s">
        <v>10</v>
      </c>
      <c r="S2" s="700" t="s">
        <v>9</v>
      </c>
      <c r="T2" s="699" t="s">
        <v>10</v>
      </c>
      <c r="U2" s="700" t="s">
        <v>9</v>
      </c>
      <c r="V2" s="699" t="s">
        <v>10</v>
      </c>
      <c r="W2" s="700" t="s">
        <v>9</v>
      </c>
      <c r="X2" s="699" t="s">
        <v>10</v>
      </c>
      <c r="Y2" s="700" t="s">
        <v>9</v>
      </c>
      <c r="Z2" s="699" t="s">
        <v>10</v>
      </c>
      <c r="AA2" s="700" t="s">
        <v>9</v>
      </c>
      <c r="AB2" s="699" t="s">
        <v>10</v>
      </c>
      <c r="AC2" s="700" t="s">
        <v>9</v>
      </c>
      <c r="AD2" s="699" t="s">
        <v>10</v>
      </c>
      <c r="AE2" s="700" t="s">
        <v>9</v>
      </c>
      <c r="AF2" s="699" t="s">
        <v>10</v>
      </c>
      <c r="AG2" s="700" t="s">
        <v>9</v>
      </c>
      <c r="AH2" s="699" t="s">
        <v>10</v>
      </c>
      <c r="AI2" s="700" t="s">
        <v>9</v>
      </c>
      <c r="AJ2" s="699" t="s">
        <v>10</v>
      </c>
      <c r="AK2" s="700" t="s">
        <v>9</v>
      </c>
      <c r="AL2" s="699" t="s">
        <v>10</v>
      </c>
      <c r="AM2" s="700" t="s">
        <v>9</v>
      </c>
      <c r="AN2" s="699" t="s">
        <v>10</v>
      </c>
      <c r="AO2" s="700" t="s">
        <v>9</v>
      </c>
    </row>
    <row r="3" spans="1:41" ht="21">
      <c r="A3" s="447" t="s">
        <v>201</v>
      </c>
      <c r="B3" s="480"/>
      <c r="C3" s="1053"/>
      <c r="D3" s="482"/>
      <c r="E3" s="1053"/>
      <c r="F3" s="482"/>
      <c r="G3" s="481"/>
      <c r="H3" s="483"/>
      <c r="I3" s="484"/>
      <c r="J3" s="483"/>
      <c r="K3" s="484"/>
      <c r="L3" s="483"/>
      <c r="M3" s="484"/>
      <c r="N3" s="483"/>
      <c r="O3" s="484"/>
      <c r="P3" s="483"/>
      <c r="Q3" s="481"/>
      <c r="R3" s="483"/>
      <c r="S3" s="484"/>
      <c r="T3" s="483"/>
      <c r="U3" s="484"/>
      <c r="V3" s="484"/>
      <c r="W3" s="484"/>
      <c r="X3" s="483"/>
      <c r="Y3" s="484"/>
      <c r="Z3" s="482"/>
      <c r="AA3" s="481"/>
      <c r="AB3" s="482"/>
      <c r="AC3" s="481"/>
      <c r="AD3" s="482"/>
      <c r="AE3" s="481"/>
      <c r="AF3" s="482"/>
      <c r="AG3" s="481"/>
      <c r="AH3" s="482"/>
      <c r="AI3" s="481"/>
      <c r="AJ3" s="482"/>
      <c r="AK3" s="481"/>
      <c r="AL3" s="482"/>
      <c r="AM3" s="481"/>
      <c r="AN3" s="482"/>
      <c r="AO3" s="484"/>
    </row>
    <row r="4" spans="1:41" ht="21">
      <c r="A4" s="10" t="s">
        <v>11</v>
      </c>
      <c r="B4" s="434">
        <f>40+2+2</f>
        <v>44</v>
      </c>
      <c r="C4" s="1054">
        <f>3985.1+129.6+229</f>
        <v>4343.7</v>
      </c>
      <c r="D4" s="434"/>
      <c r="E4" s="1054"/>
      <c r="F4" s="434">
        <v>1</v>
      </c>
      <c r="G4" s="432">
        <v>712.2</v>
      </c>
      <c r="H4" s="437">
        <v>30</v>
      </c>
      <c r="I4" s="370">
        <v>34554.8</v>
      </c>
      <c r="J4" s="437">
        <v>5</v>
      </c>
      <c r="K4" s="370">
        <f>243.8+341.5</f>
        <v>585.3</v>
      </c>
      <c r="L4" s="437">
        <v>4</v>
      </c>
      <c r="M4" s="370">
        <v>254.8</v>
      </c>
      <c r="N4" s="437"/>
      <c r="O4" s="370"/>
      <c r="P4" s="437"/>
      <c r="Q4" s="432"/>
      <c r="R4" s="437"/>
      <c r="S4" s="370"/>
      <c r="T4" s="437"/>
      <c r="U4" s="370"/>
      <c r="V4" s="437"/>
      <c r="W4" s="370"/>
      <c r="X4" s="434">
        <v>20</v>
      </c>
      <c r="Y4" s="432">
        <v>1873.2</v>
      </c>
      <c r="Z4" s="434">
        <v>11</v>
      </c>
      <c r="AA4" s="432">
        <f>29502.3+557.3</f>
        <v>30059.6</v>
      </c>
      <c r="AB4" s="434"/>
      <c r="AC4" s="432"/>
      <c r="AD4" s="437">
        <v>6</v>
      </c>
      <c r="AE4" s="370">
        <f>493.3+280.8</f>
        <v>774.1</v>
      </c>
      <c r="AF4" s="437">
        <v>6</v>
      </c>
      <c r="AG4" s="370">
        <v>222.5</v>
      </c>
      <c r="AH4" s="437">
        <v>1</v>
      </c>
      <c r="AI4" s="370">
        <v>169.2</v>
      </c>
      <c r="AJ4" s="437"/>
      <c r="AK4" s="370"/>
      <c r="AL4" s="437"/>
      <c r="AM4" s="370"/>
      <c r="AN4" s="442">
        <f aca="true" t="shared" si="0" ref="AN4:AO7">SUM(B4,D4,F4,H4,J4,L4,N4,P4,R4,T4,V4,Z4,X4,AB4,AD4,AF4,AH4,AL4,AJ4)</f>
        <v>128</v>
      </c>
      <c r="AO4" s="444">
        <f t="shared" si="0"/>
        <v>73549.40000000001</v>
      </c>
    </row>
    <row r="5" spans="1:41" ht="21">
      <c r="A5" s="10" t="s">
        <v>12</v>
      </c>
      <c r="B5" s="434">
        <f>9+2</f>
        <v>11</v>
      </c>
      <c r="C5" s="1054">
        <f>2312+126.2+398.7+92.4</f>
        <v>2929.2999999999997</v>
      </c>
      <c r="D5" s="434">
        <v>55</v>
      </c>
      <c r="E5" s="1054">
        <v>3862.7</v>
      </c>
      <c r="F5" s="434">
        <v>4</v>
      </c>
      <c r="G5" s="432">
        <v>1113</v>
      </c>
      <c r="H5" s="437">
        <v>86</v>
      </c>
      <c r="I5" s="370">
        <f>21667.1+92.2</f>
        <v>21759.3</v>
      </c>
      <c r="J5" s="437">
        <v>5</v>
      </c>
      <c r="K5" s="370">
        <f>200.7+342.3</f>
        <v>543</v>
      </c>
      <c r="L5" s="437">
        <f>10+1</f>
        <v>11</v>
      </c>
      <c r="M5" s="370">
        <f>605.4+63.7</f>
        <v>669.1</v>
      </c>
      <c r="N5" s="437">
        <v>5</v>
      </c>
      <c r="O5" s="370">
        <v>1212.8</v>
      </c>
      <c r="P5" s="437">
        <v>2</v>
      </c>
      <c r="Q5" s="432">
        <v>548.4</v>
      </c>
      <c r="R5" s="437">
        <v>12</v>
      </c>
      <c r="S5" s="370">
        <v>1905.4</v>
      </c>
      <c r="T5" s="437">
        <v>5</v>
      </c>
      <c r="U5" s="370">
        <v>231.7</v>
      </c>
      <c r="V5" s="437">
        <v>28</v>
      </c>
      <c r="W5" s="370">
        <f>5058.7+41.5</f>
        <v>5100.2</v>
      </c>
      <c r="X5" s="434">
        <v>7</v>
      </c>
      <c r="Y5" s="432">
        <f>13495.4+128.6</f>
        <v>13624</v>
      </c>
      <c r="Z5" s="434">
        <f>74+6</f>
        <v>80</v>
      </c>
      <c r="AA5" s="432">
        <f>3436.9+247.8</f>
        <v>3684.7000000000003</v>
      </c>
      <c r="AB5" s="434">
        <v>5</v>
      </c>
      <c r="AC5" s="432">
        <v>1705</v>
      </c>
      <c r="AD5" s="437">
        <f>9+6</f>
        <v>15</v>
      </c>
      <c r="AE5" s="370">
        <f>1178.1+282</f>
        <v>1460.1</v>
      </c>
      <c r="AF5" s="437">
        <v>7</v>
      </c>
      <c r="AG5" s="370">
        <v>300.8</v>
      </c>
      <c r="AH5" s="437">
        <v>25</v>
      </c>
      <c r="AI5" s="370">
        <f>3288.3+697.1</f>
        <v>3985.4</v>
      </c>
      <c r="AJ5" s="437">
        <f>1+1</f>
        <v>2</v>
      </c>
      <c r="AK5" s="370">
        <f>83.8+127.7</f>
        <v>211.5</v>
      </c>
      <c r="AL5" s="437"/>
      <c r="AM5" s="370"/>
      <c r="AN5" s="442">
        <f>SUM(B5,D5,F5,H5,J5,L5,N5,P5,R5,T5,V5,Z5,X5,AB5,AD5,AF5,AH5,AL5,AJ5)</f>
        <v>365</v>
      </c>
      <c r="AO5" s="444">
        <f>SUM(C5,E5,G5,I5,K5,M5,O5,Q5,S5,U5,W5,AA5,Y5,AC5,AE5,AG5,AI5,AM5,AK5)</f>
        <v>64846.399999999994</v>
      </c>
    </row>
    <row r="6" spans="1:41" ht="21">
      <c r="A6" s="10" t="s">
        <v>13</v>
      </c>
      <c r="B6" s="434">
        <f>47+1</f>
        <v>48</v>
      </c>
      <c r="C6" s="1054">
        <f>4590+114.9+114</f>
        <v>4818.9</v>
      </c>
      <c r="D6" s="434"/>
      <c r="E6" s="1054">
        <v>153.5</v>
      </c>
      <c r="F6" s="434">
        <v>13</v>
      </c>
      <c r="G6" s="432">
        <v>1245</v>
      </c>
      <c r="H6" s="437">
        <v>25</v>
      </c>
      <c r="I6" s="370">
        <v>3122.1</v>
      </c>
      <c r="J6" s="437">
        <v>5</v>
      </c>
      <c r="K6" s="370">
        <f>264.8+461.4+116.3</f>
        <v>842.5</v>
      </c>
      <c r="L6" s="437"/>
      <c r="M6" s="370">
        <v>54.7</v>
      </c>
      <c r="N6" s="437">
        <v>4</v>
      </c>
      <c r="O6" s="370">
        <v>923.2</v>
      </c>
      <c r="P6" s="437">
        <v>7</v>
      </c>
      <c r="Q6" s="432">
        <v>2.6</v>
      </c>
      <c r="R6" s="437"/>
      <c r="S6" s="370"/>
      <c r="T6" s="437"/>
      <c r="U6" s="370"/>
      <c r="V6" s="437">
        <v>4</v>
      </c>
      <c r="W6" s="370">
        <f>165.4+69.9+206.9</f>
        <v>442.20000000000005</v>
      </c>
      <c r="X6" s="434">
        <v>11</v>
      </c>
      <c r="Y6" s="432">
        <f>2107.8+284.5+204.5</f>
        <v>2596.8</v>
      </c>
      <c r="Z6" s="434">
        <f>11+52</f>
        <v>63</v>
      </c>
      <c r="AA6" s="432">
        <f>1354.3+1536.4</f>
        <v>2890.7</v>
      </c>
      <c r="AB6" s="434">
        <v>2</v>
      </c>
      <c r="AC6" s="432">
        <f>690.1+95</f>
        <v>785.1</v>
      </c>
      <c r="AD6" s="437">
        <f>18+7</f>
        <v>25</v>
      </c>
      <c r="AE6" s="370">
        <f>433.1+326.3</f>
        <v>759.4000000000001</v>
      </c>
      <c r="AF6" s="437">
        <v>24</v>
      </c>
      <c r="AG6" s="370">
        <v>1319.9</v>
      </c>
      <c r="AH6" s="437">
        <v>40</v>
      </c>
      <c r="AI6" s="370">
        <f>4647.5+146.4</f>
        <v>4793.9</v>
      </c>
      <c r="AJ6" s="437">
        <f>2+2</f>
        <v>4</v>
      </c>
      <c r="AK6" s="370">
        <f>234.3+254.8</f>
        <v>489.1</v>
      </c>
      <c r="AL6" s="437">
        <v>1</v>
      </c>
      <c r="AM6" s="370">
        <v>95</v>
      </c>
      <c r="AN6" s="442">
        <f t="shared" si="0"/>
        <v>276</v>
      </c>
      <c r="AO6" s="444">
        <f t="shared" si="0"/>
        <v>25334.6</v>
      </c>
    </row>
    <row r="7" spans="1:41" ht="21">
      <c r="A7" s="16" t="s">
        <v>14</v>
      </c>
      <c r="B7" s="435">
        <f>5+2+2</f>
        <v>9</v>
      </c>
      <c r="C7" s="1055">
        <f>78.6+133.9+229.4</f>
        <v>441.9</v>
      </c>
      <c r="D7" s="435"/>
      <c r="E7" s="1055"/>
      <c r="F7" s="435"/>
      <c r="G7" s="433"/>
      <c r="H7" s="438">
        <v>52</v>
      </c>
      <c r="I7" s="439">
        <v>6582.6</v>
      </c>
      <c r="J7" s="438">
        <v>4</v>
      </c>
      <c r="K7" s="439">
        <v>274.6</v>
      </c>
      <c r="L7" s="438">
        <v>5</v>
      </c>
      <c r="M7" s="439">
        <v>320</v>
      </c>
      <c r="N7" s="438"/>
      <c r="O7" s="439"/>
      <c r="P7" s="438"/>
      <c r="Q7" s="433"/>
      <c r="R7" s="438"/>
      <c r="S7" s="439"/>
      <c r="T7" s="438"/>
      <c r="U7" s="439"/>
      <c r="V7" s="438"/>
      <c r="W7" s="439">
        <v>170.3</v>
      </c>
      <c r="X7" s="435"/>
      <c r="Y7" s="433"/>
      <c r="Z7" s="435">
        <f>3+6</f>
        <v>9</v>
      </c>
      <c r="AA7" s="433">
        <f>293.6+371.4</f>
        <v>665</v>
      </c>
      <c r="AB7" s="435"/>
      <c r="AC7" s="433"/>
      <c r="AD7" s="438">
        <v>2</v>
      </c>
      <c r="AE7" s="439">
        <v>104.7</v>
      </c>
      <c r="AF7" s="438"/>
      <c r="AG7" s="439"/>
      <c r="AH7" s="438">
        <v>23</v>
      </c>
      <c r="AI7" s="439">
        <v>504.4</v>
      </c>
      <c r="AJ7" s="438">
        <v>1</v>
      </c>
      <c r="AK7" s="439">
        <v>131.1</v>
      </c>
      <c r="AL7" s="438"/>
      <c r="AM7" s="439"/>
      <c r="AN7" s="443">
        <f t="shared" si="0"/>
        <v>105</v>
      </c>
      <c r="AO7" s="445">
        <f t="shared" si="0"/>
        <v>9194.600000000002</v>
      </c>
    </row>
    <row r="8" spans="1:41" ht="21">
      <c r="A8" s="447" t="s">
        <v>15</v>
      </c>
      <c r="B8" s="485"/>
      <c r="C8" s="695"/>
      <c r="D8" s="485"/>
      <c r="E8" s="695"/>
      <c r="F8" s="485"/>
      <c r="G8" s="486"/>
      <c r="H8" s="487"/>
      <c r="I8" s="488"/>
      <c r="J8" s="487"/>
      <c r="K8" s="488"/>
      <c r="L8" s="487"/>
      <c r="M8" s="488"/>
      <c r="N8" s="487"/>
      <c r="O8" s="488"/>
      <c r="P8" s="487"/>
      <c r="Q8" s="486"/>
      <c r="R8" s="487"/>
      <c r="S8" s="488"/>
      <c r="T8" s="487"/>
      <c r="U8" s="488"/>
      <c r="V8" s="487"/>
      <c r="W8" s="488"/>
      <c r="X8" s="487"/>
      <c r="Y8" s="488"/>
      <c r="Z8" s="485"/>
      <c r="AA8" s="486"/>
      <c r="AB8" s="485"/>
      <c r="AC8" s="486"/>
      <c r="AD8" s="485"/>
      <c r="AE8" s="486"/>
      <c r="AF8" s="485"/>
      <c r="AG8" s="486"/>
      <c r="AH8" s="485"/>
      <c r="AI8" s="486"/>
      <c r="AJ8" s="485"/>
      <c r="AK8" s="486"/>
      <c r="AL8" s="485"/>
      <c r="AM8" s="486"/>
      <c r="AN8" s="489"/>
      <c r="AO8" s="490"/>
    </row>
    <row r="9" spans="1:41" ht="21.75">
      <c r="A9" s="10" t="s">
        <v>16</v>
      </c>
      <c r="B9" s="898">
        <v>6</v>
      </c>
      <c r="C9" s="1056">
        <f>72.9+541.2</f>
        <v>614.1</v>
      </c>
      <c r="D9" s="434"/>
      <c r="E9" s="1054"/>
      <c r="F9" s="434"/>
      <c r="G9" s="432"/>
      <c r="H9" s="437"/>
      <c r="I9" s="370"/>
      <c r="J9" s="437"/>
      <c r="K9" s="370"/>
      <c r="L9" s="437"/>
      <c r="M9" s="370"/>
      <c r="N9" s="437"/>
      <c r="O9" s="370"/>
      <c r="P9" s="437"/>
      <c r="Q9" s="432"/>
      <c r="R9" s="437"/>
      <c r="S9" s="370"/>
      <c r="T9" s="437"/>
      <c r="U9" s="370"/>
      <c r="V9" s="437"/>
      <c r="W9" s="370"/>
      <c r="X9" s="434">
        <v>2</v>
      </c>
      <c r="Y9" s="432">
        <v>294.7</v>
      </c>
      <c r="Z9" s="434"/>
      <c r="AA9" s="432">
        <v>84.7</v>
      </c>
      <c r="AB9" s="434"/>
      <c r="AC9" s="432"/>
      <c r="AD9" s="437"/>
      <c r="AE9" s="370"/>
      <c r="AF9" s="437"/>
      <c r="AG9" s="370"/>
      <c r="AH9" s="437"/>
      <c r="AI9" s="370"/>
      <c r="AJ9" s="437"/>
      <c r="AK9" s="370"/>
      <c r="AL9" s="437"/>
      <c r="AM9" s="370"/>
      <c r="AN9" s="442">
        <f>SUM(B9,D9,F9,H9,J9,L9,N9,P9,R9,T9,V9,Z9,X9,AB9,AD9,AF9,AH9,AL9)</f>
        <v>8</v>
      </c>
      <c r="AO9" s="444">
        <f>SUM(C9,E9,G9,I9,K9,M9,O9,Q9,S9,U9,W9,AA9,Y9,AC9,AE9,AG9,AI9,AM9)</f>
        <v>993.5</v>
      </c>
    </row>
    <row r="10" spans="1:41" ht="21">
      <c r="A10" s="10" t="s">
        <v>17</v>
      </c>
      <c r="B10" s="434">
        <v>2</v>
      </c>
      <c r="C10" s="1054">
        <v>226</v>
      </c>
      <c r="D10" s="434"/>
      <c r="E10" s="1054"/>
      <c r="F10" s="434"/>
      <c r="G10" s="432"/>
      <c r="H10" s="437"/>
      <c r="I10" s="370"/>
      <c r="J10" s="437"/>
      <c r="K10" s="370"/>
      <c r="L10" s="437"/>
      <c r="M10" s="370"/>
      <c r="N10" s="437"/>
      <c r="O10" s="370"/>
      <c r="P10" s="437"/>
      <c r="Q10" s="432"/>
      <c r="R10" s="437"/>
      <c r="S10" s="370"/>
      <c r="T10" s="437"/>
      <c r="U10" s="370"/>
      <c r="V10" s="437"/>
      <c r="W10" s="370"/>
      <c r="X10" s="434"/>
      <c r="Y10" s="432"/>
      <c r="Z10" s="434"/>
      <c r="AA10" s="432"/>
      <c r="AB10" s="434"/>
      <c r="AC10" s="432"/>
      <c r="AD10" s="437"/>
      <c r="AE10" s="370"/>
      <c r="AF10" s="437"/>
      <c r="AG10" s="370"/>
      <c r="AH10" s="437"/>
      <c r="AI10" s="370"/>
      <c r="AJ10" s="437"/>
      <c r="AK10" s="370"/>
      <c r="AL10" s="437"/>
      <c r="AM10" s="370"/>
      <c r="AN10" s="442">
        <f aca="true" t="shared" si="1" ref="AN10:AO12">SUM(B10,D10,F10,H10,J10,L10,N10,P10,R10,T10,V10,Z10,X10,AB10,AD10,AF10,AH10,AL10,AJ10)</f>
        <v>2</v>
      </c>
      <c r="AO10" s="444">
        <f t="shared" si="1"/>
        <v>226</v>
      </c>
    </row>
    <row r="11" spans="1:41" ht="21">
      <c r="A11" s="10" t="s">
        <v>18</v>
      </c>
      <c r="B11" s="434">
        <f>1+3</f>
        <v>4</v>
      </c>
      <c r="C11" s="1054">
        <f>103.8+303.3</f>
        <v>407.1</v>
      </c>
      <c r="D11" s="434"/>
      <c r="E11" s="1054"/>
      <c r="F11" s="434"/>
      <c r="G11" s="432"/>
      <c r="H11" s="437"/>
      <c r="I11" s="370"/>
      <c r="J11" s="437"/>
      <c r="K11" s="370"/>
      <c r="L11" s="437"/>
      <c r="M11" s="370"/>
      <c r="N11" s="437"/>
      <c r="O11" s="370"/>
      <c r="P11" s="437"/>
      <c r="Q11" s="432"/>
      <c r="R11" s="437"/>
      <c r="S11" s="370"/>
      <c r="T11" s="437"/>
      <c r="U11" s="370"/>
      <c r="V11" s="437"/>
      <c r="W11" s="370"/>
      <c r="X11" s="434">
        <v>1</v>
      </c>
      <c r="Y11" s="432">
        <v>148.3</v>
      </c>
      <c r="Z11" s="434">
        <v>1</v>
      </c>
      <c r="AA11" s="432">
        <v>167.9</v>
      </c>
      <c r="AB11" s="434"/>
      <c r="AC11" s="432"/>
      <c r="AD11" s="437"/>
      <c r="AE11" s="370"/>
      <c r="AF11" s="437"/>
      <c r="AG11" s="370"/>
      <c r="AH11" s="437"/>
      <c r="AI11" s="370"/>
      <c r="AJ11" s="437">
        <v>1</v>
      </c>
      <c r="AK11" s="370">
        <v>138.4</v>
      </c>
      <c r="AL11" s="437"/>
      <c r="AM11" s="370"/>
      <c r="AN11" s="442">
        <f t="shared" si="1"/>
        <v>7</v>
      </c>
      <c r="AO11" s="444">
        <f t="shared" si="1"/>
        <v>861.6999999999999</v>
      </c>
    </row>
    <row r="12" spans="1:41" ht="21">
      <c r="A12" s="16" t="s">
        <v>19</v>
      </c>
      <c r="B12" s="435">
        <v>3</v>
      </c>
      <c r="C12" s="1055">
        <v>272.8</v>
      </c>
      <c r="D12" s="435"/>
      <c r="E12" s="1055"/>
      <c r="F12" s="435"/>
      <c r="G12" s="433"/>
      <c r="H12" s="438">
        <v>16</v>
      </c>
      <c r="I12" s="439">
        <v>5314.4</v>
      </c>
      <c r="J12" s="438"/>
      <c r="K12" s="439"/>
      <c r="L12" s="438"/>
      <c r="M12" s="439"/>
      <c r="N12" s="438"/>
      <c r="O12" s="439"/>
      <c r="P12" s="438"/>
      <c r="Q12" s="433"/>
      <c r="R12" s="438"/>
      <c r="S12" s="439"/>
      <c r="T12" s="438"/>
      <c r="U12" s="439"/>
      <c r="V12" s="438"/>
      <c r="W12" s="439"/>
      <c r="X12" s="435"/>
      <c r="Y12" s="433">
        <v>2411.6</v>
      </c>
      <c r="Z12" s="435">
        <f>1+1</f>
        <v>2</v>
      </c>
      <c r="AA12" s="433">
        <f>396.9+95</f>
        <v>491.9</v>
      </c>
      <c r="AB12" s="435"/>
      <c r="AC12" s="433"/>
      <c r="AD12" s="438">
        <v>2</v>
      </c>
      <c r="AE12" s="439">
        <v>315.8</v>
      </c>
      <c r="AF12" s="438"/>
      <c r="AG12" s="439"/>
      <c r="AH12" s="438"/>
      <c r="AI12" s="439"/>
      <c r="AJ12" s="438">
        <v>2</v>
      </c>
      <c r="AK12" s="439">
        <v>275.4</v>
      </c>
      <c r="AL12" s="438"/>
      <c r="AM12" s="439"/>
      <c r="AN12" s="443">
        <f t="shared" si="1"/>
        <v>25</v>
      </c>
      <c r="AO12" s="445">
        <f t="shared" si="1"/>
        <v>9081.899999999998</v>
      </c>
    </row>
    <row r="13" spans="1:41" ht="21">
      <c r="A13" s="447" t="s">
        <v>20</v>
      </c>
      <c r="B13" s="485"/>
      <c r="C13" s="695"/>
      <c r="D13" s="485"/>
      <c r="E13" s="695"/>
      <c r="F13" s="485"/>
      <c r="G13" s="486"/>
      <c r="H13" s="487"/>
      <c r="I13" s="488"/>
      <c r="J13" s="487"/>
      <c r="K13" s="488"/>
      <c r="L13" s="487"/>
      <c r="M13" s="488"/>
      <c r="N13" s="487"/>
      <c r="O13" s="488"/>
      <c r="P13" s="487"/>
      <c r="Q13" s="486"/>
      <c r="R13" s="487"/>
      <c r="S13" s="488"/>
      <c r="T13" s="487"/>
      <c r="U13" s="488"/>
      <c r="V13" s="487"/>
      <c r="W13" s="488"/>
      <c r="X13" s="487"/>
      <c r="Y13" s="488"/>
      <c r="Z13" s="485"/>
      <c r="AA13" s="486"/>
      <c r="AB13" s="485"/>
      <c r="AC13" s="486"/>
      <c r="AD13" s="485"/>
      <c r="AE13" s="486"/>
      <c r="AF13" s="485"/>
      <c r="AG13" s="486"/>
      <c r="AH13" s="485"/>
      <c r="AI13" s="486"/>
      <c r="AJ13" s="485"/>
      <c r="AK13" s="486"/>
      <c r="AL13" s="485"/>
      <c r="AM13" s="486"/>
      <c r="AN13" s="489"/>
      <c r="AO13" s="490"/>
    </row>
    <row r="14" spans="1:41" ht="21">
      <c r="A14" s="10" t="s">
        <v>21</v>
      </c>
      <c r="B14" s="434">
        <v>26</v>
      </c>
      <c r="C14" s="1054">
        <v>597.9</v>
      </c>
      <c r="D14" s="434"/>
      <c r="E14" s="1054"/>
      <c r="F14" s="434"/>
      <c r="G14" s="432"/>
      <c r="H14" s="437">
        <v>5</v>
      </c>
      <c r="I14" s="370">
        <v>71.7</v>
      </c>
      <c r="J14" s="437">
        <v>6</v>
      </c>
      <c r="K14" s="370">
        <v>162.3</v>
      </c>
      <c r="L14" s="437"/>
      <c r="M14" s="370"/>
      <c r="N14" s="437"/>
      <c r="O14" s="370"/>
      <c r="P14" s="437"/>
      <c r="Q14" s="432"/>
      <c r="R14" s="437"/>
      <c r="S14" s="370"/>
      <c r="T14" s="437"/>
      <c r="U14" s="370"/>
      <c r="V14" s="437"/>
      <c r="W14" s="370"/>
      <c r="X14" s="434">
        <v>3</v>
      </c>
      <c r="Y14" s="432">
        <v>128.6</v>
      </c>
      <c r="Z14" s="434">
        <v>11</v>
      </c>
      <c r="AA14" s="432">
        <v>225.5</v>
      </c>
      <c r="AB14" s="434">
        <v>24</v>
      </c>
      <c r="AC14" s="432">
        <v>717.9</v>
      </c>
      <c r="AD14" s="437"/>
      <c r="AE14" s="370"/>
      <c r="AF14" s="437"/>
      <c r="AG14" s="370"/>
      <c r="AH14" s="437"/>
      <c r="AI14" s="370"/>
      <c r="AJ14" s="437"/>
      <c r="AK14" s="370"/>
      <c r="AL14" s="437"/>
      <c r="AM14" s="370"/>
      <c r="AN14" s="442">
        <f>SUM(B14,D14,F14,H14,J14,L14,N14,P14,R14,T14,V14,Z14,X14,AB14,AD14,AF14,AH14,AL14,AJ14)</f>
        <v>75</v>
      </c>
      <c r="AO14" s="444">
        <f>SUM(C14,E14,G14,I14,K14,M14,O14,Q14,S14,U14,W14,AA14,Y14,AC14,AE14,AG14,AI14,AM14,AK14)</f>
        <v>1903.9</v>
      </c>
    </row>
    <row r="15" spans="1:41" ht="21">
      <c r="A15" s="16" t="s">
        <v>22</v>
      </c>
      <c r="B15" s="435">
        <v>8</v>
      </c>
      <c r="C15" s="1055">
        <v>435.1</v>
      </c>
      <c r="D15" s="435"/>
      <c r="E15" s="1055"/>
      <c r="F15" s="435">
        <v>14</v>
      </c>
      <c r="G15" s="433">
        <v>2037</v>
      </c>
      <c r="H15" s="438"/>
      <c r="I15" s="439"/>
      <c r="J15" s="438"/>
      <c r="K15" s="439"/>
      <c r="L15" s="438"/>
      <c r="M15" s="439"/>
      <c r="N15" s="438"/>
      <c r="O15" s="439"/>
      <c r="P15" s="438"/>
      <c r="Q15" s="433"/>
      <c r="R15" s="438"/>
      <c r="S15" s="439"/>
      <c r="T15" s="438"/>
      <c r="U15" s="439"/>
      <c r="V15" s="438"/>
      <c r="W15" s="439"/>
      <c r="X15" s="435">
        <v>27</v>
      </c>
      <c r="Y15" s="433">
        <v>3505.5</v>
      </c>
      <c r="Z15" s="435"/>
      <c r="AA15" s="433">
        <v>231.9</v>
      </c>
      <c r="AB15" s="435"/>
      <c r="AC15" s="433"/>
      <c r="AD15" s="438"/>
      <c r="AE15" s="439"/>
      <c r="AF15" s="438"/>
      <c r="AG15" s="439"/>
      <c r="AH15" s="438">
        <v>18</v>
      </c>
      <c r="AI15" s="439">
        <v>2276.6</v>
      </c>
      <c r="AJ15" s="438"/>
      <c r="AK15" s="439"/>
      <c r="AL15" s="438"/>
      <c r="AM15" s="439"/>
      <c r="AN15" s="443">
        <f>SUM(B15,D15,F15,H15,J15,L15,N15,P15,R15,T15,V15,Z15,X15,AB15,AD15,AF15,AH15,AL15,AJ15)</f>
        <v>67</v>
      </c>
      <c r="AO15" s="445">
        <f>SUM(C15,E15,G15,I15,K15,M15,O15,Q15,S15,U15,W15,AA15,Y15,AC15,AE15,AG15,AI15,AM15,AK15)</f>
        <v>8486.1</v>
      </c>
    </row>
    <row r="16" spans="1:41" ht="21">
      <c r="A16" s="465" t="s">
        <v>23</v>
      </c>
      <c r="B16" s="485"/>
      <c r="C16" s="695"/>
      <c r="D16" s="485"/>
      <c r="E16" s="695"/>
      <c r="F16" s="485"/>
      <c r="G16" s="486"/>
      <c r="H16" s="487"/>
      <c r="I16" s="488"/>
      <c r="J16" s="487"/>
      <c r="K16" s="488"/>
      <c r="L16" s="487"/>
      <c r="M16" s="488"/>
      <c r="N16" s="487"/>
      <c r="O16" s="488"/>
      <c r="P16" s="487"/>
      <c r="Q16" s="486"/>
      <c r="R16" s="487"/>
      <c r="S16" s="488"/>
      <c r="T16" s="487"/>
      <c r="U16" s="488"/>
      <c r="V16" s="487"/>
      <c r="W16" s="488"/>
      <c r="X16" s="487"/>
      <c r="Y16" s="488"/>
      <c r="Z16" s="485"/>
      <c r="AA16" s="486"/>
      <c r="AB16" s="485"/>
      <c r="AC16" s="486"/>
      <c r="AD16" s="485"/>
      <c r="AE16" s="486"/>
      <c r="AF16" s="485"/>
      <c r="AG16" s="486"/>
      <c r="AH16" s="485"/>
      <c r="AI16" s="486"/>
      <c r="AJ16" s="485"/>
      <c r="AK16" s="486"/>
      <c r="AL16" s="485"/>
      <c r="AM16" s="486"/>
      <c r="AN16" s="489"/>
      <c r="AO16" s="490"/>
    </row>
    <row r="17" spans="1:41" ht="21">
      <c r="A17" s="10" t="s">
        <v>24</v>
      </c>
      <c r="B17" s="434">
        <f>2+7</f>
        <v>9</v>
      </c>
      <c r="C17" s="1054">
        <f>309+148+640.9</f>
        <v>1097.9</v>
      </c>
      <c r="D17" s="434"/>
      <c r="E17" s="1054"/>
      <c r="F17" s="434"/>
      <c r="G17" s="432"/>
      <c r="H17" s="437"/>
      <c r="I17" s="370"/>
      <c r="J17" s="437">
        <v>2</v>
      </c>
      <c r="K17" s="370">
        <v>347.4</v>
      </c>
      <c r="L17" s="437"/>
      <c r="M17" s="370"/>
      <c r="N17" s="437"/>
      <c r="O17" s="370"/>
      <c r="P17" s="437"/>
      <c r="Q17" s="432"/>
      <c r="R17" s="437"/>
      <c r="S17" s="370"/>
      <c r="T17" s="437"/>
      <c r="U17" s="370"/>
      <c r="V17" s="437">
        <v>1</v>
      </c>
      <c r="W17" s="370">
        <v>111.1</v>
      </c>
      <c r="X17" s="434"/>
      <c r="Y17" s="432"/>
      <c r="Z17" s="434">
        <f>2+1+2</f>
        <v>5</v>
      </c>
      <c r="AA17" s="432">
        <f>1083.1+384.5+223.1</f>
        <v>1690.6999999999998</v>
      </c>
      <c r="AB17" s="434">
        <f>2</f>
        <v>2</v>
      </c>
      <c r="AC17" s="432">
        <f>243.2</f>
        <v>243.2</v>
      </c>
      <c r="AD17" s="437">
        <v>2</v>
      </c>
      <c r="AE17" s="370">
        <f>17.6+318.5</f>
        <v>336.1</v>
      </c>
      <c r="AF17" s="437">
        <v>1</v>
      </c>
      <c r="AG17" s="370">
        <v>1058.3</v>
      </c>
      <c r="AH17" s="437"/>
      <c r="AI17" s="370"/>
      <c r="AJ17" s="437"/>
      <c r="AK17" s="370"/>
      <c r="AL17" s="437"/>
      <c r="AM17" s="370"/>
      <c r="AN17" s="442">
        <f aca="true" t="shared" si="2" ref="AN17:AO28">SUM(B17,D17,F17,H17,J17,L17,N17,P17,R17,T17,V17,Z17,X17,AB17,AD17,AF17,AH17,AL17,AJ17)</f>
        <v>22</v>
      </c>
      <c r="AO17" s="444">
        <f>SUM(C17,E17,G17,I17,K17,M17,O17,Q17,S17,U17,W17,AA17,Y17,AC17,AE17,AG17,AI17,AM17,AK17)</f>
        <v>4884.7</v>
      </c>
    </row>
    <row r="18" spans="1:41" ht="21">
      <c r="A18" s="10" t="s">
        <v>25</v>
      </c>
      <c r="B18" s="434">
        <v>6</v>
      </c>
      <c r="C18" s="1054">
        <f>246.3+80</f>
        <v>326.3</v>
      </c>
      <c r="D18" s="434"/>
      <c r="E18" s="1054"/>
      <c r="F18" s="434"/>
      <c r="G18" s="432">
        <v>1216.7</v>
      </c>
      <c r="H18" s="437">
        <v>27</v>
      </c>
      <c r="I18" s="370">
        <v>4861.1</v>
      </c>
      <c r="J18" s="437"/>
      <c r="K18" s="370"/>
      <c r="L18" s="437"/>
      <c r="M18" s="370"/>
      <c r="N18" s="437">
        <v>7</v>
      </c>
      <c r="O18" s="370">
        <v>2266.2</v>
      </c>
      <c r="P18" s="437"/>
      <c r="Q18" s="432">
        <v>48.8</v>
      </c>
      <c r="R18" s="437"/>
      <c r="S18" s="370"/>
      <c r="T18" s="437"/>
      <c r="U18" s="370"/>
      <c r="V18" s="437"/>
      <c r="W18" s="370">
        <v>255.9</v>
      </c>
      <c r="X18" s="434">
        <v>23</v>
      </c>
      <c r="Y18" s="432">
        <v>7534.2</v>
      </c>
      <c r="Z18" s="434">
        <v>5</v>
      </c>
      <c r="AA18" s="432">
        <v>1848.8</v>
      </c>
      <c r="AB18" s="434"/>
      <c r="AC18" s="432">
        <v>7720</v>
      </c>
      <c r="AD18" s="437">
        <v>8</v>
      </c>
      <c r="AE18" s="370">
        <v>899.1</v>
      </c>
      <c r="AF18" s="437"/>
      <c r="AG18" s="370"/>
      <c r="AH18" s="437">
        <v>9</v>
      </c>
      <c r="AI18" s="370">
        <v>173.4</v>
      </c>
      <c r="AJ18" s="437">
        <v>7</v>
      </c>
      <c r="AK18" s="370">
        <v>649.7</v>
      </c>
      <c r="AL18" s="437"/>
      <c r="AM18" s="370"/>
      <c r="AN18" s="442">
        <f t="shared" si="2"/>
        <v>92</v>
      </c>
      <c r="AO18" s="444">
        <f t="shared" si="2"/>
        <v>27800.199999999997</v>
      </c>
    </row>
    <row r="19" spans="1:41" ht="21">
      <c r="A19" s="10" t="s">
        <v>26</v>
      </c>
      <c r="B19" s="434">
        <v>1</v>
      </c>
      <c r="C19" s="1054">
        <v>105.2</v>
      </c>
      <c r="D19" s="434"/>
      <c r="E19" s="1054"/>
      <c r="F19" s="434"/>
      <c r="G19" s="432"/>
      <c r="H19" s="437"/>
      <c r="I19" s="370"/>
      <c r="J19" s="437"/>
      <c r="K19" s="370"/>
      <c r="L19" s="437"/>
      <c r="M19" s="370"/>
      <c r="N19" s="437"/>
      <c r="O19" s="370"/>
      <c r="P19" s="437"/>
      <c r="Q19" s="432"/>
      <c r="R19" s="437"/>
      <c r="S19" s="370"/>
      <c r="T19" s="437"/>
      <c r="U19" s="370"/>
      <c r="V19" s="437"/>
      <c r="W19" s="370"/>
      <c r="X19" s="434"/>
      <c r="Y19" s="432"/>
      <c r="Z19" s="434"/>
      <c r="AA19" s="432"/>
      <c r="AB19" s="434"/>
      <c r="AC19" s="432"/>
      <c r="AD19" s="437"/>
      <c r="AE19" s="370"/>
      <c r="AF19" s="437"/>
      <c r="AG19" s="370"/>
      <c r="AH19" s="437"/>
      <c r="AI19" s="370"/>
      <c r="AJ19" s="437"/>
      <c r="AK19" s="370"/>
      <c r="AL19" s="437"/>
      <c r="AM19" s="370"/>
      <c r="AN19" s="442">
        <f t="shared" si="2"/>
        <v>1</v>
      </c>
      <c r="AO19" s="444">
        <f t="shared" si="2"/>
        <v>105.2</v>
      </c>
    </row>
    <row r="20" spans="1:41" ht="21">
      <c r="A20" s="10" t="s">
        <v>27</v>
      </c>
      <c r="B20" s="434"/>
      <c r="C20" s="1054"/>
      <c r="D20" s="434"/>
      <c r="E20" s="1054"/>
      <c r="F20" s="434"/>
      <c r="G20" s="432"/>
      <c r="H20" s="437"/>
      <c r="I20" s="370"/>
      <c r="J20" s="437"/>
      <c r="K20" s="370"/>
      <c r="L20" s="437"/>
      <c r="M20" s="370"/>
      <c r="N20" s="437"/>
      <c r="O20" s="370"/>
      <c r="P20" s="437"/>
      <c r="Q20" s="432"/>
      <c r="R20" s="437"/>
      <c r="S20" s="370"/>
      <c r="T20" s="437"/>
      <c r="U20" s="370"/>
      <c r="V20" s="437">
        <v>1</v>
      </c>
      <c r="W20" s="370">
        <v>106.7</v>
      </c>
      <c r="X20" s="434"/>
      <c r="Y20" s="432"/>
      <c r="Z20" s="434"/>
      <c r="AA20" s="432"/>
      <c r="AB20" s="434"/>
      <c r="AC20" s="432"/>
      <c r="AD20" s="437"/>
      <c r="AE20" s="370"/>
      <c r="AF20" s="437"/>
      <c r="AG20" s="370"/>
      <c r="AH20" s="437"/>
      <c r="AI20" s="370"/>
      <c r="AJ20" s="437"/>
      <c r="AK20" s="370"/>
      <c r="AL20" s="437"/>
      <c r="AM20" s="370"/>
      <c r="AN20" s="442">
        <f t="shared" si="2"/>
        <v>1</v>
      </c>
      <c r="AO20" s="444">
        <f t="shared" si="2"/>
        <v>106.7</v>
      </c>
    </row>
    <row r="21" spans="1:41" ht="21">
      <c r="A21" s="10" t="s">
        <v>28</v>
      </c>
      <c r="B21" s="434">
        <v>1</v>
      </c>
      <c r="C21" s="1054">
        <v>223.8</v>
      </c>
      <c r="D21" s="434"/>
      <c r="E21" s="1054"/>
      <c r="F21" s="434"/>
      <c r="G21" s="432"/>
      <c r="H21" s="437"/>
      <c r="I21" s="370"/>
      <c r="J21" s="437"/>
      <c r="K21" s="370"/>
      <c r="L21" s="437"/>
      <c r="M21" s="370"/>
      <c r="N21" s="437"/>
      <c r="O21" s="370"/>
      <c r="P21" s="437"/>
      <c r="Q21" s="432"/>
      <c r="R21" s="437"/>
      <c r="S21" s="370"/>
      <c r="T21" s="437"/>
      <c r="U21" s="370"/>
      <c r="V21" s="437">
        <v>1</v>
      </c>
      <c r="W21" s="370">
        <v>103.2</v>
      </c>
      <c r="X21" s="434">
        <v>3</v>
      </c>
      <c r="Y21" s="432">
        <v>552.8</v>
      </c>
      <c r="Z21" s="434">
        <v>2</v>
      </c>
      <c r="AA21" s="432">
        <v>260.4</v>
      </c>
      <c r="AB21" s="434">
        <v>1</v>
      </c>
      <c r="AC21" s="432">
        <v>157.2</v>
      </c>
      <c r="AD21" s="437">
        <f>1+8</f>
        <v>9</v>
      </c>
      <c r="AE21" s="370">
        <f>191.7+30.4</f>
        <v>222.1</v>
      </c>
      <c r="AF21" s="437"/>
      <c r="AG21" s="370"/>
      <c r="AH21" s="437"/>
      <c r="AI21" s="370"/>
      <c r="AJ21" s="437"/>
      <c r="AK21" s="370"/>
      <c r="AL21" s="437"/>
      <c r="AM21" s="370"/>
      <c r="AN21" s="442">
        <f t="shared" si="2"/>
        <v>17</v>
      </c>
      <c r="AO21" s="444">
        <f t="shared" si="2"/>
        <v>1519.4999999999998</v>
      </c>
    </row>
    <row r="22" spans="1:41" ht="21">
      <c r="A22" s="10" t="s">
        <v>29</v>
      </c>
      <c r="B22" s="434">
        <v>3</v>
      </c>
      <c r="C22" s="1054">
        <v>436.7</v>
      </c>
      <c r="D22" s="434"/>
      <c r="E22" s="1054"/>
      <c r="F22" s="434"/>
      <c r="G22" s="432"/>
      <c r="H22" s="437"/>
      <c r="I22" s="370"/>
      <c r="J22" s="437"/>
      <c r="K22" s="370"/>
      <c r="L22" s="437"/>
      <c r="M22" s="370"/>
      <c r="N22" s="437"/>
      <c r="O22" s="370"/>
      <c r="P22" s="437"/>
      <c r="Q22" s="432"/>
      <c r="R22" s="437"/>
      <c r="S22" s="370"/>
      <c r="T22" s="437"/>
      <c r="U22" s="370"/>
      <c r="V22" s="437"/>
      <c r="W22" s="370"/>
      <c r="X22" s="434">
        <f>1+1</f>
        <v>2</v>
      </c>
      <c r="Y22" s="432">
        <f>59.7+196.5</f>
        <v>256.2</v>
      </c>
      <c r="Z22" s="434">
        <f>1+1</f>
        <v>2</v>
      </c>
      <c r="AA22" s="432">
        <f>256.2+160.2</f>
        <v>416.4</v>
      </c>
      <c r="AB22" s="434">
        <v>1</v>
      </c>
      <c r="AC22" s="432">
        <v>131</v>
      </c>
      <c r="AD22" s="437">
        <v>1</v>
      </c>
      <c r="AE22" s="370">
        <v>61.7</v>
      </c>
      <c r="AF22" s="437"/>
      <c r="AG22" s="370"/>
      <c r="AH22" s="437"/>
      <c r="AI22" s="370"/>
      <c r="AJ22" s="437"/>
      <c r="AK22" s="370"/>
      <c r="AL22" s="437"/>
      <c r="AM22" s="370"/>
      <c r="AN22" s="442">
        <f t="shared" si="2"/>
        <v>9</v>
      </c>
      <c r="AO22" s="444">
        <f t="shared" si="2"/>
        <v>1302</v>
      </c>
    </row>
    <row r="23" spans="1:41" ht="21">
      <c r="A23" s="10" t="s">
        <v>30</v>
      </c>
      <c r="B23" s="434">
        <f>1+6</f>
        <v>7</v>
      </c>
      <c r="C23" s="1054">
        <f>51.4+771.4</f>
        <v>822.8</v>
      </c>
      <c r="D23" s="434"/>
      <c r="E23" s="1054"/>
      <c r="F23" s="434"/>
      <c r="G23" s="432"/>
      <c r="H23" s="437"/>
      <c r="I23" s="370"/>
      <c r="J23" s="437"/>
      <c r="K23" s="370"/>
      <c r="L23" s="437"/>
      <c r="M23" s="370"/>
      <c r="N23" s="437"/>
      <c r="O23" s="370"/>
      <c r="P23" s="437"/>
      <c r="Q23" s="432"/>
      <c r="R23" s="437"/>
      <c r="S23" s="370"/>
      <c r="T23" s="437"/>
      <c r="U23" s="370"/>
      <c r="V23" s="437">
        <v>1</v>
      </c>
      <c r="W23" s="370">
        <v>105.2</v>
      </c>
      <c r="X23" s="434">
        <v>1</v>
      </c>
      <c r="Y23" s="432">
        <v>153.7</v>
      </c>
      <c r="Z23" s="434">
        <v>2</v>
      </c>
      <c r="AA23" s="432">
        <v>73.2</v>
      </c>
      <c r="AB23" s="434">
        <v>1</v>
      </c>
      <c r="AC23" s="432">
        <v>118.4</v>
      </c>
      <c r="AD23" s="437"/>
      <c r="AE23" s="370"/>
      <c r="AF23" s="437"/>
      <c r="AG23" s="370"/>
      <c r="AH23" s="437"/>
      <c r="AI23" s="370"/>
      <c r="AJ23" s="437"/>
      <c r="AK23" s="370"/>
      <c r="AL23" s="437"/>
      <c r="AM23" s="370"/>
      <c r="AN23" s="442">
        <f t="shared" si="2"/>
        <v>12</v>
      </c>
      <c r="AO23" s="444">
        <f t="shared" si="2"/>
        <v>1273.3000000000002</v>
      </c>
    </row>
    <row r="24" spans="1:41" ht="21">
      <c r="A24" s="10" t="s">
        <v>298</v>
      </c>
      <c r="B24" s="434"/>
      <c r="C24" s="1054"/>
      <c r="D24" s="434"/>
      <c r="E24" s="1054"/>
      <c r="F24" s="434"/>
      <c r="G24" s="432"/>
      <c r="H24" s="437"/>
      <c r="I24" s="370"/>
      <c r="J24" s="437"/>
      <c r="K24" s="370"/>
      <c r="L24" s="437"/>
      <c r="M24" s="370"/>
      <c r="N24" s="437"/>
      <c r="O24" s="370"/>
      <c r="P24" s="437"/>
      <c r="Q24" s="432"/>
      <c r="R24" s="437"/>
      <c r="S24" s="370"/>
      <c r="T24" s="437"/>
      <c r="U24" s="370"/>
      <c r="V24" s="437"/>
      <c r="W24" s="370"/>
      <c r="X24" s="434">
        <v>1</v>
      </c>
      <c r="Y24" s="432">
        <v>155.6</v>
      </c>
      <c r="Z24" s="434"/>
      <c r="AA24" s="432"/>
      <c r="AB24" s="434"/>
      <c r="AC24" s="432"/>
      <c r="AD24" s="437"/>
      <c r="AE24" s="370"/>
      <c r="AF24" s="437"/>
      <c r="AG24" s="370"/>
      <c r="AH24" s="437"/>
      <c r="AI24" s="370"/>
      <c r="AJ24" s="437"/>
      <c r="AK24" s="370"/>
      <c r="AL24" s="437"/>
      <c r="AM24" s="370"/>
      <c r="AN24" s="442">
        <f t="shared" si="2"/>
        <v>1</v>
      </c>
      <c r="AO24" s="444">
        <f t="shared" si="2"/>
        <v>155.6</v>
      </c>
    </row>
    <row r="25" spans="1:41" ht="21">
      <c r="A25" s="10" t="s">
        <v>31</v>
      </c>
      <c r="B25" s="434">
        <v>3</v>
      </c>
      <c r="C25" s="1054">
        <v>281.6</v>
      </c>
      <c r="D25" s="434"/>
      <c r="E25" s="1054"/>
      <c r="F25" s="434"/>
      <c r="G25" s="432"/>
      <c r="H25" s="437"/>
      <c r="I25" s="370"/>
      <c r="J25" s="437">
        <f>1+2</f>
        <v>3</v>
      </c>
      <c r="K25" s="370">
        <f>255.5+253.3</f>
        <v>508.8</v>
      </c>
      <c r="L25" s="437"/>
      <c r="M25" s="370"/>
      <c r="N25" s="437"/>
      <c r="O25" s="370"/>
      <c r="P25" s="437"/>
      <c r="Q25" s="432"/>
      <c r="R25" s="437"/>
      <c r="S25" s="370"/>
      <c r="T25" s="437"/>
      <c r="U25" s="370"/>
      <c r="V25" s="437"/>
      <c r="W25" s="370"/>
      <c r="X25" s="434">
        <v>1</v>
      </c>
      <c r="Y25" s="432">
        <v>60</v>
      </c>
      <c r="Z25" s="434">
        <f>1+2</f>
        <v>3</v>
      </c>
      <c r="AA25" s="432">
        <f>677.1+217.1</f>
        <v>894.2</v>
      </c>
      <c r="AB25" s="434">
        <v>3</v>
      </c>
      <c r="AC25" s="432">
        <v>364.4</v>
      </c>
      <c r="AD25" s="437"/>
      <c r="AE25" s="370"/>
      <c r="AF25" s="437"/>
      <c r="AG25" s="370"/>
      <c r="AH25" s="437"/>
      <c r="AI25" s="370"/>
      <c r="AJ25" s="437"/>
      <c r="AK25" s="370"/>
      <c r="AL25" s="437"/>
      <c r="AM25" s="370"/>
      <c r="AN25" s="442">
        <f t="shared" si="2"/>
        <v>13</v>
      </c>
      <c r="AO25" s="444">
        <f t="shared" si="2"/>
        <v>2109</v>
      </c>
    </row>
    <row r="26" spans="1:41" ht="21">
      <c r="A26" s="10" t="s">
        <v>233</v>
      </c>
      <c r="B26" s="434"/>
      <c r="C26" s="1054"/>
      <c r="D26" s="434"/>
      <c r="E26" s="1054"/>
      <c r="F26" s="434"/>
      <c r="G26" s="432"/>
      <c r="H26" s="437"/>
      <c r="I26" s="370"/>
      <c r="J26" s="437"/>
      <c r="K26" s="370"/>
      <c r="L26" s="437"/>
      <c r="M26" s="370"/>
      <c r="N26" s="437"/>
      <c r="O26" s="370"/>
      <c r="P26" s="437"/>
      <c r="Q26" s="432"/>
      <c r="R26" s="437"/>
      <c r="S26" s="370"/>
      <c r="T26" s="437"/>
      <c r="U26" s="370"/>
      <c r="V26" s="437">
        <v>1</v>
      </c>
      <c r="W26" s="370">
        <v>106.8</v>
      </c>
      <c r="X26" s="434"/>
      <c r="Y26" s="432"/>
      <c r="Z26" s="434">
        <v>1</v>
      </c>
      <c r="AA26" s="432">
        <v>141</v>
      </c>
      <c r="AB26" s="434"/>
      <c r="AC26" s="432"/>
      <c r="AD26" s="437"/>
      <c r="AE26" s="370"/>
      <c r="AF26" s="437">
        <v>7</v>
      </c>
      <c r="AG26" s="370">
        <v>150.5</v>
      </c>
      <c r="AH26" s="437"/>
      <c r="AI26" s="370"/>
      <c r="AJ26" s="437"/>
      <c r="AK26" s="370"/>
      <c r="AL26" s="437"/>
      <c r="AM26" s="370"/>
      <c r="AN26" s="442">
        <f t="shared" si="2"/>
        <v>9</v>
      </c>
      <c r="AO26" s="444">
        <f t="shared" si="2"/>
        <v>398.3</v>
      </c>
    </row>
    <row r="27" spans="1:41" ht="21">
      <c r="A27" s="10" t="s">
        <v>32</v>
      </c>
      <c r="B27" s="434">
        <f>2+1+6</f>
        <v>9</v>
      </c>
      <c r="C27" s="1054">
        <f>210.4+159.8+789.2</f>
        <v>1159.4</v>
      </c>
      <c r="D27" s="434"/>
      <c r="E27" s="1054"/>
      <c r="F27" s="434"/>
      <c r="G27" s="432"/>
      <c r="H27" s="437"/>
      <c r="I27" s="370"/>
      <c r="J27" s="437"/>
      <c r="K27" s="370"/>
      <c r="L27" s="437"/>
      <c r="M27" s="370"/>
      <c r="N27" s="437"/>
      <c r="O27" s="370"/>
      <c r="P27" s="437"/>
      <c r="Q27" s="432"/>
      <c r="R27" s="437"/>
      <c r="S27" s="370"/>
      <c r="T27" s="437"/>
      <c r="U27" s="370"/>
      <c r="V27" s="437">
        <v>1</v>
      </c>
      <c r="W27" s="370">
        <v>93.3</v>
      </c>
      <c r="X27" s="434">
        <f>16+1+4</f>
        <v>21</v>
      </c>
      <c r="Y27" s="432">
        <f>799.9+52.3+597</f>
        <v>1449.1999999999998</v>
      </c>
      <c r="Z27" s="434">
        <f>3+4</f>
        <v>7</v>
      </c>
      <c r="AA27" s="432">
        <f>321.8+386.1</f>
        <v>707.9000000000001</v>
      </c>
      <c r="AB27" s="434">
        <v>3</v>
      </c>
      <c r="AC27" s="432">
        <v>338.4</v>
      </c>
      <c r="AD27" s="437">
        <f>1+5</f>
        <v>6</v>
      </c>
      <c r="AE27" s="370">
        <f>114.8+763.1</f>
        <v>877.9</v>
      </c>
      <c r="AF27" s="437"/>
      <c r="AG27" s="370"/>
      <c r="AH27" s="437"/>
      <c r="AI27" s="370"/>
      <c r="AJ27" s="437"/>
      <c r="AK27" s="370"/>
      <c r="AL27" s="437"/>
      <c r="AM27" s="370"/>
      <c r="AN27" s="442">
        <f t="shared" si="2"/>
        <v>47</v>
      </c>
      <c r="AO27" s="444">
        <f t="shared" si="2"/>
        <v>4626.1</v>
      </c>
    </row>
    <row r="28" spans="1:41" ht="21">
      <c r="A28" s="16" t="s">
        <v>235</v>
      </c>
      <c r="B28" s="435"/>
      <c r="C28" s="1055"/>
      <c r="D28" s="435"/>
      <c r="E28" s="1055"/>
      <c r="F28" s="435"/>
      <c r="G28" s="433"/>
      <c r="H28" s="438"/>
      <c r="I28" s="439"/>
      <c r="J28" s="438"/>
      <c r="K28" s="439"/>
      <c r="L28" s="438"/>
      <c r="M28" s="439"/>
      <c r="N28" s="438"/>
      <c r="O28" s="439"/>
      <c r="P28" s="438"/>
      <c r="Q28" s="433"/>
      <c r="R28" s="438"/>
      <c r="S28" s="439"/>
      <c r="T28" s="438"/>
      <c r="U28" s="439"/>
      <c r="V28" s="438"/>
      <c r="W28" s="439"/>
      <c r="X28" s="435">
        <v>1</v>
      </c>
      <c r="Y28" s="433">
        <v>60.3</v>
      </c>
      <c r="Z28" s="435"/>
      <c r="AA28" s="433"/>
      <c r="AB28" s="435"/>
      <c r="AC28" s="433"/>
      <c r="AD28" s="438"/>
      <c r="AE28" s="439"/>
      <c r="AF28" s="438"/>
      <c r="AG28" s="439"/>
      <c r="AH28" s="438"/>
      <c r="AI28" s="439"/>
      <c r="AJ28" s="438"/>
      <c r="AK28" s="439"/>
      <c r="AL28" s="438"/>
      <c r="AM28" s="439"/>
      <c r="AN28" s="443">
        <f t="shared" si="2"/>
        <v>1</v>
      </c>
      <c r="AO28" s="445">
        <f t="shared" si="2"/>
        <v>60.3</v>
      </c>
    </row>
    <row r="29" spans="1:41" ht="21">
      <c r="A29" s="447" t="s">
        <v>33</v>
      </c>
      <c r="B29" s="485"/>
      <c r="C29" s="695"/>
      <c r="D29" s="485"/>
      <c r="E29" s="695"/>
      <c r="F29" s="485"/>
      <c r="G29" s="486"/>
      <c r="H29" s="487"/>
      <c r="I29" s="488"/>
      <c r="J29" s="487"/>
      <c r="K29" s="488"/>
      <c r="L29" s="487"/>
      <c r="M29" s="488"/>
      <c r="N29" s="487"/>
      <c r="O29" s="488"/>
      <c r="P29" s="487"/>
      <c r="Q29" s="486"/>
      <c r="R29" s="487"/>
      <c r="S29" s="488"/>
      <c r="T29" s="487"/>
      <c r="U29" s="488"/>
      <c r="V29" s="487"/>
      <c r="W29" s="488"/>
      <c r="X29" s="487"/>
      <c r="Y29" s="488"/>
      <c r="Z29" s="485"/>
      <c r="AA29" s="486"/>
      <c r="AB29" s="485"/>
      <c r="AC29" s="486"/>
      <c r="AD29" s="485"/>
      <c r="AE29" s="486"/>
      <c r="AF29" s="485"/>
      <c r="AG29" s="486"/>
      <c r="AH29" s="485"/>
      <c r="AI29" s="486"/>
      <c r="AJ29" s="485"/>
      <c r="AK29" s="486"/>
      <c r="AL29" s="485"/>
      <c r="AM29" s="486"/>
      <c r="AN29" s="489"/>
      <c r="AO29" s="490"/>
    </row>
    <row r="30" spans="1:41" ht="21">
      <c r="A30" s="10" t="s">
        <v>183</v>
      </c>
      <c r="B30" s="434"/>
      <c r="C30" s="1054"/>
      <c r="D30" s="434"/>
      <c r="E30" s="1054"/>
      <c r="F30" s="434"/>
      <c r="G30" s="432"/>
      <c r="H30" s="437"/>
      <c r="I30" s="370"/>
      <c r="J30" s="437"/>
      <c r="K30" s="370"/>
      <c r="L30" s="437"/>
      <c r="M30" s="370"/>
      <c r="N30" s="437"/>
      <c r="O30" s="370"/>
      <c r="P30" s="437"/>
      <c r="Q30" s="432"/>
      <c r="R30" s="437"/>
      <c r="S30" s="370"/>
      <c r="T30" s="437"/>
      <c r="U30" s="370"/>
      <c r="V30" s="437"/>
      <c r="W30" s="370"/>
      <c r="X30" s="434"/>
      <c r="Y30" s="432"/>
      <c r="Z30" s="434">
        <v>1</v>
      </c>
      <c r="AA30" s="432">
        <v>211.9</v>
      </c>
      <c r="AB30" s="434"/>
      <c r="AC30" s="432"/>
      <c r="AD30" s="437">
        <v>1</v>
      </c>
      <c r="AE30" s="370">
        <v>239</v>
      </c>
      <c r="AF30" s="437"/>
      <c r="AG30" s="370"/>
      <c r="AH30" s="437"/>
      <c r="AI30" s="370"/>
      <c r="AJ30" s="437"/>
      <c r="AK30" s="370"/>
      <c r="AL30" s="437"/>
      <c r="AM30" s="370"/>
      <c r="AN30" s="442">
        <f aca="true" t="shared" si="3" ref="AN30:AO32">SUM(B30,D30,F30,H30,J30,L30,N30,P30,R30,T30,V30,Z30,X30,AB30,AD30,AF30,AH30,AL30)</f>
        <v>2</v>
      </c>
      <c r="AO30" s="444">
        <f t="shared" si="3"/>
        <v>450.9</v>
      </c>
    </row>
    <row r="31" spans="1:41" ht="21">
      <c r="A31" s="10" t="s">
        <v>143</v>
      </c>
      <c r="B31" s="434">
        <v>1</v>
      </c>
      <c r="C31" s="1054">
        <v>173.5</v>
      </c>
      <c r="D31" s="434"/>
      <c r="E31" s="1054"/>
      <c r="F31" s="434"/>
      <c r="G31" s="432"/>
      <c r="H31" s="437"/>
      <c r="I31" s="370"/>
      <c r="J31" s="437"/>
      <c r="K31" s="370"/>
      <c r="L31" s="437"/>
      <c r="M31" s="370"/>
      <c r="N31" s="437"/>
      <c r="O31" s="370"/>
      <c r="P31" s="437"/>
      <c r="Q31" s="432"/>
      <c r="R31" s="437"/>
      <c r="S31" s="370"/>
      <c r="T31" s="437"/>
      <c r="U31" s="370"/>
      <c r="V31" s="437">
        <v>1</v>
      </c>
      <c r="W31" s="370">
        <v>209.6</v>
      </c>
      <c r="X31" s="434"/>
      <c r="Y31" s="432">
        <f>94.2</f>
        <v>94.2</v>
      </c>
      <c r="Z31" s="434"/>
      <c r="AA31" s="432">
        <v>114.5</v>
      </c>
      <c r="AB31" s="434">
        <v>1</v>
      </c>
      <c r="AC31" s="432">
        <v>253.6</v>
      </c>
      <c r="AD31" s="437"/>
      <c r="AE31" s="370"/>
      <c r="AF31" s="437"/>
      <c r="AG31" s="370"/>
      <c r="AH31" s="437"/>
      <c r="AI31" s="370"/>
      <c r="AJ31" s="437"/>
      <c r="AK31" s="370"/>
      <c r="AL31" s="437"/>
      <c r="AM31" s="370"/>
      <c r="AN31" s="442">
        <f t="shared" si="3"/>
        <v>3</v>
      </c>
      <c r="AO31" s="444">
        <f t="shared" si="3"/>
        <v>845.4000000000001</v>
      </c>
    </row>
    <row r="32" spans="1:41" ht="21">
      <c r="A32" s="10" t="s">
        <v>258</v>
      </c>
      <c r="B32" s="434">
        <v>3</v>
      </c>
      <c r="C32" s="1054">
        <v>819.2</v>
      </c>
      <c r="D32" s="434"/>
      <c r="E32" s="1054"/>
      <c r="F32" s="434"/>
      <c r="G32" s="432"/>
      <c r="H32" s="437"/>
      <c r="I32" s="370"/>
      <c r="J32" s="437">
        <v>2</v>
      </c>
      <c r="K32" s="370">
        <v>580</v>
      </c>
      <c r="L32" s="437"/>
      <c r="M32" s="370"/>
      <c r="N32" s="437"/>
      <c r="O32" s="370"/>
      <c r="P32" s="437"/>
      <c r="Q32" s="432"/>
      <c r="R32" s="437"/>
      <c r="S32" s="370"/>
      <c r="T32" s="437"/>
      <c r="U32" s="370"/>
      <c r="V32" s="437"/>
      <c r="W32" s="370"/>
      <c r="X32" s="434"/>
      <c r="Y32" s="432"/>
      <c r="Z32" s="434">
        <v>3</v>
      </c>
      <c r="AA32" s="432">
        <v>750.5</v>
      </c>
      <c r="AB32" s="434"/>
      <c r="AC32" s="432"/>
      <c r="AD32" s="437">
        <v>2</v>
      </c>
      <c r="AE32" s="370">
        <v>724.4</v>
      </c>
      <c r="AF32" s="437"/>
      <c r="AG32" s="370"/>
      <c r="AH32" s="437"/>
      <c r="AI32" s="370"/>
      <c r="AJ32" s="437"/>
      <c r="AK32" s="370"/>
      <c r="AL32" s="437"/>
      <c r="AM32" s="370"/>
      <c r="AN32" s="442">
        <f t="shared" si="3"/>
        <v>10</v>
      </c>
      <c r="AO32" s="444">
        <f t="shared" si="3"/>
        <v>2874.1</v>
      </c>
    </row>
    <row r="33" spans="1:41" ht="21">
      <c r="A33" s="10" t="s">
        <v>464</v>
      </c>
      <c r="B33" s="435">
        <v>1</v>
      </c>
      <c r="C33" s="1055">
        <v>323.1</v>
      </c>
      <c r="D33" s="435"/>
      <c r="E33" s="1055"/>
      <c r="F33" s="435"/>
      <c r="G33" s="433"/>
      <c r="H33" s="438"/>
      <c r="I33" s="439"/>
      <c r="J33" s="438"/>
      <c r="K33" s="439"/>
      <c r="L33" s="438"/>
      <c r="M33" s="439"/>
      <c r="N33" s="438"/>
      <c r="O33" s="439"/>
      <c r="P33" s="438"/>
      <c r="Q33" s="433"/>
      <c r="R33" s="438"/>
      <c r="S33" s="439"/>
      <c r="T33" s="438"/>
      <c r="U33" s="439"/>
      <c r="V33" s="438"/>
      <c r="W33" s="439"/>
      <c r="X33" s="435"/>
      <c r="Y33" s="433"/>
      <c r="Z33" s="435"/>
      <c r="AA33" s="433"/>
      <c r="AB33" s="435"/>
      <c r="AC33" s="433"/>
      <c r="AD33" s="438"/>
      <c r="AE33" s="439"/>
      <c r="AF33" s="438"/>
      <c r="AG33" s="439"/>
      <c r="AH33" s="438"/>
      <c r="AI33" s="439"/>
      <c r="AJ33" s="438"/>
      <c r="AK33" s="439"/>
      <c r="AL33" s="438"/>
      <c r="AM33" s="439"/>
      <c r="AN33" s="443">
        <f>SUM(B33,D33,F33,H33,J33,L33,N33,P33,R33,T33,V33,Z33,X33,AB33,AD33,AF33,AH33,AL33)</f>
        <v>1</v>
      </c>
      <c r="AO33" s="445">
        <f>SUM(C33,E33,G33,I33,K33,M33,O33,Q33,S33,U33,W33,AA33,Y33,AC33,AE33,AG33,AI33,AM33)</f>
        <v>323.1</v>
      </c>
    </row>
    <row r="34" spans="1:41" ht="21">
      <c r="A34" s="447" t="s">
        <v>65</v>
      </c>
      <c r="B34" s="485"/>
      <c r="C34" s="695"/>
      <c r="D34" s="485"/>
      <c r="E34" s="695"/>
      <c r="F34" s="485"/>
      <c r="G34" s="486"/>
      <c r="H34" s="487"/>
      <c r="I34" s="488"/>
      <c r="J34" s="487"/>
      <c r="K34" s="488"/>
      <c r="L34" s="487"/>
      <c r="M34" s="488"/>
      <c r="N34" s="487"/>
      <c r="O34" s="488"/>
      <c r="P34" s="487"/>
      <c r="Q34" s="486"/>
      <c r="R34" s="487"/>
      <c r="S34" s="488"/>
      <c r="T34" s="487"/>
      <c r="U34" s="488"/>
      <c r="V34" s="487"/>
      <c r="W34" s="488"/>
      <c r="X34" s="487"/>
      <c r="Y34" s="488"/>
      <c r="Z34" s="485"/>
      <c r="AA34" s="486"/>
      <c r="AB34" s="485"/>
      <c r="AC34" s="486"/>
      <c r="AD34" s="485"/>
      <c r="AE34" s="486"/>
      <c r="AF34" s="485"/>
      <c r="AG34" s="486"/>
      <c r="AH34" s="485"/>
      <c r="AI34" s="486"/>
      <c r="AJ34" s="485"/>
      <c r="AK34" s="486"/>
      <c r="AL34" s="485"/>
      <c r="AM34" s="486"/>
      <c r="AN34" s="489"/>
      <c r="AO34" s="490"/>
    </row>
    <row r="35" spans="1:41" ht="21">
      <c r="A35" s="10" t="s">
        <v>463</v>
      </c>
      <c r="B35" s="434">
        <v>1</v>
      </c>
      <c r="C35" s="1054">
        <v>124</v>
      </c>
      <c r="D35" s="434"/>
      <c r="E35" s="1054"/>
      <c r="F35" s="434"/>
      <c r="G35" s="432"/>
      <c r="H35" s="437"/>
      <c r="I35" s="370"/>
      <c r="J35" s="437"/>
      <c r="K35" s="370"/>
      <c r="L35" s="437"/>
      <c r="M35" s="370"/>
      <c r="N35" s="437"/>
      <c r="O35" s="370"/>
      <c r="P35" s="437"/>
      <c r="Q35" s="432"/>
      <c r="R35" s="437"/>
      <c r="S35" s="370"/>
      <c r="T35" s="437"/>
      <c r="U35" s="370"/>
      <c r="V35" s="437"/>
      <c r="W35" s="370"/>
      <c r="X35" s="434"/>
      <c r="Y35" s="432"/>
      <c r="Z35" s="434"/>
      <c r="AA35" s="432"/>
      <c r="AB35" s="434"/>
      <c r="AC35" s="432"/>
      <c r="AD35" s="437"/>
      <c r="AE35" s="370"/>
      <c r="AF35" s="437"/>
      <c r="AG35" s="370"/>
      <c r="AH35" s="437"/>
      <c r="AI35" s="370"/>
      <c r="AJ35" s="437"/>
      <c r="AK35" s="370"/>
      <c r="AL35" s="437"/>
      <c r="AM35" s="370"/>
      <c r="AN35" s="442">
        <f>SUM(B35,D35,F35,H35,J35,L35,N35,P35,R35,T35,V35,Z35,X35,AB35,AD35,AF35,AH35,AL35)</f>
        <v>1</v>
      </c>
      <c r="AO35" s="444">
        <f>SUM(C35,E35,G35,I35,K35,M35,O35,Q35,S35,U35,W35,AA35,Y35,AC35,AE35,AG35,AI35,AM35)</f>
        <v>124</v>
      </c>
    </row>
    <row r="36" spans="1:41" ht="21">
      <c r="A36" s="10" t="s">
        <v>156</v>
      </c>
      <c r="B36" s="434"/>
      <c r="C36" s="1054"/>
      <c r="D36" s="434"/>
      <c r="E36" s="1054"/>
      <c r="F36" s="434"/>
      <c r="G36" s="432"/>
      <c r="H36" s="437"/>
      <c r="I36" s="370"/>
      <c r="J36" s="437"/>
      <c r="K36" s="370"/>
      <c r="L36" s="437"/>
      <c r="M36" s="370"/>
      <c r="N36" s="437"/>
      <c r="O36" s="370">
        <v>337.9</v>
      </c>
      <c r="P36" s="437"/>
      <c r="Q36" s="432"/>
      <c r="R36" s="437"/>
      <c r="S36" s="370"/>
      <c r="T36" s="437"/>
      <c r="U36" s="370"/>
      <c r="V36" s="437"/>
      <c r="W36" s="370"/>
      <c r="X36" s="434"/>
      <c r="Y36" s="432"/>
      <c r="Z36" s="434"/>
      <c r="AA36" s="432"/>
      <c r="AB36" s="434"/>
      <c r="AC36" s="432"/>
      <c r="AD36" s="437"/>
      <c r="AE36" s="370"/>
      <c r="AF36" s="437"/>
      <c r="AG36" s="370"/>
      <c r="AH36" s="437"/>
      <c r="AI36" s="370"/>
      <c r="AJ36" s="437"/>
      <c r="AK36" s="370"/>
      <c r="AL36" s="437"/>
      <c r="AM36" s="370"/>
      <c r="AN36" s="442">
        <f>SUM(B36,D36,F36,H36,J36,L36,N36,P36,R36,T36,V36,Z36,X36,AB36,AD36,AF36,AH36,AL36,AJ36)</f>
        <v>0</v>
      </c>
      <c r="AO36" s="444">
        <f>SUM(C36,E36,G36,I36,K36,M36,O36,Q36,S36,U36,W36,AA36,Y36,AC36,AE36,AG36,AI36,AM36,AK36)</f>
        <v>337.9</v>
      </c>
    </row>
    <row r="37" spans="1:41" ht="21">
      <c r="A37" s="10" t="s">
        <v>36</v>
      </c>
      <c r="B37" s="434"/>
      <c r="C37" s="1054"/>
      <c r="D37" s="434"/>
      <c r="E37" s="1054"/>
      <c r="F37" s="434"/>
      <c r="G37" s="432"/>
      <c r="H37" s="437"/>
      <c r="I37" s="370"/>
      <c r="J37" s="437"/>
      <c r="K37" s="370"/>
      <c r="L37" s="437"/>
      <c r="M37" s="370"/>
      <c r="N37" s="437"/>
      <c r="O37" s="370"/>
      <c r="P37" s="437"/>
      <c r="Q37" s="432"/>
      <c r="R37" s="437"/>
      <c r="S37" s="370"/>
      <c r="T37" s="437"/>
      <c r="U37" s="370"/>
      <c r="V37" s="437"/>
      <c r="W37" s="370"/>
      <c r="X37" s="434">
        <v>1</v>
      </c>
      <c r="Y37" s="432">
        <v>233.6</v>
      </c>
      <c r="Z37" s="434"/>
      <c r="AA37" s="432"/>
      <c r="AB37" s="434"/>
      <c r="AC37" s="432"/>
      <c r="AD37" s="437"/>
      <c r="AE37" s="370"/>
      <c r="AF37" s="437"/>
      <c r="AG37" s="370"/>
      <c r="AH37" s="437"/>
      <c r="AI37" s="370"/>
      <c r="AJ37" s="437"/>
      <c r="AK37" s="370"/>
      <c r="AL37" s="437"/>
      <c r="AM37" s="370"/>
      <c r="AN37" s="442">
        <f aca="true" t="shared" si="4" ref="AN37:AO56">SUM(B37,D37,F37,H37,J37,L37,N37,P37,R37,T37,V37,Z37,X37,AB37,AD37,AF37,AH37,AL37,AJ37)</f>
        <v>1</v>
      </c>
      <c r="AO37" s="444">
        <f t="shared" si="4"/>
        <v>233.6</v>
      </c>
    </row>
    <row r="38" spans="1:41" ht="21">
      <c r="A38" s="10" t="s">
        <v>37</v>
      </c>
      <c r="B38" s="434">
        <v>2</v>
      </c>
      <c r="C38" s="1054">
        <v>384.4</v>
      </c>
      <c r="D38" s="434"/>
      <c r="E38" s="1054"/>
      <c r="F38" s="434"/>
      <c r="G38" s="432"/>
      <c r="H38" s="437"/>
      <c r="I38" s="370"/>
      <c r="J38" s="437"/>
      <c r="K38" s="370"/>
      <c r="L38" s="437"/>
      <c r="M38" s="370"/>
      <c r="N38" s="437"/>
      <c r="O38" s="370"/>
      <c r="P38" s="437"/>
      <c r="Q38" s="432"/>
      <c r="R38" s="437"/>
      <c r="S38" s="370"/>
      <c r="T38" s="437"/>
      <c r="U38" s="370"/>
      <c r="V38" s="437"/>
      <c r="W38" s="370"/>
      <c r="X38" s="434"/>
      <c r="Y38" s="432"/>
      <c r="Z38" s="434"/>
      <c r="AA38" s="432"/>
      <c r="AB38" s="434"/>
      <c r="AC38" s="432"/>
      <c r="AD38" s="437"/>
      <c r="AE38" s="370"/>
      <c r="AF38" s="437">
        <v>1</v>
      </c>
      <c r="AG38" s="370">
        <v>137.4</v>
      </c>
      <c r="AH38" s="437"/>
      <c r="AI38" s="370"/>
      <c r="AJ38" s="437"/>
      <c r="AK38" s="370"/>
      <c r="AL38" s="437"/>
      <c r="AM38" s="370"/>
      <c r="AN38" s="442">
        <f t="shared" si="4"/>
        <v>3</v>
      </c>
      <c r="AO38" s="444">
        <f t="shared" si="4"/>
        <v>521.8</v>
      </c>
    </row>
    <row r="39" spans="1:41" ht="21">
      <c r="A39" s="10" t="s">
        <v>229</v>
      </c>
      <c r="B39" s="434">
        <v>1</v>
      </c>
      <c r="C39" s="1054">
        <v>263.1</v>
      </c>
      <c r="D39" s="434"/>
      <c r="E39" s="1054"/>
      <c r="F39" s="434"/>
      <c r="G39" s="432"/>
      <c r="H39" s="437"/>
      <c r="I39" s="370"/>
      <c r="J39" s="437"/>
      <c r="K39" s="370"/>
      <c r="L39" s="437"/>
      <c r="M39" s="370"/>
      <c r="N39" s="437"/>
      <c r="O39" s="370"/>
      <c r="P39" s="437"/>
      <c r="Q39" s="432"/>
      <c r="R39" s="437"/>
      <c r="S39" s="370"/>
      <c r="T39" s="437"/>
      <c r="U39" s="370"/>
      <c r="V39" s="437"/>
      <c r="W39" s="370"/>
      <c r="X39" s="434">
        <v>1</v>
      </c>
      <c r="Y39" s="432">
        <v>221.6</v>
      </c>
      <c r="Z39" s="434">
        <v>2</v>
      </c>
      <c r="AA39" s="432">
        <v>414.2</v>
      </c>
      <c r="AB39" s="434"/>
      <c r="AC39" s="432"/>
      <c r="AD39" s="437"/>
      <c r="AE39" s="370"/>
      <c r="AF39" s="437">
        <v>2</v>
      </c>
      <c r="AG39" s="370">
        <v>404.5</v>
      </c>
      <c r="AH39" s="437"/>
      <c r="AI39" s="370"/>
      <c r="AJ39" s="437"/>
      <c r="AK39" s="370"/>
      <c r="AL39" s="437"/>
      <c r="AM39" s="370"/>
      <c r="AN39" s="442">
        <f t="shared" si="4"/>
        <v>6</v>
      </c>
      <c r="AO39" s="444">
        <f t="shared" si="4"/>
        <v>1303.4</v>
      </c>
    </row>
    <row r="40" spans="1:41" ht="21">
      <c r="A40" s="10" t="s">
        <v>185</v>
      </c>
      <c r="B40" s="434">
        <v>2</v>
      </c>
      <c r="C40" s="1054">
        <v>122.8</v>
      </c>
      <c r="D40" s="434"/>
      <c r="E40" s="1054"/>
      <c r="F40" s="434"/>
      <c r="G40" s="432"/>
      <c r="H40" s="437"/>
      <c r="I40" s="370"/>
      <c r="J40" s="437"/>
      <c r="K40" s="370"/>
      <c r="L40" s="437"/>
      <c r="M40" s="370"/>
      <c r="N40" s="437"/>
      <c r="O40" s="370"/>
      <c r="P40" s="437"/>
      <c r="Q40" s="432"/>
      <c r="R40" s="437"/>
      <c r="S40" s="370"/>
      <c r="T40" s="437"/>
      <c r="U40" s="370"/>
      <c r="V40" s="437">
        <v>1</v>
      </c>
      <c r="W40" s="370">
        <v>121.5</v>
      </c>
      <c r="X40" s="434"/>
      <c r="Y40" s="432"/>
      <c r="Z40" s="434">
        <v>1</v>
      </c>
      <c r="AA40" s="432">
        <v>189.8</v>
      </c>
      <c r="AB40" s="434"/>
      <c r="AC40" s="432"/>
      <c r="AD40" s="437"/>
      <c r="AE40" s="370"/>
      <c r="AF40" s="437">
        <v>2</v>
      </c>
      <c r="AG40" s="370">
        <v>414.8</v>
      </c>
      <c r="AH40" s="437"/>
      <c r="AI40" s="370"/>
      <c r="AJ40" s="437"/>
      <c r="AK40" s="370"/>
      <c r="AL40" s="437"/>
      <c r="AM40" s="370"/>
      <c r="AN40" s="442">
        <f t="shared" si="4"/>
        <v>6</v>
      </c>
      <c r="AO40" s="444">
        <f t="shared" si="4"/>
        <v>848.9000000000001</v>
      </c>
    </row>
    <row r="41" spans="1:41" ht="21">
      <c r="A41" s="10" t="s">
        <v>38</v>
      </c>
      <c r="B41" s="434">
        <f>7+5</f>
        <v>12</v>
      </c>
      <c r="C41" s="1054">
        <f>1111.3+299.6</f>
        <v>1410.9</v>
      </c>
      <c r="D41" s="434"/>
      <c r="E41" s="1054"/>
      <c r="F41" s="434"/>
      <c r="G41" s="432"/>
      <c r="H41" s="437"/>
      <c r="I41" s="370"/>
      <c r="J41" s="437"/>
      <c r="K41" s="370"/>
      <c r="L41" s="437"/>
      <c r="M41" s="370"/>
      <c r="N41" s="437"/>
      <c r="O41" s="370"/>
      <c r="P41" s="437"/>
      <c r="Q41" s="432"/>
      <c r="R41" s="437"/>
      <c r="S41" s="370"/>
      <c r="T41" s="437"/>
      <c r="U41" s="370"/>
      <c r="V41" s="437"/>
      <c r="W41" s="370"/>
      <c r="X41" s="434"/>
      <c r="Y41" s="432"/>
      <c r="Z41" s="434">
        <v>2</v>
      </c>
      <c r="AA41" s="432">
        <v>597.7</v>
      </c>
      <c r="AB41" s="434"/>
      <c r="AC41" s="432"/>
      <c r="AD41" s="437">
        <f>1+2</f>
        <v>3</v>
      </c>
      <c r="AE41" s="370">
        <f>183.8+542.6</f>
        <v>726.4000000000001</v>
      </c>
      <c r="AF41" s="437">
        <v>1</v>
      </c>
      <c r="AG41" s="370">
        <v>200</v>
      </c>
      <c r="AH41" s="437"/>
      <c r="AI41" s="370"/>
      <c r="AJ41" s="437"/>
      <c r="AK41" s="370"/>
      <c r="AL41" s="437"/>
      <c r="AM41" s="370"/>
      <c r="AN41" s="442">
        <f t="shared" si="4"/>
        <v>18</v>
      </c>
      <c r="AO41" s="444">
        <f t="shared" si="4"/>
        <v>2935</v>
      </c>
    </row>
    <row r="42" spans="1:41" ht="21">
      <c r="A42" s="10" t="s">
        <v>231</v>
      </c>
      <c r="B42" s="434"/>
      <c r="C42" s="1054"/>
      <c r="D42" s="434"/>
      <c r="E42" s="1054"/>
      <c r="F42" s="434"/>
      <c r="G42" s="432"/>
      <c r="H42" s="437"/>
      <c r="I42" s="370"/>
      <c r="J42" s="437"/>
      <c r="K42" s="370"/>
      <c r="L42" s="437"/>
      <c r="M42" s="370"/>
      <c r="N42" s="437"/>
      <c r="O42" s="370"/>
      <c r="P42" s="437"/>
      <c r="Q42" s="432"/>
      <c r="R42" s="437"/>
      <c r="S42" s="370"/>
      <c r="T42" s="437"/>
      <c r="U42" s="370"/>
      <c r="V42" s="437"/>
      <c r="W42" s="370"/>
      <c r="X42" s="434"/>
      <c r="Y42" s="432"/>
      <c r="Z42" s="434">
        <v>1</v>
      </c>
      <c r="AA42" s="432">
        <v>185.2</v>
      </c>
      <c r="AB42" s="434"/>
      <c r="AC42" s="432"/>
      <c r="AD42" s="437"/>
      <c r="AE42" s="370"/>
      <c r="AF42" s="437"/>
      <c r="AG42" s="370"/>
      <c r="AH42" s="437"/>
      <c r="AI42" s="370"/>
      <c r="AJ42" s="437"/>
      <c r="AK42" s="370"/>
      <c r="AL42" s="437"/>
      <c r="AM42" s="370"/>
      <c r="AN42" s="442">
        <f t="shared" si="4"/>
        <v>1</v>
      </c>
      <c r="AO42" s="444">
        <f t="shared" si="4"/>
        <v>185.2</v>
      </c>
    </row>
    <row r="43" spans="1:41" ht="21">
      <c r="A43" s="10" t="s">
        <v>39</v>
      </c>
      <c r="B43" s="434">
        <v>5</v>
      </c>
      <c r="C43" s="1054">
        <f>83.8+299.6</f>
        <v>383.40000000000003</v>
      </c>
      <c r="D43" s="434"/>
      <c r="E43" s="1054"/>
      <c r="F43" s="434"/>
      <c r="G43" s="432"/>
      <c r="H43" s="437"/>
      <c r="I43" s="370"/>
      <c r="J43" s="437"/>
      <c r="K43" s="370"/>
      <c r="L43" s="437">
        <v>2</v>
      </c>
      <c r="M43" s="370">
        <v>399.2</v>
      </c>
      <c r="N43" s="437"/>
      <c r="O43" s="370"/>
      <c r="P43" s="437"/>
      <c r="Q43" s="432"/>
      <c r="R43" s="437"/>
      <c r="S43" s="370"/>
      <c r="T43" s="437"/>
      <c r="U43" s="370"/>
      <c r="V43" s="437"/>
      <c r="W43" s="370"/>
      <c r="X43" s="434"/>
      <c r="Y43" s="432"/>
      <c r="Z43" s="434">
        <v>1</v>
      </c>
      <c r="AA43" s="432">
        <f>214+318.9</f>
        <v>532.9</v>
      </c>
      <c r="AB43" s="434"/>
      <c r="AC43" s="432"/>
      <c r="AD43" s="437">
        <v>11</v>
      </c>
      <c r="AE43" s="370">
        <v>1308.3</v>
      </c>
      <c r="AF43" s="437"/>
      <c r="AG43" s="370"/>
      <c r="AH43" s="437"/>
      <c r="AI43" s="370"/>
      <c r="AJ43" s="437"/>
      <c r="AK43" s="370"/>
      <c r="AL43" s="437"/>
      <c r="AM43" s="370"/>
      <c r="AN43" s="442">
        <f t="shared" si="4"/>
        <v>19</v>
      </c>
      <c r="AO43" s="444">
        <f t="shared" si="4"/>
        <v>2623.8</v>
      </c>
    </row>
    <row r="44" spans="1:41" ht="21">
      <c r="A44" s="10" t="s">
        <v>40</v>
      </c>
      <c r="B44" s="434">
        <v>1</v>
      </c>
      <c r="C44" s="1054">
        <v>195.4</v>
      </c>
      <c r="D44" s="434"/>
      <c r="E44" s="1054"/>
      <c r="F44" s="434"/>
      <c r="G44" s="432"/>
      <c r="H44" s="437"/>
      <c r="I44" s="370"/>
      <c r="J44" s="437"/>
      <c r="K44" s="370"/>
      <c r="L44" s="437"/>
      <c r="M44" s="370"/>
      <c r="N44" s="437"/>
      <c r="O44" s="370"/>
      <c r="P44" s="437"/>
      <c r="Q44" s="432"/>
      <c r="R44" s="437"/>
      <c r="S44" s="370"/>
      <c r="T44" s="437"/>
      <c r="U44" s="370"/>
      <c r="V44" s="437"/>
      <c r="W44" s="370"/>
      <c r="X44" s="434"/>
      <c r="Y44" s="432"/>
      <c r="Z44" s="434"/>
      <c r="AA44" s="432"/>
      <c r="AB44" s="434"/>
      <c r="AC44" s="432"/>
      <c r="AD44" s="437"/>
      <c r="AE44" s="370"/>
      <c r="AF44" s="437">
        <v>1</v>
      </c>
      <c r="AG44" s="370">
        <v>137.8</v>
      </c>
      <c r="AH44" s="437"/>
      <c r="AI44" s="370"/>
      <c r="AJ44" s="437"/>
      <c r="AK44" s="370"/>
      <c r="AL44" s="437"/>
      <c r="AM44" s="370"/>
      <c r="AN44" s="442">
        <f t="shared" si="4"/>
        <v>2</v>
      </c>
      <c r="AO44" s="444">
        <f t="shared" si="4"/>
        <v>333.20000000000005</v>
      </c>
    </row>
    <row r="45" spans="1:41" ht="21">
      <c r="A45" s="10" t="s">
        <v>41</v>
      </c>
      <c r="B45" s="434">
        <v>1</v>
      </c>
      <c r="C45" s="1054">
        <v>264.7</v>
      </c>
      <c r="D45" s="434"/>
      <c r="E45" s="1054"/>
      <c r="F45" s="434"/>
      <c r="G45" s="432"/>
      <c r="H45" s="437"/>
      <c r="I45" s="370"/>
      <c r="J45" s="437">
        <v>1</v>
      </c>
      <c r="K45" s="370">
        <v>342.9</v>
      </c>
      <c r="L45" s="437"/>
      <c r="M45" s="370"/>
      <c r="N45" s="437"/>
      <c r="O45" s="370"/>
      <c r="P45" s="437"/>
      <c r="Q45" s="432"/>
      <c r="R45" s="437"/>
      <c r="S45" s="370"/>
      <c r="T45" s="437"/>
      <c r="U45" s="370"/>
      <c r="V45" s="437">
        <v>3</v>
      </c>
      <c r="W45" s="370">
        <v>490.2</v>
      </c>
      <c r="X45" s="434">
        <v>1</v>
      </c>
      <c r="Y45" s="432">
        <v>234.6</v>
      </c>
      <c r="Z45" s="434">
        <f>3+2</f>
        <v>5</v>
      </c>
      <c r="AA45" s="432">
        <f>917.1+388.7</f>
        <v>1305.8</v>
      </c>
      <c r="AB45" s="434"/>
      <c r="AC45" s="432"/>
      <c r="AD45" s="437"/>
      <c r="AE45" s="370"/>
      <c r="AF45" s="437"/>
      <c r="AG45" s="370"/>
      <c r="AH45" s="437"/>
      <c r="AI45" s="370"/>
      <c r="AJ45" s="437"/>
      <c r="AK45" s="370"/>
      <c r="AL45" s="437"/>
      <c r="AM45" s="370"/>
      <c r="AN45" s="442">
        <f t="shared" si="4"/>
        <v>11</v>
      </c>
      <c r="AO45" s="444">
        <f t="shared" si="4"/>
        <v>2638.2</v>
      </c>
    </row>
    <row r="46" spans="1:41" ht="21">
      <c r="A46" s="10" t="s">
        <v>42</v>
      </c>
      <c r="B46" s="434"/>
      <c r="C46" s="1054"/>
      <c r="D46" s="434"/>
      <c r="E46" s="1054"/>
      <c r="F46" s="434"/>
      <c r="G46" s="432"/>
      <c r="H46" s="437"/>
      <c r="I46" s="370"/>
      <c r="J46" s="437"/>
      <c r="K46" s="370"/>
      <c r="L46" s="437"/>
      <c r="M46" s="370"/>
      <c r="N46" s="437"/>
      <c r="O46" s="370"/>
      <c r="P46" s="437"/>
      <c r="Q46" s="432"/>
      <c r="R46" s="437"/>
      <c r="S46" s="370"/>
      <c r="T46" s="437"/>
      <c r="U46" s="370"/>
      <c r="V46" s="437"/>
      <c r="W46" s="370"/>
      <c r="X46" s="434">
        <v>1</v>
      </c>
      <c r="Y46" s="432">
        <v>210.1</v>
      </c>
      <c r="Z46" s="434">
        <v>1</v>
      </c>
      <c r="AA46" s="432">
        <v>148.8</v>
      </c>
      <c r="AB46" s="434">
        <v>1</v>
      </c>
      <c r="AC46" s="432">
        <v>171.9</v>
      </c>
      <c r="AD46" s="437"/>
      <c r="AE46" s="370"/>
      <c r="AF46" s="437"/>
      <c r="AG46" s="370"/>
      <c r="AH46" s="437"/>
      <c r="AI46" s="370"/>
      <c r="AJ46" s="437"/>
      <c r="AK46" s="370"/>
      <c r="AL46" s="437"/>
      <c r="AM46" s="370"/>
      <c r="AN46" s="442">
        <f t="shared" si="4"/>
        <v>3</v>
      </c>
      <c r="AO46" s="444">
        <f t="shared" si="4"/>
        <v>530.8</v>
      </c>
    </row>
    <row r="47" spans="1:41" ht="21">
      <c r="A47" s="10" t="s">
        <v>43</v>
      </c>
      <c r="B47" s="434"/>
      <c r="C47" s="1054"/>
      <c r="D47" s="434"/>
      <c r="E47" s="1054"/>
      <c r="F47" s="434"/>
      <c r="G47" s="432"/>
      <c r="H47" s="437"/>
      <c r="I47" s="370"/>
      <c r="J47" s="437"/>
      <c r="K47" s="370"/>
      <c r="L47" s="437"/>
      <c r="M47" s="370"/>
      <c r="N47" s="437"/>
      <c r="O47" s="370"/>
      <c r="P47" s="437"/>
      <c r="Q47" s="432"/>
      <c r="R47" s="437"/>
      <c r="S47" s="370"/>
      <c r="T47" s="437"/>
      <c r="U47" s="370"/>
      <c r="V47" s="437"/>
      <c r="W47" s="370"/>
      <c r="X47" s="434"/>
      <c r="Y47" s="432"/>
      <c r="Z47" s="434"/>
      <c r="AA47" s="432"/>
      <c r="AB47" s="434"/>
      <c r="AC47" s="432"/>
      <c r="AD47" s="437"/>
      <c r="AE47" s="370"/>
      <c r="AF47" s="437">
        <v>1</v>
      </c>
      <c r="AG47" s="370">
        <v>158.6</v>
      </c>
      <c r="AH47" s="437"/>
      <c r="AI47" s="370"/>
      <c r="AJ47" s="437"/>
      <c r="AK47" s="370"/>
      <c r="AL47" s="437"/>
      <c r="AM47" s="370"/>
      <c r="AN47" s="442">
        <f t="shared" si="4"/>
        <v>1</v>
      </c>
      <c r="AO47" s="444">
        <f t="shared" si="4"/>
        <v>158.6</v>
      </c>
    </row>
    <row r="48" spans="1:41" ht="21">
      <c r="A48" s="10" t="s">
        <v>44</v>
      </c>
      <c r="B48" s="434">
        <f>16+1</f>
        <v>17</v>
      </c>
      <c r="C48" s="1054">
        <f>3925.1+61.4</f>
        <v>3986.5</v>
      </c>
      <c r="D48" s="434"/>
      <c r="E48" s="1054"/>
      <c r="F48" s="434"/>
      <c r="G48" s="432"/>
      <c r="H48" s="437">
        <v>1</v>
      </c>
      <c r="I48" s="370">
        <v>96</v>
      </c>
      <c r="J48" s="437"/>
      <c r="K48" s="370"/>
      <c r="L48" s="437">
        <v>5</v>
      </c>
      <c r="M48" s="370">
        <v>944.5</v>
      </c>
      <c r="N48" s="437"/>
      <c r="O48" s="370"/>
      <c r="P48" s="437"/>
      <c r="Q48" s="432"/>
      <c r="R48" s="437"/>
      <c r="S48" s="370"/>
      <c r="T48" s="437"/>
      <c r="U48" s="370"/>
      <c r="V48" s="437"/>
      <c r="W48" s="370"/>
      <c r="X48" s="434"/>
      <c r="Y48" s="432"/>
      <c r="Z48" s="434"/>
      <c r="AA48" s="432"/>
      <c r="AB48" s="434"/>
      <c r="AC48" s="432"/>
      <c r="AD48" s="437"/>
      <c r="AE48" s="370"/>
      <c r="AF48" s="437">
        <v>3</v>
      </c>
      <c r="AG48" s="370">
        <v>457</v>
      </c>
      <c r="AH48" s="437"/>
      <c r="AI48" s="370"/>
      <c r="AJ48" s="437">
        <v>2</v>
      </c>
      <c r="AK48" s="370">
        <v>193.8</v>
      </c>
      <c r="AL48" s="437">
        <v>11</v>
      </c>
      <c r="AM48" s="370">
        <v>1515.8</v>
      </c>
      <c r="AN48" s="442">
        <f t="shared" si="4"/>
        <v>39</v>
      </c>
      <c r="AO48" s="444">
        <f t="shared" si="4"/>
        <v>7193.6</v>
      </c>
    </row>
    <row r="49" spans="1:41" ht="21">
      <c r="A49" s="10" t="s">
        <v>45</v>
      </c>
      <c r="B49" s="434">
        <v>4</v>
      </c>
      <c r="C49" s="1054">
        <v>238.2</v>
      </c>
      <c r="D49" s="434"/>
      <c r="E49" s="1054"/>
      <c r="F49" s="434"/>
      <c r="G49" s="432"/>
      <c r="H49" s="437"/>
      <c r="I49" s="370"/>
      <c r="J49" s="437"/>
      <c r="K49" s="370"/>
      <c r="L49" s="437"/>
      <c r="M49" s="370"/>
      <c r="N49" s="437"/>
      <c r="O49" s="370"/>
      <c r="P49" s="437"/>
      <c r="Q49" s="432"/>
      <c r="R49" s="437"/>
      <c r="S49" s="370"/>
      <c r="T49" s="437"/>
      <c r="U49" s="370"/>
      <c r="V49" s="437"/>
      <c r="W49" s="370"/>
      <c r="X49" s="434"/>
      <c r="Y49" s="432"/>
      <c r="Z49" s="434"/>
      <c r="AA49" s="432"/>
      <c r="AB49" s="434"/>
      <c r="AC49" s="432"/>
      <c r="AD49" s="437"/>
      <c r="AE49" s="370"/>
      <c r="AF49" s="437"/>
      <c r="AG49" s="370"/>
      <c r="AH49" s="437"/>
      <c r="AI49" s="370"/>
      <c r="AJ49" s="437"/>
      <c r="AK49" s="370"/>
      <c r="AL49" s="437"/>
      <c r="AM49" s="370"/>
      <c r="AN49" s="442">
        <f t="shared" si="4"/>
        <v>4</v>
      </c>
      <c r="AO49" s="444">
        <f t="shared" si="4"/>
        <v>238.2</v>
      </c>
    </row>
    <row r="50" spans="1:41" ht="21">
      <c r="A50" s="10" t="s">
        <v>46</v>
      </c>
      <c r="B50" s="434">
        <v>2</v>
      </c>
      <c r="C50" s="1054">
        <v>1138.9</v>
      </c>
      <c r="D50" s="434"/>
      <c r="E50" s="1054"/>
      <c r="F50" s="434"/>
      <c r="G50" s="432"/>
      <c r="H50" s="437"/>
      <c r="I50" s="370"/>
      <c r="J50" s="437"/>
      <c r="K50" s="370"/>
      <c r="L50" s="437"/>
      <c r="M50" s="370"/>
      <c r="N50" s="437"/>
      <c r="O50" s="370"/>
      <c r="P50" s="437"/>
      <c r="Q50" s="432"/>
      <c r="R50" s="437"/>
      <c r="S50" s="370"/>
      <c r="T50" s="437"/>
      <c r="U50" s="370"/>
      <c r="V50" s="437"/>
      <c r="W50" s="370"/>
      <c r="X50" s="434"/>
      <c r="Y50" s="432"/>
      <c r="Z50" s="434"/>
      <c r="AA50" s="432"/>
      <c r="AB50" s="434"/>
      <c r="AC50" s="432"/>
      <c r="AD50" s="437"/>
      <c r="AE50" s="370"/>
      <c r="AF50" s="437"/>
      <c r="AG50" s="370"/>
      <c r="AH50" s="437"/>
      <c r="AI50" s="370"/>
      <c r="AJ50" s="437"/>
      <c r="AK50" s="370"/>
      <c r="AL50" s="437"/>
      <c r="AM50" s="370"/>
      <c r="AN50" s="442">
        <f t="shared" si="4"/>
        <v>2</v>
      </c>
      <c r="AO50" s="444">
        <f t="shared" si="4"/>
        <v>1138.9</v>
      </c>
    </row>
    <row r="51" spans="1:41" ht="21">
      <c r="A51" s="10" t="s">
        <v>200</v>
      </c>
      <c r="B51" s="434"/>
      <c r="C51" s="1054"/>
      <c r="D51" s="434"/>
      <c r="E51" s="1054"/>
      <c r="F51" s="434"/>
      <c r="G51" s="432"/>
      <c r="H51" s="437"/>
      <c r="I51" s="370"/>
      <c r="J51" s="437"/>
      <c r="K51" s="370"/>
      <c r="L51" s="437"/>
      <c r="M51" s="370"/>
      <c r="N51" s="437"/>
      <c r="O51" s="370"/>
      <c r="P51" s="437"/>
      <c r="Q51" s="432"/>
      <c r="R51" s="437"/>
      <c r="S51" s="370"/>
      <c r="T51" s="437"/>
      <c r="U51" s="370"/>
      <c r="V51" s="437">
        <v>5</v>
      </c>
      <c r="W51" s="370">
        <v>849</v>
      </c>
      <c r="X51" s="434"/>
      <c r="Y51" s="432"/>
      <c r="Z51" s="434"/>
      <c r="AA51" s="432"/>
      <c r="AB51" s="434"/>
      <c r="AC51" s="432"/>
      <c r="AD51" s="437"/>
      <c r="AE51" s="370"/>
      <c r="AF51" s="437"/>
      <c r="AG51" s="370"/>
      <c r="AH51" s="437"/>
      <c r="AI51" s="370"/>
      <c r="AJ51" s="437"/>
      <c r="AK51" s="370"/>
      <c r="AL51" s="437"/>
      <c r="AM51" s="370"/>
      <c r="AN51" s="442">
        <f t="shared" si="4"/>
        <v>5</v>
      </c>
      <c r="AO51" s="444">
        <f t="shared" si="4"/>
        <v>849</v>
      </c>
    </row>
    <row r="52" spans="1:41" ht="21">
      <c r="A52" s="10" t="s">
        <v>234</v>
      </c>
      <c r="B52" s="434"/>
      <c r="C52" s="1054"/>
      <c r="D52" s="434"/>
      <c r="E52" s="1054"/>
      <c r="F52" s="434"/>
      <c r="G52" s="432"/>
      <c r="H52" s="437"/>
      <c r="I52" s="370"/>
      <c r="J52" s="437"/>
      <c r="K52" s="370"/>
      <c r="L52" s="437"/>
      <c r="M52" s="370"/>
      <c r="N52" s="437"/>
      <c r="O52" s="370"/>
      <c r="P52" s="437"/>
      <c r="Q52" s="432"/>
      <c r="R52" s="437"/>
      <c r="S52" s="370"/>
      <c r="T52" s="437"/>
      <c r="U52" s="370"/>
      <c r="V52" s="437"/>
      <c r="W52" s="370"/>
      <c r="X52" s="434">
        <v>1</v>
      </c>
      <c r="Y52" s="432">
        <v>62</v>
      </c>
      <c r="Z52" s="434"/>
      <c r="AA52" s="432"/>
      <c r="AB52" s="434"/>
      <c r="AC52" s="432"/>
      <c r="AD52" s="437"/>
      <c r="AE52" s="370"/>
      <c r="AF52" s="437"/>
      <c r="AG52" s="370"/>
      <c r="AH52" s="437"/>
      <c r="AI52" s="370"/>
      <c r="AJ52" s="437"/>
      <c r="AK52" s="370"/>
      <c r="AL52" s="437"/>
      <c r="AM52" s="370"/>
      <c r="AN52" s="442">
        <f t="shared" si="4"/>
        <v>1</v>
      </c>
      <c r="AO52" s="444">
        <f t="shared" si="4"/>
        <v>62</v>
      </c>
    </row>
    <row r="53" spans="1:41" ht="21">
      <c r="A53" s="10" t="s">
        <v>47</v>
      </c>
      <c r="B53" s="434">
        <v>1</v>
      </c>
      <c r="C53" s="1054">
        <v>147.6</v>
      </c>
      <c r="D53" s="434"/>
      <c r="E53" s="1054"/>
      <c r="F53" s="434"/>
      <c r="G53" s="432"/>
      <c r="H53" s="437"/>
      <c r="I53" s="370"/>
      <c r="J53" s="437">
        <v>1</v>
      </c>
      <c r="K53" s="370">
        <v>83.6</v>
      </c>
      <c r="L53" s="437"/>
      <c r="M53" s="370"/>
      <c r="N53" s="437"/>
      <c r="O53" s="370"/>
      <c r="P53" s="437"/>
      <c r="Q53" s="432"/>
      <c r="R53" s="437"/>
      <c r="S53" s="370"/>
      <c r="T53" s="437"/>
      <c r="U53" s="370"/>
      <c r="V53" s="437">
        <v>1</v>
      </c>
      <c r="W53" s="370">
        <v>296.5</v>
      </c>
      <c r="X53" s="434"/>
      <c r="Y53" s="432"/>
      <c r="Z53" s="434"/>
      <c r="AA53" s="432"/>
      <c r="AB53" s="434"/>
      <c r="AC53" s="432"/>
      <c r="AD53" s="437"/>
      <c r="AE53" s="370"/>
      <c r="AF53" s="437">
        <v>1</v>
      </c>
      <c r="AG53" s="370">
        <v>198.2</v>
      </c>
      <c r="AH53" s="437"/>
      <c r="AI53" s="370"/>
      <c r="AJ53" s="437"/>
      <c r="AK53" s="370"/>
      <c r="AL53" s="437"/>
      <c r="AM53" s="370"/>
      <c r="AN53" s="442">
        <f t="shared" si="4"/>
        <v>4</v>
      </c>
      <c r="AO53" s="444">
        <f t="shared" si="4"/>
        <v>725.9000000000001</v>
      </c>
    </row>
    <row r="54" spans="1:41" ht="21">
      <c r="A54" s="10" t="s">
        <v>152</v>
      </c>
      <c r="B54" s="434">
        <v>1</v>
      </c>
      <c r="C54" s="1054">
        <v>273.2</v>
      </c>
      <c r="D54" s="434"/>
      <c r="E54" s="1054"/>
      <c r="F54" s="434"/>
      <c r="G54" s="432"/>
      <c r="H54" s="437"/>
      <c r="I54" s="370"/>
      <c r="J54" s="437"/>
      <c r="K54" s="370"/>
      <c r="L54" s="437"/>
      <c r="M54" s="370"/>
      <c r="N54" s="437"/>
      <c r="O54" s="370"/>
      <c r="P54" s="437"/>
      <c r="Q54" s="432"/>
      <c r="R54" s="437"/>
      <c r="S54" s="370"/>
      <c r="T54" s="437"/>
      <c r="U54" s="370"/>
      <c r="V54" s="437"/>
      <c r="W54" s="370"/>
      <c r="X54" s="434"/>
      <c r="Y54" s="432"/>
      <c r="Z54" s="434"/>
      <c r="AA54" s="432"/>
      <c r="AB54" s="434"/>
      <c r="AC54" s="432"/>
      <c r="AD54" s="437"/>
      <c r="AE54" s="370"/>
      <c r="AF54" s="437"/>
      <c r="AG54" s="370"/>
      <c r="AH54" s="437"/>
      <c r="AI54" s="370"/>
      <c r="AJ54" s="437"/>
      <c r="AK54" s="370"/>
      <c r="AL54" s="437"/>
      <c r="AM54" s="370"/>
      <c r="AN54" s="442">
        <f t="shared" si="4"/>
        <v>1</v>
      </c>
      <c r="AO54" s="444">
        <f t="shared" si="4"/>
        <v>273.2</v>
      </c>
    </row>
    <row r="55" spans="1:41" ht="21">
      <c r="A55" s="10" t="s">
        <v>48</v>
      </c>
      <c r="B55" s="434">
        <f>3+4</f>
        <v>7</v>
      </c>
      <c r="C55" s="1054">
        <f>231.7+238.2</f>
        <v>469.9</v>
      </c>
      <c r="D55" s="434"/>
      <c r="E55" s="1054"/>
      <c r="F55" s="434"/>
      <c r="G55" s="432"/>
      <c r="H55" s="437"/>
      <c r="I55" s="370"/>
      <c r="J55" s="437">
        <v>2</v>
      </c>
      <c r="K55" s="370">
        <v>148.4</v>
      </c>
      <c r="L55" s="437"/>
      <c r="M55" s="370"/>
      <c r="N55" s="437"/>
      <c r="O55" s="370"/>
      <c r="P55" s="437"/>
      <c r="Q55" s="432"/>
      <c r="R55" s="437"/>
      <c r="S55" s="370"/>
      <c r="T55" s="437"/>
      <c r="U55" s="370"/>
      <c r="V55" s="437">
        <v>2</v>
      </c>
      <c r="W55" s="370">
        <v>198.8</v>
      </c>
      <c r="X55" s="434"/>
      <c r="Y55" s="432">
        <v>86</v>
      </c>
      <c r="Z55" s="434">
        <v>2</v>
      </c>
      <c r="AA55" s="432">
        <v>742.2</v>
      </c>
      <c r="AB55" s="434"/>
      <c r="AC55" s="432"/>
      <c r="AD55" s="437">
        <f>1</f>
        <v>1</v>
      </c>
      <c r="AE55" s="370">
        <f>142.1</f>
        <v>142.1</v>
      </c>
      <c r="AF55" s="437">
        <v>4</v>
      </c>
      <c r="AG55" s="370">
        <v>664</v>
      </c>
      <c r="AH55" s="437"/>
      <c r="AI55" s="370"/>
      <c r="AJ55" s="437"/>
      <c r="AK55" s="370"/>
      <c r="AL55" s="437"/>
      <c r="AM55" s="370"/>
      <c r="AN55" s="442">
        <f t="shared" si="4"/>
        <v>18</v>
      </c>
      <c r="AO55" s="444">
        <f t="shared" si="4"/>
        <v>2451.3999999999996</v>
      </c>
    </row>
    <row r="56" spans="1:41" ht="21">
      <c r="A56" s="10" t="s">
        <v>49</v>
      </c>
      <c r="B56" s="434">
        <f>2+3</f>
        <v>5</v>
      </c>
      <c r="C56" s="1054">
        <f>183.7+184.2</f>
        <v>367.9</v>
      </c>
      <c r="D56" s="434"/>
      <c r="E56" s="1054"/>
      <c r="F56" s="434"/>
      <c r="G56" s="432"/>
      <c r="H56" s="437"/>
      <c r="I56" s="370"/>
      <c r="J56" s="437">
        <v>1</v>
      </c>
      <c r="K56" s="370">
        <v>151.9</v>
      </c>
      <c r="L56" s="437"/>
      <c r="M56" s="370"/>
      <c r="N56" s="437">
        <v>1</v>
      </c>
      <c r="O56" s="370">
        <v>77.4</v>
      </c>
      <c r="P56" s="437"/>
      <c r="Q56" s="432"/>
      <c r="R56" s="437"/>
      <c r="S56" s="370"/>
      <c r="T56" s="437"/>
      <c r="U56" s="370"/>
      <c r="V56" s="437">
        <v>1</v>
      </c>
      <c r="W56" s="370">
        <v>322.2</v>
      </c>
      <c r="X56" s="434"/>
      <c r="Y56" s="432"/>
      <c r="Z56" s="434"/>
      <c r="AA56" s="432"/>
      <c r="AB56" s="434">
        <v>1</v>
      </c>
      <c r="AC56" s="432">
        <v>72.8</v>
      </c>
      <c r="AD56" s="437"/>
      <c r="AE56" s="370"/>
      <c r="AF56" s="437">
        <v>4</v>
      </c>
      <c r="AG56" s="370">
        <v>631.9</v>
      </c>
      <c r="AH56" s="437">
        <v>1</v>
      </c>
      <c r="AI56" s="370">
        <v>74.4</v>
      </c>
      <c r="AJ56" s="437"/>
      <c r="AK56" s="370"/>
      <c r="AL56" s="437"/>
      <c r="AM56" s="370"/>
      <c r="AN56" s="442">
        <f t="shared" si="4"/>
        <v>14</v>
      </c>
      <c r="AO56" s="444">
        <f t="shared" si="4"/>
        <v>1698.5</v>
      </c>
    </row>
    <row r="57" spans="1:41" ht="21">
      <c r="A57" s="16" t="s">
        <v>50</v>
      </c>
      <c r="B57" s="435">
        <v>1</v>
      </c>
      <c r="C57" s="1055">
        <v>18.6</v>
      </c>
      <c r="D57" s="435"/>
      <c r="E57" s="1055"/>
      <c r="F57" s="435"/>
      <c r="G57" s="433"/>
      <c r="H57" s="438"/>
      <c r="I57" s="439"/>
      <c r="J57" s="438"/>
      <c r="K57" s="439"/>
      <c r="L57" s="438"/>
      <c r="M57" s="439"/>
      <c r="N57" s="438"/>
      <c r="O57" s="439"/>
      <c r="P57" s="438"/>
      <c r="Q57" s="433"/>
      <c r="R57" s="438"/>
      <c r="S57" s="439"/>
      <c r="T57" s="438"/>
      <c r="U57" s="439"/>
      <c r="V57" s="438">
        <v>1</v>
      </c>
      <c r="W57" s="439">
        <v>150.1</v>
      </c>
      <c r="X57" s="435"/>
      <c r="Y57" s="433"/>
      <c r="Z57" s="435"/>
      <c r="AA57" s="433"/>
      <c r="AB57" s="435"/>
      <c r="AC57" s="433"/>
      <c r="AD57" s="438"/>
      <c r="AE57" s="439"/>
      <c r="AF57" s="438">
        <v>1</v>
      </c>
      <c r="AG57" s="439">
        <v>176.1</v>
      </c>
      <c r="AH57" s="438"/>
      <c r="AI57" s="439"/>
      <c r="AJ57" s="438"/>
      <c r="AK57" s="439"/>
      <c r="AL57" s="438"/>
      <c r="AM57" s="439"/>
      <c r="AN57" s="443">
        <f>SUM(B57,D57,F57,H57,J57,L57,N57,P57,R57,T57,V57,Z57,X57,AB57,AD57,AF57,AH57,AL57)</f>
        <v>3</v>
      </c>
      <c r="AO57" s="445">
        <f>SUM(C57,E57,G57,I57,K57,M57,O57,Q57,S57,U57,W57,AA57,Y57,AC57,AE57,AG57,AI57,AM57)</f>
        <v>344.79999999999995</v>
      </c>
    </row>
    <row r="58" spans="1:41" ht="21">
      <c r="A58" s="447" t="s">
        <v>136</v>
      </c>
      <c r="B58" s="485"/>
      <c r="C58" s="695"/>
      <c r="D58" s="485"/>
      <c r="E58" s="695"/>
      <c r="F58" s="485"/>
      <c r="G58" s="486"/>
      <c r="H58" s="487"/>
      <c r="I58" s="488"/>
      <c r="J58" s="487"/>
      <c r="K58" s="488"/>
      <c r="L58" s="487"/>
      <c r="M58" s="488"/>
      <c r="N58" s="487"/>
      <c r="O58" s="488"/>
      <c r="P58" s="487"/>
      <c r="Q58" s="486"/>
      <c r="R58" s="487"/>
      <c r="S58" s="488"/>
      <c r="T58" s="487"/>
      <c r="U58" s="488"/>
      <c r="V58" s="487"/>
      <c r="W58" s="488"/>
      <c r="X58" s="487"/>
      <c r="Y58" s="488"/>
      <c r="Z58" s="485"/>
      <c r="AA58" s="486"/>
      <c r="AB58" s="485"/>
      <c r="AC58" s="486"/>
      <c r="AD58" s="485"/>
      <c r="AE58" s="486"/>
      <c r="AF58" s="485"/>
      <c r="AG58" s="486"/>
      <c r="AH58" s="485"/>
      <c r="AI58" s="486"/>
      <c r="AJ58" s="485"/>
      <c r="AK58" s="486"/>
      <c r="AL58" s="485"/>
      <c r="AM58" s="486"/>
      <c r="AN58" s="489"/>
      <c r="AO58" s="490"/>
    </row>
    <row r="59" spans="1:41" ht="21">
      <c r="A59" s="10" t="s">
        <v>34</v>
      </c>
      <c r="B59" s="434">
        <v>1</v>
      </c>
      <c r="C59" s="1054">
        <v>111.1</v>
      </c>
      <c r="D59" s="434"/>
      <c r="E59" s="1054"/>
      <c r="F59" s="434"/>
      <c r="G59" s="432"/>
      <c r="H59" s="437"/>
      <c r="I59" s="370"/>
      <c r="J59" s="437"/>
      <c r="K59" s="370"/>
      <c r="L59" s="437"/>
      <c r="M59" s="370"/>
      <c r="N59" s="437"/>
      <c r="O59" s="370"/>
      <c r="P59" s="437"/>
      <c r="Q59" s="432"/>
      <c r="R59" s="437"/>
      <c r="S59" s="370"/>
      <c r="T59" s="437"/>
      <c r="U59" s="370"/>
      <c r="V59" s="437"/>
      <c r="W59" s="370"/>
      <c r="X59" s="437"/>
      <c r="Y59" s="370"/>
      <c r="Z59" s="434"/>
      <c r="AA59" s="432"/>
      <c r="AB59" s="434"/>
      <c r="AC59" s="432"/>
      <c r="AD59" s="434"/>
      <c r="AE59" s="432"/>
      <c r="AF59" s="434"/>
      <c r="AG59" s="432"/>
      <c r="AH59" s="434"/>
      <c r="AI59" s="432"/>
      <c r="AJ59" s="434"/>
      <c r="AK59" s="432"/>
      <c r="AL59" s="434"/>
      <c r="AM59" s="432"/>
      <c r="AN59" s="442">
        <f>SUM(B59,D59,F59,H59,J59,L59,N59,P59,R59,T59,V59,Z59,X59,AB59,AD59,AF59,AH59,AL59)</f>
        <v>1</v>
      </c>
      <c r="AO59" s="444">
        <f>SUM(C59,E59,G59,I59,K59,M59,O59,Q59,S59,U59,W59,AA59,Y59,AC59,AE59,AG59,AI59,AM59)</f>
        <v>111.1</v>
      </c>
    </row>
    <row r="60" spans="1:41" ht="21">
      <c r="A60" s="16" t="s">
        <v>35</v>
      </c>
      <c r="B60" s="435"/>
      <c r="C60" s="1055"/>
      <c r="D60" s="435"/>
      <c r="E60" s="1055"/>
      <c r="F60" s="435"/>
      <c r="G60" s="433"/>
      <c r="H60" s="438"/>
      <c r="I60" s="439"/>
      <c r="J60" s="438">
        <v>1</v>
      </c>
      <c r="K60" s="439">
        <v>192.8</v>
      </c>
      <c r="L60" s="438"/>
      <c r="M60" s="439"/>
      <c r="N60" s="438"/>
      <c r="O60" s="439"/>
      <c r="P60" s="438"/>
      <c r="Q60" s="433"/>
      <c r="R60" s="438"/>
      <c r="S60" s="439"/>
      <c r="T60" s="438"/>
      <c r="U60" s="439"/>
      <c r="V60" s="438"/>
      <c r="W60" s="439"/>
      <c r="X60" s="435"/>
      <c r="Y60" s="433"/>
      <c r="Z60" s="435">
        <v>1</v>
      </c>
      <c r="AA60" s="433">
        <v>152.5</v>
      </c>
      <c r="AB60" s="435"/>
      <c r="AC60" s="433"/>
      <c r="AD60" s="438"/>
      <c r="AE60" s="439"/>
      <c r="AF60" s="438"/>
      <c r="AG60" s="439"/>
      <c r="AH60" s="438"/>
      <c r="AI60" s="439"/>
      <c r="AJ60" s="438"/>
      <c r="AK60" s="439"/>
      <c r="AL60" s="438"/>
      <c r="AM60" s="439"/>
      <c r="AN60" s="443">
        <f>SUM(B60,D60,F60,H60,J60,L60,N60,P60,R60,T60,V60,Z60,X60,AB60,AD60,AF60,AH60,AL60)</f>
        <v>2</v>
      </c>
      <c r="AO60" s="445">
        <f>SUM(C60,E60,G60,I60,K60,M60,O60,Q60,S60,U60,W60,AA60,Y60,AC60,AE60,AG60,AI60,AM60)</f>
        <v>345.3</v>
      </c>
    </row>
    <row r="61" spans="1:41" ht="21">
      <c r="A61" s="447" t="s">
        <v>243</v>
      </c>
      <c r="B61" s="485"/>
      <c r="C61" s="695"/>
      <c r="D61" s="485"/>
      <c r="E61" s="695"/>
      <c r="F61" s="485"/>
      <c r="G61" s="486"/>
      <c r="H61" s="487"/>
      <c r="I61" s="488"/>
      <c r="J61" s="487"/>
      <c r="K61" s="488"/>
      <c r="L61" s="487"/>
      <c r="M61" s="488"/>
      <c r="N61" s="487"/>
      <c r="O61" s="488"/>
      <c r="P61" s="487"/>
      <c r="Q61" s="486"/>
      <c r="R61" s="487"/>
      <c r="S61" s="488"/>
      <c r="T61" s="487"/>
      <c r="U61" s="488"/>
      <c r="V61" s="487"/>
      <c r="W61" s="488"/>
      <c r="X61" s="487"/>
      <c r="Y61" s="488"/>
      <c r="Z61" s="485"/>
      <c r="AA61" s="486"/>
      <c r="AB61" s="485"/>
      <c r="AC61" s="486"/>
      <c r="AD61" s="485"/>
      <c r="AE61" s="486"/>
      <c r="AF61" s="485"/>
      <c r="AG61" s="486"/>
      <c r="AH61" s="485"/>
      <c r="AI61" s="486"/>
      <c r="AJ61" s="485"/>
      <c r="AK61" s="486"/>
      <c r="AL61" s="485"/>
      <c r="AM61" s="486"/>
      <c r="AN61" s="489"/>
      <c r="AO61" s="490"/>
    </row>
    <row r="62" spans="1:41" ht="21">
      <c r="A62" s="16" t="s">
        <v>350</v>
      </c>
      <c r="B62" s="435">
        <v>1</v>
      </c>
      <c r="C62" s="1055">
        <v>150.7</v>
      </c>
      <c r="D62" s="435"/>
      <c r="E62" s="1055"/>
      <c r="F62" s="435"/>
      <c r="G62" s="433"/>
      <c r="H62" s="438"/>
      <c r="I62" s="439"/>
      <c r="J62" s="438"/>
      <c r="K62" s="439"/>
      <c r="L62" s="438"/>
      <c r="M62" s="439"/>
      <c r="N62" s="438"/>
      <c r="O62" s="439"/>
      <c r="P62" s="438"/>
      <c r="Q62" s="433"/>
      <c r="R62" s="438"/>
      <c r="S62" s="439"/>
      <c r="T62" s="438"/>
      <c r="U62" s="439"/>
      <c r="V62" s="438">
        <v>1</v>
      </c>
      <c r="W62" s="439">
        <v>122.1</v>
      </c>
      <c r="X62" s="435"/>
      <c r="Y62" s="433"/>
      <c r="Z62" s="435"/>
      <c r="AA62" s="433"/>
      <c r="AB62" s="435"/>
      <c r="AC62" s="433"/>
      <c r="AD62" s="438"/>
      <c r="AE62" s="439"/>
      <c r="AF62" s="438"/>
      <c r="AG62" s="439"/>
      <c r="AH62" s="438"/>
      <c r="AI62" s="439"/>
      <c r="AJ62" s="438"/>
      <c r="AK62" s="439"/>
      <c r="AL62" s="438"/>
      <c r="AM62" s="439"/>
      <c r="AN62" s="443">
        <f>SUM(B62,D62,F62,H62,J62,L62,N62,P62,R62,T62,V62,Z62,X62,AB62,AD62,AF62,AH62,AL62)</f>
        <v>2</v>
      </c>
      <c r="AO62" s="445">
        <f>SUM(C62,E62,G62,I62,K62,M62,O62,Q62,S62,U62,W62,AA62,Y62,AC62,AE62,AG62,AI62,AM62)</f>
        <v>272.79999999999995</v>
      </c>
    </row>
    <row r="63" spans="1:41" ht="21">
      <c r="A63" s="447" t="s">
        <v>244</v>
      </c>
      <c r="B63" s="485"/>
      <c r="C63" s="695"/>
      <c r="D63" s="485"/>
      <c r="E63" s="695"/>
      <c r="F63" s="485"/>
      <c r="G63" s="486"/>
      <c r="H63" s="487"/>
      <c r="I63" s="488"/>
      <c r="J63" s="487"/>
      <c r="K63" s="488"/>
      <c r="L63" s="487"/>
      <c r="M63" s="488"/>
      <c r="N63" s="487"/>
      <c r="O63" s="488"/>
      <c r="P63" s="487"/>
      <c r="Q63" s="486"/>
      <c r="R63" s="487"/>
      <c r="S63" s="488"/>
      <c r="T63" s="487"/>
      <c r="U63" s="488"/>
      <c r="V63" s="487"/>
      <c r="W63" s="488"/>
      <c r="X63" s="487"/>
      <c r="Y63" s="488"/>
      <c r="Z63" s="485"/>
      <c r="AA63" s="486"/>
      <c r="AB63" s="485"/>
      <c r="AC63" s="486"/>
      <c r="AD63" s="485"/>
      <c r="AE63" s="486"/>
      <c r="AF63" s="485"/>
      <c r="AG63" s="486"/>
      <c r="AH63" s="485"/>
      <c r="AI63" s="486"/>
      <c r="AJ63" s="485"/>
      <c r="AK63" s="486"/>
      <c r="AL63" s="485"/>
      <c r="AM63" s="486"/>
      <c r="AN63" s="489"/>
      <c r="AO63" s="490"/>
    </row>
    <row r="64" spans="1:41" ht="21">
      <c r="A64" s="10" t="s">
        <v>159</v>
      </c>
      <c r="B64" s="434">
        <v>11</v>
      </c>
      <c r="C64" s="1054">
        <v>842.5</v>
      </c>
      <c r="D64" s="434"/>
      <c r="E64" s="1054"/>
      <c r="F64" s="434"/>
      <c r="G64" s="432"/>
      <c r="H64" s="437"/>
      <c r="I64" s="370"/>
      <c r="J64" s="437">
        <v>1</v>
      </c>
      <c r="K64" s="370">
        <v>315.5</v>
      </c>
      <c r="L64" s="437"/>
      <c r="M64" s="370"/>
      <c r="N64" s="437"/>
      <c r="O64" s="370"/>
      <c r="P64" s="437"/>
      <c r="Q64" s="432"/>
      <c r="R64" s="437"/>
      <c r="S64" s="370"/>
      <c r="T64" s="437"/>
      <c r="U64" s="370"/>
      <c r="V64" s="437"/>
      <c r="W64" s="370"/>
      <c r="X64" s="434">
        <v>1</v>
      </c>
      <c r="Y64" s="432">
        <v>62.6</v>
      </c>
      <c r="Z64" s="434"/>
      <c r="AA64" s="432"/>
      <c r="AB64" s="434"/>
      <c r="AC64" s="432"/>
      <c r="AD64" s="437"/>
      <c r="AE64" s="370"/>
      <c r="AF64" s="437"/>
      <c r="AG64" s="370"/>
      <c r="AH64" s="437"/>
      <c r="AI64" s="370"/>
      <c r="AJ64" s="437"/>
      <c r="AK64" s="370"/>
      <c r="AL64" s="437">
        <v>1</v>
      </c>
      <c r="AM64" s="370">
        <v>181.1</v>
      </c>
      <c r="AN64" s="442">
        <f>SUM(B64,D64,F64,H64,J64,L64,N64,P64,R64,T64,V64,Z64,X64,AB64,AD64,AF64,AH64,AL64)</f>
        <v>14</v>
      </c>
      <c r="AO64" s="444">
        <f>SUM(C64,E64,G64,I64,K64,M64,O64,Q64,S64,U64,W64,AA64,Y64,AC64,AE64,AG64,AI64,AM64)</f>
        <v>1401.6999999999998</v>
      </c>
    </row>
    <row r="65" spans="1:41" ht="21">
      <c r="A65" s="10" t="s">
        <v>465</v>
      </c>
      <c r="B65" s="434">
        <v>1</v>
      </c>
      <c r="C65" s="1054">
        <v>221.7</v>
      </c>
      <c r="D65" s="434"/>
      <c r="E65" s="1054"/>
      <c r="F65" s="434"/>
      <c r="G65" s="432"/>
      <c r="H65" s="437"/>
      <c r="I65" s="370"/>
      <c r="J65" s="437"/>
      <c r="K65" s="370"/>
      <c r="L65" s="437"/>
      <c r="M65" s="370"/>
      <c r="N65" s="437"/>
      <c r="O65" s="370"/>
      <c r="P65" s="437"/>
      <c r="Q65" s="432"/>
      <c r="R65" s="437"/>
      <c r="S65" s="370"/>
      <c r="T65" s="437"/>
      <c r="U65" s="370"/>
      <c r="V65" s="437"/>
      <c r="W65" s="370"/>
      <c r="X65" s="434"/>
      <c r="Y65" s="432"/>
      <c r="Z65" s="434">
        <v>2</v>
      </c>
      <c r="AA65" s="432">
        <v>633.3</v>
      </c>
      <c r="AB65" s="434"/>
      <c r="AC65" s="432"/>
      <c r="AD65" s="437"/>
      <c r="AE65" s="370"/>
      <c r="AF65" s="437"/>
      <c r="AG65" s="370"/>
      <c r="AH65" s="437"/>
      <c r="AI65" s="370"/>
      <c r="AJ65" s="437"/>
      <c r="AK65" s="370"/>
      <c r="AL65" s="437"/>
      <c r="AM65" s="370"/>
      <c r="AN65" s="442">
        <f aca="true" t="shared" si="5" ref="AN65:AO76">SUM(B65,D65,F65,H65,J65,L65,N65,P65,R65,T65,V65,Z65,X65,AB65,AD65,AF65,AH65,AL65,AJ65)</f>
        <v>3</v>
      </c>
      <c r="AO65" s="444">
        <f t="shared" si="5"/>
        <v>855</v>
      </c>
    </row>
    <row r="66" spans="1:41" ht="21">
      <c r="A66" s="10" t="s">
        <v>51</v>
      </c>
      <c r="B66" s="434">
        <v>2</v>
      </c>
      <c r="C66" s="1054">
        <v>539.8</v>
      </c>
      <c r="D66" s="434"/>
      <c r="E66" s="1054"/>
      <c r="F66" s="434"/>
      <c r="G66" s="432"/>
      <c r="H66" s="437"/>
      <c r="I66" s="370"/>
      <c r="J66" s="437"/>
      <c r="K66" s="370"/>
      <c r="L66" s="437"/>
      <c r="M66" s="370"/>
      <c r="N66" s="437"/>
      <c r="O66" s="370"/>
      <c r="P66" s="437"/>
      <c r="Q66" s="432"/>
      <c r="R66" s="437"/>
      <c r="S66" s="370"/>
      <c r="T66" s="437"/>
      <c r="U66" s="370"/>
      <c r="V66" s="437">
        <v>1</v>
      </c>
      <c r="W66" s="370">
        <v>237.2</v>
      </c>
      <c r="X66" s="434">
        <f>1+1</f>
        <v>2</v>
      </c>
      <c r="Y66" s="432">
        <f>319+202.9</f>
        <v>521.9</v>
      </c>
      <c r="Z66" s="434"/>
      <c r="AA66" s="432"/>
      <c r="AB66" s="434">
        <v>1</v>
      </c>
      <c r="AC66" s="432">
        <v>264.4</v>
      </c>
      <c r="AD66" s="437"/>
      <c r="AE66" s="370"/>
      <c r="AF66" s="437"/>
      <c r="AG66" s="370"/>
      <c r="AH66" s="437"/>
      <c r="AI66" s="370"/>
      <c r="AJ66" s="437"/>
      <c r="AK66" s="370"/>
      <c r="AL66" s="437"/>
      <c r="AM66" s="370"/>
      <c r="AN66" s="442">
        <f t="shared" si="5"/>
        <v>6</v>
      </c>
      <c r="AO66" s="444">
        <f t="shared" si="5"/>
        <v>1563.3000000000002</v>
      </c>
    </row>
    <row r="67" spans="1:41" ht="21">
      <c r="A67" s="10" t="s">
        <v>52</v>
      </c>
      <c r="B67" s="434"/>
      <c r="C67" s="1054"/>
      <c r="D67" s="434"/>
      <c r="E67" s="1054"/>
      <c r="F67" s="434"/>
      <c r="G67" s="432"/>
      <c r="H67" s="437"/>
      <c r="I67" s="370"/>
      <c r="J67" s="437"/>
      <c r="K67" s="370"/>
      <c r="L67" s="437"/>
      <c r="M67" s="370"/>
      <c r="N67" s="437"/>
      <c r="O67" s="370"/>
      <c r="P67" s="437"/>
      <c r="Q67" s="432"/>
      <c r="R67" s="437"/>
      <c r="S67" s="370"/>
      <c r="T67" s="437"/>
      <c r="U67" s="370"/>
      <c r="V67" s="437"/>
      <c r="W67" s="370"/>
      <c r="X67" s="434">
        <v>2</v>
      </c>
      <c r="Y67" s="432">
        <v>388</v>
      </c>
      <c r="Z67" s="434"/>
      <c r="AA67" s="432"/>
      <c r="AB67" s="434"/>
      <c r="AC67" s="432"/>
      <c r="AD67" s="437"/>
      <c r="AE67" s="370"/>
      <c r="AF67" s="437">
        <v>8</v>
      </c>
      <c r="AG67" s="370">
        <v>372.8</v>
      </c>
      <c r="AH67" s="437"/>
      <c r="AI67" s="370"/>
      <c r="AJ67" s="437"/>
      <c r="AK67" s="370"/>
      <c r="AL67" s="437"/>
      <c r="AM67" s="370"/>
      <c r="AN67" s="442">
        <f t="shared" si="5"/>
        <v>10</v>
      </c>
      <c r="AO67" s="444">
        <f t="shared" si="5"/>
        <v>760.8</v>
      </c>
    </row>
    <row r="68" spans="1:41" ht="21">
      <c r="A68" s="10" t="s">
        <v>170</v>
      </c>
      <c r="B68" s="434">
        <v>1</v>
      </c>
      <c r="C68" s="1054">
        <v>44.1</v>
      </c>
      <c r="D68" s="434"/>
      <c r="E68" s="1054"/>
      <c r="F68" s="434"/>
      <c r="G68" s="432"/>
      <c r="H68" s="437"/>
      <c r="I68" s="370"/>
      <c r="J68" s="437"/>
      <c r="K68" s="370"/>
      <c r="L68" s="437"/>
      <c r="M68" s="370"/>
      <c r="N68" s="437"/>
      <c r="O68" s="370"/>
      <c r="P68" s="437"/>
      <c r="Q68" s="432"/>
      <c r="R68" s="437"/>
      <c r="S68" s="370"/>
      <c r="T68" s="437"/>
      <c r="U68" s="370"/>
      <c r="V68" s="437">
        <v>2</v>
      </c>
      <c r="W68" s="370">
        <v>639</v>
      </c>
      <c r="X68" s="434">
        <v>1</v>
      </c>
      <c r="Y68" s="432">
        <v>208.8</v>
      </c>
      <c r="Z68" s="434"/>
      <c r="AA68" s="432"/>
      <c r="AB68" s="434"/>
      <c r="AC68" s="432"/>
      <c r="AD68" s="437"/>
      <c r="AE68" s="370"/>
      <c r="AF68" s="437"/>
      <c r="AG68" s="370"/>
      <c r="AH68" s="437"/>
      <c r="AI68" s="370"/>
      <c r="AJ68" s="437"/>
      <c r="AK68" s="370"/>
      <c r="AL68" s="437"/>
      <c r="AM68" s="370"/>
      <c r="AN68" s="442">
        <f t="shared" si="5"/>
        <v>4</v>
      </c>
      <c r="AO68" s="444">
        <f t="shared" si="5"/>
        <v>891.9000000000001</v>
      </c>
    </row>
    <row r="69" spans="1:41" ht="21">
      <c r="A69" s="10" t="s">
        <v>255</v>
      </c>
      <c r="B69" s="434"/>
      <c r="C69" s="1054"/>
      <c r="D69" s="434"/>
      <c r="E69" s="1054"/>
      <c r="F69" s="434"/>
      <c r="G69" s="432"/>
      <c r="H69" s="437"/>
      <c r="I69" s="370"/>
      <c r="J69" s="437">
        <v>2</v>
      </c>
      <c r="K69" s="370">
        <v>679.2</v>
      </c>
      <c r="L69" s="437"/>
      <c r="M69" s="370"/>
      <c r="N69" s="437"/>
      <c r="O69" s="370"/>
      <c r="P69" s="437"/>
      <c r="Q69" s="432"/>
      <c r="R69" s="437"/>
      <c r="S69" s="370"/>
      <c r="T69" s="437"/>
      <c r="U69" s="370"/>
      <c r="V69" s="437"/>
      <c r="W69" s="370"/>
      <c r="X69" s="434"/>
      <c r="Y69" s="432"/>
      <c r="Z69" s="434"/>
      <c r="AA69" s="432"/>
      <c r="AB69" s="434"/>
      <c r="AC69" s="432"/>
      <c r="AD69" s="437"/>
      <c r="AE69" s="370"/>
      <c r="AF69" s="437"/>
      <c r="AG69" s="370"/>
      <c r="AH69" s="437"/>
      <c r="AI69" s="370"/>
      <c r="AJ69" s="437"/>
      <c r="AK69" s="370"/>
      <c r="AL69" s="437"/>
      <c r="AM69" s="370"/>
      <c r="AN69" s="442">
        <f t="shared" si="5"/>
        <v>2</v>
      </c>
      <c r="AO69" s="444">
        <f t="shared" si="5"/>
        <v>679.2</v>
      </c>
    </row>
    <row r="70" spans="1:41" ht="21">
      <c r="A70" s="10" t="s">
        <v>437</v>
      </c>
      <c r="B70" s="434"/>
      <c r="C70" s="1054"/>
      <c r="D70" s="434"/>
      <c r="E70" s="1054"/>
      <c r="F70" s="434"/>
      <c r="G70" s="432"/>
      <c r="H70" s="437"/>
      <c r="I70" s="370"/>
      <c r="J70" s="437"/>
      <c r="K70" s="370"/>
      <c r="L70" s="437"/>
      <c r="M70" s="370"/>
      <c r="N70" s="437"/>
      <c r="O70" s="370"/>
      <c r="P70" s="437"/>
      <c r="Q70" s="432"/>
      <c r="R70" s="437"/>
      <c r="S70" s="370"/>
      <c r="T70" s="437"/>
      <c r="U70" s="370"/>
      <c r="V70" s="437"/>
      <c r="W70" s="370"/>
      <c r="X70" s="434">
        <v>1</v>
      </c>
      <c r="Y70" s="432">
        <v>25.4</v>
      </c>
      <c r="Z70" s="434"/>
      <c r="AA70" s="432"/>
      <c r="AB70" s="434"/>
      <c r="AC70" s="432"/>
      <c r="AD70" s="437"/>
      <c r="AE70" s="370"/>
      <c r="AF70" s="437"/>
      <c r="AG70" s="370"/>
      <c r="AH70" s="437"/>
      <c r="AI70" s="370"/>
      <c r="AJ70" s="437"/>
      <c r="AK70" s="370"/>
      <c r="AL70" s="437"/>
      <c r="AM70" s="370"/>
      <c r="AN70" s="442">
        <f t="shared" si="5"/>
        <v>1</v>
      </c>
      <c r="AO70" s="444">
        <f t="shared" si="5"/>
        <v>25.4</v>
      </c>
    </row>
    <row r="71" spans="1:41" ht="21">
      <c r="A71" s="10" t="s">
        <v>53</v>
      </c>
      <c r="B71" s="434"/>
      <c r="C71" s="1054"/>
      <c r="D71" s="434"/>
      <c r="E71" s="1054"/>
      <c r="F71" s="434"/>
      <c r="G71" s="432"/>
      <c r="H71" s="437"/>
      <c r="I71" s="370"/>
      <c r="J71" s="437"/>
      <c r="K71" s="370"/>
      <c r="L71" s="437"/>
      <c r="M71" s="370"/>
      <c r="N71" s="437"/>
      <c r="O71" s="370"/>
      <c r="P71" s="437"/>
      <c r="Q71" s="432"/>
      <c r="R71" s="437"/>
      <c r="S71" s="370"/>
      <c r="T71" s="437"/>
      <c r="U71" s="370"/>
      <c r="V71" s="437"/>
      <c r="W71" s="370"/>
      <c r="X71" s="434"/>
      <c r="Y71" s="432"/>
      <c r="Z71" s="434"/>
      <c r="AA71" s="432"/>
      <c r="AB71" s="434">
        <v>1</v>
      </c>
      <c r="AC71" s="432">
        <v>271</v>
      </c>
      <c r="AD71" s="437"/>
      <c r="AE71" s="370"/>
      <c r="AF71" s="437"/>
      <c r="AG71" s="370"/>
      <c r="AH71" s="437"/>
      <c r="AI71" s="370"/>
      <c r="AJ71" s="437"/>
      <c r="AK71" s="370"/>
      <c r="AL71" s="437"/>
      <c r="AM71" s="370"/>
      <c r="AN71" s="442">
        <f t="shared" si="5"/>
        <v>1</v>
      </c>
      <c r="AO71" s="444">
        <f t="shared" si="5"/>
        <v>271</v>
      </c>
    </row>
    <row r="72" spans="1:41" ht="21">
      <c r="A72" s="10" t="s">
        <v>177</v>
      </c>
      <c r="B72" s="434">
        <f>1+1</f>
        <v>2</v>
      </c>
      <c r="C72" s="1054">
        <f>113+425.3</f>
        <v>538.3</v>
      </c>
      <c r="D72" s="434"/>
      <c r="E72" s="1054"/>
      <c r="F72" s="434"/>
      <c r="G72" s="432"/>
      <c r="H72" s="437"/>
      <c r="I72" s="370"/>
      <c r="J72" s="437"/>
      <c r="K72" s="370"/>
      <c r="L72" s="437"/>
      <c r="M72" s="370"/>
      <c r="N72" s="437"/>
      <c r="O72" s="370"/>
      <c r="P72" s="437"/>
      <c r="Q72" s="432"/>
      <c r="R72" s="437"/>
      <c r="S72" s="370"/>
      <c r="T72" s="437"/>
      <c r="U72" s="370"/>
      <c r="V72" s="437">
        <v>1</v>
      </c>
      <c r="W72" s="370">
        <v>263.2</v>
      </c>
      <c r="X72" s="434">
        <v>1</v>
      </c>
      <c r="Y72" s="432">
        <v>206.5</v>
      </c>
      <c r="Z72" s="434">
        <v>3</v>
      </c>
      <c r="AA72" s="432">
        <v>998.6</v>
      </c>
      <c r="AB72" s="434">
        <v>1</v>
      </c>
      <c r="AC72" s="432">
        <v>280.5</v>
      </c>
      <c r="AD72" s="437"/>
      <c r="AE72" s="370"/>
      <c r="AF72" s="437"/>
      <c r="AG72" s="370"/>
      <c r="AH72" s="437"/>
      <c r="AI72" s="370"/>
      <c r="AJ72" s="437"/>
      <c r="AK72" s="370"/>
      <c r="AL72" s="437"/>
      <c r="AM72" s="370"/>
      <c r="AN72" s="442">
        <f t="shared" si="5"/>
        <v>8</v>
      </c>
      <c r="AO72" s="444">
        <f t="shared" si="5"/>
        <v>2287.1</v>
      </c>
    </row>
    <row r="73" spans="1:41" ht="21">
      <c r="A73" s="10" t="s">
        <v>438</v>
      </c>
      <c r="B73" s="434"/>
      <c r="C73" s="1054"/>
      <c r="D73" s="434"/>
      <c r="E73" s="1054"/>
      <c r="F73" s="434"/>
      <c r="G73" s="432"/>
      <c r="H73" s="437"/>
      <c r="I73" s="370"/>
      <c r="J73" s="437"/>
      <c r="K73" s="370"/>
      <c r="L73" s="437"/>
      <c r="M73" s="370"/>
      <c r="N73" s="437"/>
      <c r="O73" s="370"/>
      <c r="P73" s="437"/>
      <c r="Q73" s="432"/>
      <c r="R73" s="437"/>
      <c r="S73" s="370"/>
      <c r="T73" s="437"/>
      <c r="U73" s="370"/>
      <c r="V73" s="437"/>
      <c r="W73" s="370"/>
      <c r="X73" s="434">
        <v>1</v>
      </c>
      <c r="Y73" s="432">
        <v>129.5</v>
      </c>
      <c r="Z73" s="434"/>
      <c r="AA73" s="432"/>
      <c r="AB73" s="434"/>
      <c r="AC73" s="432"/>
      <c r="AD73" s="437"/>
      <c r="AE73" s="370"/>
      <c r="AF73" s="437"/>
      <c r="AG73" s="370"/>
      <c r="AH73" s="437"/>
      <c r="AI73" s="370"/>
      <c r="AJ73" s="437"/>
      <c r="AK73" s="370"/>
      <c r="AL73" s="437"/>
      <c r="AM73" s="370"/>
      <c r="AN73" s="442">
        <f t="shared" si="5"/>
        <v>1</v>
      </c>
      <c r="AO73" s="444">
        <f t="shared" si="5"/>
        <v>129.5</v>
      </c>
    </row>
    <row r="74" spans="1:41" ht="21">
      <c r="A74" s="10" t="s">
        <v>54</v>
      </c>
      <c r="B74" s="434">
        <v>3</v>
      </c>
      <c r="C74" s="1054">
        <v>650.4</v>
      </c>
      <c r="D74" s="434"/>
      <c r="E74" s="1054"/>
      <c r="F74" s="434"/>
      <c r="G74" s="432"/>
      <c r="H74" s="437"/>
      <c r="I74" s="370"/>
      <c r="J74" s="437"/>
      <c r="K74" s="370"/>
      <c r="L74" s="437"/>
      <c r="M74" s="370"/>
      <c r="N74" s="437"/>
      <c r="O74" s="370"/>
      <c r="P74" s="437"/>
      <c r="Q74" s="432"/>
      <c r="R74" s="437"/>
      <c r="S74" s="370"/>
      <c r="T74" s="437"/>
      <c r="U74" s="370"/>
      <c r="V74" s="437">
        <v>2</v>
      </c>
      <c r="W74" s="370">
        <v>380.4</v>
      </c>
      <c r="X74" s="434">
        <f>1+1</f>
        <v>2</v>
      </c>
      <c r="Y74" s="432">
        <f>143.6+280.1</f>
        <v>423.70000000000005</v>
      </c>
      <c r="Z74" s="434">
        <v>2</v>
      </c>
      <c r="AA74" s="432">
        <v>431</v>
      </c>
      <c r="AB74" s="434"/>
      <c r="AC74" s="432"/>
      <c r="AD74" s="437"/>
      <c r="AE74" s="370"/>
      <c r="AF74" s="437"/>
      <c r="AG74" s="370"/>
      <c r="AH74" s="437"/>
      <c r="AI74" s="370"/>
      <c r="AJ74" s="437"/>
      <c r="AK74" s="370"/>
      <c r="AL74" s="437"/>
      <c r="AM74" s="370"/>
      <c r="AN74" s="442">
        <f t="shared" si="5"/>
        <v>9</v>
      </c>
      <c r="AO74" s="444">
        <f t="shared" si="5"/>
        <v>1885.5</v>
      </c>
    </row>
    <row r="75" spans="1:41" ht="21">
      <c r="A75" s="10" t="s">
        <v>439</v>
      </c>
      <c r="B75" s="434"/>
      <c r="C75" s="1054"/>
      <c r="D75" s="434"/>
      <c r="E75" s="1054"/>
      <c r="F75" s="434"/>
      <c r="G75" s="432"/>
      <c r="H75" s="437"/>
      <c r="I75" s="370"/>
      <c r="J75" s="437"/>
      <c r="K75" s="370"/>
      <c r="L75" s="437"/>
      <c r="M75" s="370"/>
      <c r="N75" s="437"/>
      <c r="O75" s="370"/>
      <c r="P75" s="437"/>
      <c r="Q75" s="432"/>
      <c r="R75" s="437"/>
      <c r="S75" s="370"/>
      <c r="T75" s="437"/>
      <c r="U75" s="370"/>
      <c r="V75" s="437"/>
      <c r="W75" s="370"/>
      <c r="X75" s="434">
        <v>1</v>
      </c>
      <c r="Y75" s="432">
        <v>25.4</v>
      </c>
      <c r="Z75" s="434"/>
      <c r="AA75" s="432"/>
      <c r="AB75" s="434"/>
      <c r="AC75" s="432"/>
      <c r="AD75" s="437"/>
      <c r="AE75" s="370"/>
      <c r="AF75" s="437"/>
      <c r="AG75" s="370"/>
      <c r="AH75" s="437"/>
      <c r="AI75" s="370"/>
      <c r="AJ75" s="437"/>
      <c r="AK75" s="370"/>
      <c r="AL75" s="437"/>
      <c r="AM75" s="370"/>
      <c r="AN75" s="442">
        <f t="shared" si="5"/>
        <v>1</v>
      </c>
      <c r="AO75" s="444">
        <f t="shared" si="5"/>
        <v>25.4</v>
      </c>
    </row>
    <row r="76" spans="1:41" ht="21">
      <c r="A76" s="10" t="s">
        <v>178</v>
      </c>
      <c r="B76" s="434"/>
      <c r="C76" s="1054"/>
      <c r="D76" s="434"/>
      <c r="E76" s="1054"/>
      <c r="F76" s="434"/>
      <c r="G76" s="432"/>
      <c r="H76" s="437"/>
      <c r="I76" s="370"/>
      <c r="J76" s="437"/>
      <c r="K76" s="370"/>
      <c r="L76" s="437"/>
      <c r="M76" s="370"/>
      <c r="N76" s="437"/>
      <c r="O76" s="370"/>
      <c r="P76" s="437"/>
      <c r="Q76" s="432"/>
      <c r="R76" s="437"/>
      <c r="S76" s="370"/>
      <c r="T76" s="437"/>
      <c r="U76" s="370"/>
      <c r="V76" s="437"/>
      <c r="W76" s="370"/>
      <c r="X76" s="434">
        <v>1</v>
      </c>
      <c r="Y76" s="432">
        <v>309.7</v>
      </c>
      <c r="Z76" s="434"/>
      <c r="AA76" s="432"/>
      <c r="AB76" s="434">
        <v>1</v>
      </c>
      <c r="AC76" s="432">
        <v>197.5</v>
      </c>
      <c r="AD76" s="437"/>
      <c r="AE76" s="370"/>
      <c r="AF76" s="437"/>
      <c r="AG76" s="370"/>
      <c r="AH76" s="437"/>
      <c r="AI76" s="370"/>
      <c r="AJ76" s="437"/>
      <c r="AK76" s="370"/>
      <c r="AL76" s="437"/>
      <c r="AM76" s="370"/>
      <c r="AN76" s="442">
        <f t="shared" si="5"/>
        <v>2</v>
      </c>
      <c r="AO76" s="444">
        <f t="shared" si="5"/>
        <v>507.2</v>
      </c>
    </row>
    <row r="77" spans="1:41" ht="21">
      <c r="A77" s="10" t="s">
        <v>55</v>
      </c>
      <c r="B77" s="434">
        <v>3</v>
      </c>
      <c r="C77" s="1054">
        <v>714.7</v>
      </c>
      <c r="D77" s="434"/>
      <c r="E77" s="1054"/>
      <c r="F77" s="434"/>
      <c r="G77" s="432"/>
      <c r="H77" s="437"/>
      <c r="I77" s="370"/>
      <c r="J77" s="437"/>
      <c r="K77" s="370"/>
      <c r="L77" s="437"/>
      <c r="M77" s="370"/>
      <c r="N77" s="437"/>
      <c r="O77" s="370"/>
      <c r="P77" s="437"/>
      <c r="Q77" s="432"/>
      <c r="R77" s="437"/>
      <c r="S77" s="370"/>
      <c r="T77" s="437"/>
      <c r="U77" s="370"/>
      <c r="V77" s="437">
        <v>1</v>
      </c>
      <c r="W77" s="370">
        <v>237.7</v>
      </c>
      <c r="X77" s="434">
        <v>1</v>
      </c>
      <c r="Y77" s="432">
        <v>198.9</v>
      </c>
      <c r="Z77" s="434"/>
      <c r="AA77" s="432"/>
      <c r="AB77" s="434"/>
      <c r="AC77" s="432"/>
      <c r="AD77" s="437"/>
      <c r="AE77" s="370"/>
      <c r="AF77" s="437"/>
      <c r="AG77" s="370"/>
      <c r="AH77" s="437"/>
      <c r="AI77" s="370"/>
      <c r="AJ77" s="437"/>
      <c r="AK77" s="370"/>
      <c r="AL77" s="437"/>
      <c r="AM77" s="370"/>
      <c r="AN77" s="442">
        <f>SUM(B77,D77,F77,H77,J77,L77,N77,P77,R77,T77,V77,Z77,X77,AB77,AD77,AF77,AH77,AL77)</f>
        <v>5</v>
      </c>
      <c r="AO77" s="444">
        <f>SUM(C77,E77,G77,I77,K77,M77,O77,Q77,S77,U77,W77,AA77,Y77,AC77,AE77,AG77,AK77,AI77,AM77)</f>
        <v>1151.3000000000002</v>
      </c>
    </row>
    <row r="78" spans="1:41" ht="21.75" thickBot="1">
      <c r="A78" s="447" t="s">
        <v>317</v>
      </c>
      <c r="B78" s="485">
        <f>2+11</f>
        <v>13</v>
      </c>
      <c r="C78" s="695">
        <f>210.4+1136.4+839.1</f>
        <v>2185.9</v>
      </c>
      <c r="D78" s="485"/>
      <c r="E78" s="695"/>
      <c r="F78" s="485"/>
      <c r="G78" s="486"/>
      <c r="H78" s="487"/>
      <c r="I78" s="488">
        <v>113.9</v>
      </c>
      <c r="J78" s="487">
        <v>2</v>
      </c>
      <c r="K78" s="488">
        <f>279.4+141.7</f>
        <v>421.09999999999997</v>
      </c>
      <c r="L78" s="487"/>
      <c r="M78" s="488"/>
      <c r="N78" s="487"/>
      <c r="O78" s="488"/>
      <c r="P78" s="487"/>
      <c r="Q78" s="486"/>
      <c r="R78" s="487"/>
      <c r="S78" s="488"/>
      <c r="T78" s="487"/>
      <c r="U78" s="488"/>
      <c r="V78" s="487">
        <v>1</v>
      </c>
      <c r="W78" s="488">
        <v>44.2</v>
      </c>
      <c r="X78" s="487">
        <f>2+2</f>
        <v>4</v>
      </c>
      <c r="Y78" s="488">
        <f>82.2+473.8+255+549.9</f>
        <v>1360.9</v>
      </c>
      <c r="Z78" s="485">
        <v>3</v>
      </c>
      <c r="AA78" s="486">
        <f>590.2+238.8+87.4</f>
        <v>916.4</v>
      </c>
      <c r="AB78" s="485">
        <v>2</v>
      </c>
      <c r="AC78" s="486">
        <f>511.3+183.2</f>
        <v>694.5</v>
      </c>
      <c r="AD78" s="485">
        <v>2</v>
      </c>
      <c r="AE78" s="695">
        <v>259.7</v>
      </c>
      <c r="AF78" s="485">
        <v>4</v>
      </c>
      <c r="AG78" s="486">
        <v>5.2</v>
      </c>
      <c r="AH78" s="485"/>
      <c r="AI78" s="486"/>
      <c r="AJ78" s="485"/>
      <c r="AK78" s="486"/>
      <c r="AL78" s="485"/>
      <c r="AM78" s="486">
        <v>14766.3</v>
      </c>
      <c r="AN78" s="489">
        <f>SUM(B78,D78,F78,H78,J78,L78,N78,P78,R78,T78,V78,Z78,X78,AB78,AJ78,AD78,AF78,AH78,AL78)</f>
        <v>31</v>
      </c>
      <c r="AO78" s="491">
        <f>SUM(C78,E78,G78,I78,K78,M78,O78,Q78,S78,U78,W78,AA78,Y78,AC78,AE78,AG78,AI78,AM78)</f>
        <v>20768.1</v>
      </c>
    </row>
    <row r="79" spans="1:41" ht="21.75" thickBot="1">
      <c r="A79" s="472" t="s">
        <v>56</v>
      </c>
      <c r="B79" s="473">
        <f aca="true" t="shared" si="6" ref="B79:AO79">SUM(B4:B78)</f>
        <v>306</v>
      </c>
      <c r="C79" s="696">
        <f t="shared" si="6"/>
        <v>36645.00000000001</v>
      </c>
      <c r="D79" s="473">
        <f t="shared" si="6"/>
        <v>55</v>
      </c>
      <c r="E79" s="696">
        <f t="shared" si="6"/>
        <v>4016.2</v>
      </c>
      <c r="F79" s="473">
        <f t="shared" si="6"/>
        <v>32</v>
      </c>
      <c r="G79" s="696">
        <f t="shared" si="6"/>
        <v>6323.9</v>
      </c>
      <c r="H79" s="474">
        <f t="shared" si="6"/>
        <v>242</v>
      </c>
      <c r="I79" s="697">
        <f t="shared" si="6"/>
        <v>76475.9</v>
      </c>
      <c r="J79" s="474">
        <f t="shared" si="6"/>
        <v>43</v>
      </c>
      <c r="K79" s="697">
        <f t="shared" si="6"/>
        <v>6179.3</v>
      </c>
      <c r="L79" s="474">
        <f t="shared" si="6"/>
        <v>27</v>
      </c>
      <c r="M79" s="697">
        <f t="shared" si="6"/>
        <v>2642.3</v>
      </c>
      <c r="N79" s="474">
        <f t="shared" si="6"/>
        <v>17</v>
      </c>
      <c r="O79" s="697">
        <f t="shared" si="6"/>
        <v>4817.499999999999</v>
      </c>
      <c r="P79" s="474">
        <f t="shared" si="6"/>
        <v>9</v>
      </c>
      <c r="Q79" s="696">
        <f t="shared" si="6"/>
        <v>599.8</v>
      </c>
      <c r="R79" s="474">
        <f t="shared" si="6"/>
        <v>12</v>
      </c>
      <c r="S79" s="697">
        <f t="shared" si="6"/>
        <v>1905.4</v>
      </c>
      <c r="T79" s="474">
        <f t="shared" si="6"/>
        <v>5</v>
      </c>
      <c r="U79" s="475">
        <f t="shared" si="6"/>
        <v>231.7</v>
      </c>
      <c r="V79" s="474">
        <f t="shared" si="6"/>
        <v>62</v>
      </c>
      <c r="W79" s="697">
        <f t="shared" si="6"/>
        <v>11156.600000000004</v>
      </c>
      <c r="X79" s="474">
        <f t="shared" si="6"/>
        <v>147</v>
      </c>
      <c r="Y79" s="697">
        <f t="shared" si="6"/>
        <v>39808.099999999984</v>
      </c>
      <c r="Z79" s="473">
        <f t="shared" si="6"/>
        <v>234</v>
      </c>
      <c r="AA79" s="696">
        <f t="shared" si="6"/>
        <v>52859.799999999996</v>
      </c>
      <c r="AB79" s="473">
        <f t="shared" si="6"/>
        <v>51</v>
      </c>
      <c r="AC79" s="696">
        <f t="shared" si="6"/>
        <v>14486.8</v>
      </c>
      <c r="AD79" s="473">
        <f t="shared" si="6"/>
        <v>96</v>
      </c>
      <c r="AE79" s="696">
        <f t="shared" si="6"/>
        <v>9210.9</v>
      </c>
      <c r="AF79" s="473">
        <f t="shared" si="6"/>
        <v>78</v>
      </c>
      <c r="AG79" s="696">
        <f t="shared" si="6"/>
        <v>7010.300000000001</v>
      </c>
      <c r="AH79" s="473">
        <f t="shared" si="6"/>
        <v>117</v>
      </c>
      <c r="AI79" s="696">
        <f t="shared" si="6"/>
        <v>11977.3</v>
      </c>
      <c r="AJ79" s="473">
        <f t="shared" si="6"/>
        <v>19</v>
      </c>
      <c r="AK79" s="696">
        <f t="shared" si="6"/>
        <v>2089</v>
      </c>
      <c r="AL79" s="473">
        <f t="shared" si="6"/>
        <v>13</v>
      </c>
      <c r="AM79" s="696">
        <f t="shared" si="6"/>
        <v>16558.2</v>
      </c>
      <c r="AN79" s="698">
        <f t="shared" si="6"/>
        <v>1565</v>
      </c>
      <c r="AO79" s="697">
        <f t="shared" si="6"/>
        <v>304994.00000000006</v>
      </c>
    </row>
    <row r="80" spans="1:41" ht="12.75">
      <c r="A80" s="62"/>
      <c r="B80" s="436"/>
      <c r="C80" s="1057"/>
      <c r="D80" s="436"/>
      <c r="E80" s="1057"/>
      <c r="F80" s="436"/>
      <c r="G80" s="430"/>
      <c r="H80" s="440"/>
      <c r="I80" s="441"/>
      <c r="J80" s="440"/>
      <c r="K80" s="441"/>
      <c r="L80" s="440"/>
      <c r="M80" s="441"/>
      <c r="N80" s="440"/>
      <c r="O80" s="441"/>
      <c r="P80" s="440"/>
      <c r="Q80" s="430"/>
      <c r="R80" s="440"/>
      <c r="S80" s="441"/>
      <c r="T80" s="440"/>
      <c r="U80" s="441"/>
      <c r="V80" s="440"/>
      <c r="W80" s="441"/>
      <c r="X80" s="440"/>
      <c r="Y80" s="441"/>
      <c r="Z80" s="436"/>
      <c r="AA80" s="430"/>
      <c r="AB80" s="436"/>
      <c r="AC80" s="430"/>
      <c r="AD80" s="436"/>
      <c r="AE80" s="430"/>
      <c r="AF80" s="436"/>
      <c r="AG80" s="430"/>
      <c r="AH80" s="436"/>
      <c r="AI80" s="430"/>
      <c r="AJ80" s="436"/>
      <c r="AK80" s="430"/>
      <c r="AL80" s="436"/>
      <c r="AM80" s="430"/>
      <c r="AN80" s="436"/>
      <c r="AO80" s="441"/>
    </row>
    <row r="81" spans="1:41" ht="12.75">
      <c r="A81" s="62"/>
      <c r="B81" s="436"/>
      <c r="C81" s="1057"/>
      <c r="D81" s="436"/>
      <c r="E81" s="1057"/>
      <c r="F81" s="436"/>
      <c r="G81" s="430"/>
      <c r="H81" s="440"/>
      <c r="I81" s="441"/>
      <c r="J81" s="440"/>
      <c r="K81" s="441"/>
      <c r="L81" s="440"/>
      <c r="M81" s="441"/>
      <c r="N81" s="440"/>
      <c r="O81" s="441"/>
      <c r="P81" s="440"/>
      <c r="Q81" s="430"/>
      <c r="R81" s="440"/>
      <c r="S81" s="441"/>
      <c r="T81" s="440"/>
      <c r="U81" s="441"/>
      <c r="V81" s="440"/>
      <c r="W81" s="441"/>
      <c r="X81" s="440"/>
      <c r="Y81" s="441"/>
      <c r="Z81" s="436"/>
      <c r="AA81" s="430"/>
      <c r="AB81" s="436"/>
      <c r="AC81" s="430"/>
      <c r="AD81" s="436"/>
      <c r="AE81" s="430"/>
      <c r="AF81" s="436"/>
      <c r="AG81" s="430"/>
      <c r="AH81" s="436"/>
      <c r="AI81" s="430"/>
      <c r="AJ81" s="436"/>
      <c r="AK81" s="430"/>
      <c r="AL81" s="436"/>
      <c r="AM81" s="430"/>
      <c r="AN81" s="436"/>
      <c r="AO81" s="441"/>
    </row>
  </sheetData>
  <sheetProtection/>
  <mergeCells count="21">
    <mergeCell ref="AJ1:AK1"/>
    <mergeCell ref="AL1:AM1"/>
    <mergeCell ref="AN1:AO1"/>
    <mergeCell ref="X1:Y1"/>
    <mergeCell ref="Z1:AA1"/>
    <mergeCell ref="AB1:AC1"/>
    <mergeCell ref="AD1:AE1"/>
    <mergeCell ref="AF1:AG1"/>
    <mergeCell ref="AH1:AI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  <headerFooter>
    <oddHeader>&amp;LAppendix II : Total Value of Thai International Cooperation Programme by Sector (TICP FY 2014)</oddHeader>
  </headerFooter>
  <rowBreaks count="4" manualBreakCount="4">
    <brk id="18" max="255" man="1"/>
    <brk id="33" max="255" man="1"/>
    <brk id="50" max="255" man="1"/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91"/>
  <sheetViews>
    <sheetView zoomScale="120" zoomScaleNormal="120" zoomScalePageLayoutView="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1" sqref="F21"/>
    </sheetView>
  </sheetViews>
  <sheetFormatPr defaultColWidth="10.57421875" defaultRowHeight="12.75"/>
  <cols>
    <col min="1" max="1" width="20.7109375" style="40" customWidth="1"/>
    <col min="2" max="2" width="6.28125" style="35" bestFit="1" customWidth="1"/>
    <col min="3" max="3" width="8.7109375" style="373" customWidth="1"/>
    <col min="4" max="4" width="5.00390625" style="36" customWidth="1"/>
    <col min="5" max="5" width="8.57421875" style="373" customWidth="1"/>
    <col min="6" max="6" width="5.00390625" style="373" customWidth="1"/>
    <col min="7" max="7" width="8.8515625" style="373" customWidth="1"/>
    <col min="8" max="8" width="4.140625" style="35" customWidth="1"/>
    <col min="9" max="9" width="8.57421875" style="373" customWidth="1"/>
    <col min="10" max="10" width="4.8515625" style="37" customWidth="1"/>
    <col min="11" max="11" width="8.7109375" style="373" customWidth="1"/>
    <col min="12" max="12" width="8.8515625" style="373" customWidth="1"/>
    <col min="13" max="13" width="8.7109375" style="373" customWidth="1"/>
    <col min="14" max="14" width="4.140625" style="35" customWidth="1"/>
    <col min="15" max="15" width="6.7109375" style="36" customWidth="1"/>
    <col min="16" max="16" width="8.00390625" style="78" customWidth="1"/>
    <col min="17" max="17" width="6.28125" style="35" customWidth="1"/>
    <col min="18" max="18" width="5.8515625" style="36" customWidth="1"/>
    <col min="19" max="19" width="8.7109375" style="373" customWidth="1"/>
    <col min="20" max="16384" width="10.57421875" style="40" customWidth="1"/>
  </cols>
  <sheetData>
    <row r="1" spans="1:19" ht="18.75" customHeight="1" thickBot="1">
      <c r="A1" s="34" t="s">
        <v>320</v>
      </c>
      <c r="Q1" s="38"/>
      <c r="R1" s="38"/>
      <c r="S1" s="315" t="s">
        <v>0</v>
      </c>
    </row>
    <row r="2" spans="1:19" s="41" customFormat="1" ht="17.25" customHeight="1">
      <c r="A2" s="1172" t="s">
        <v>1</v>
      </c>
      <c r="B2" s="1175" t="s">
        <v>198</v>
      </c>
      <c r="C2" s="1176"/>
      <c r="D2" s="1176"/>
      <c r="E2" s="1177"/>
      <c r="F2" s="1168" t="s">
        <v>57</v>
      </c>
      <c r="G2" s="1169"/>
      <c r="H2" s="1169"/>
      <c r="I2" s="1169"/>
      <c r="J2" s="1169"/>
      <c r="K2" s="1169"/>
      <c r="L2" s="1169"/>
      <c r="M2" s="1170"/>
      <c r="N2" s="1163" t="s">
        <v>58</v>
      </c>
      <c r="O2" s="1164"/>
      <c r="P2" s="1178" t="s">
        <v>59</v>
      </c>
      <c r="Q2" s="1180" t="s">
        <v>60</v>
      </c>
      <c r="R2" s="1159" t="s">
        <v>61</v>
      </c>
      <c r="S2" s="1159"/>
    </row>
    <row r="3" spans="1:19" s="41" customFormat="1" ht="18" customHeight="1">
      <c r="A3" s="1173"/>
      <c r="B3" s="1167" t="s">
        <v>110</v>
      </c>
      <c r="C3" s="1161"/>
      <c r="D3" s="1161" t="s">
        <v>62</v>
      </c>
      <c r="E3" s="1162"/>
      <c r="F3" s="1167" t="s">
        <v>110</v>
      </c>
      <c r="G3" s="1161"/>
      <c r="H3" s="1161" t="s">
        <v>62</v>
      </c>
      <c r="I3" s="1162"/>
      <c r="J3" s="1171" t="s">
        <v>63</v>
      </c>
      <c r="K3" s="1171"/>
      <c r="L3" s="492" t="s">
        <v>59</v>
      </c>
      <c r="M3" s="493" t="s">
        <v>60</v>
      </c>
      <c r="N3" s="1165"/>
      <c r="O3" s="1166"/>
      <c r="P3" s="1179"/>
      <c r="Q3" s="1181"/>
      <c r="R3" s="1160"/>
      <c r="S3" s="1160"/>
    </row>
    <row r="4" spans="1:19" s="43" customFormat="1" ht="15.75" customHeight="1" thickBot="1">
      <c r="A4" s="1174"/>
      <c r="B4" s="494" t="s">
        <v>10</v>
      </c>
      <c r="C4" s="495" t="s">
        <v>9</v>
      </c>
      <c r="D4" s="496" t="s">
        <v>10</v>
      </c>
      <c r="E4" s="497" t="s">
        <v>9</v>
      </c>
      <c r="F4" s="494" t="s">
        <v>10</v>
      </c>
      <c r="G4" s="495" t="s">
        <v>9</v>
      </c>
      <c r="H4" s="496" t="s">
        <v>10</v>
      </c>
      <c r="I4" s="497" t="s">
        <v>9</v>
      </c>
      <c r="J4" s="496" t="s">
        <v>10</v>
      </c>
      <c r="K4" s="495" t="s">
        <v>9</v>
      </c>
      <c r="L4" s="495" t="s">
        <v>9</v>
      </c>
      <c r="M4" s="497" t="s">
        <v>9</v>
      </c>
      <c r="N4" s="494" t="s">
        <v>10</v>
      </c>
      <c r="O4" s="498" t="s">
        <v>9</v>
      </c>
      <c r="P4" s="499" t="s">
        <v>9</v>
      </c>
      <c r="Q4" s="500" t="s">
        <v>9</v>
      </c>
      <c r="R4" s="496" t="s">
        <v>8</v>
      </c>
      <c r="S4" s="495" t="s">
        <v>9</v>
      </c>
    </row>
    <row r="5" spans="1:19" ht="18" customHeight="1">
      <c r="A5" s="501" t="s">
        <v>64</v>
      </c>
      <c r="B5" s="502"/>
      <c r="C5" s="503"/>
      <c r="D5" s="504"/>
      <c r="E5" s="505"/>
      <c r="F5" s="502"/>
      <c r="G5" s="503"/>
      <c r="H5" s="504"/>
      <c r="I5" s="505"/>
      <c r="J5" s="507"/>
      <c r="K5" s="506"/>
      <c r="L5" s="506"/>
      <c r="M5" s="508"/>
      <c r="N5" s="502"/>
      <c r="O5" s="504"/>
      <c r="P5" s="509"/>
      <c r="Q5" s="510"/>
      <c r="R5" s="511"/>
      <c r="S5" s="512"/>
    </row>
    <row r="6" spans="1:19" ht="17.25" customHeight="1">
      <c r="A6" s="44" t="s">
        <v>11</v>
      </c>
      <c r="B6" s="379">
        <v>51</v>
      </c>
      <c r="C6" s="388">
        <v>3986.5</v>
      </c>
      <c r="D6" s="47">
        <v>4</v>
      </c>
      <c r="E6" s="688">
        <v>1948.4</v>
      </c>
      <c r="F6" s="379">
        <v>40</v>
      </c>
      <c r="G6" s="388">
        <v>3743</v>
      </c>
      <c r="H6" s="47">
        <v>3</v>
      </c>
      <c r="I6" s="388">
        <v>826.3</v>
      </c>
      <c r="J6" s="47">
        <v>27</v>
      </c>
      <c r="K6" s="388">
        <v>1690.2</v>
      </c>
      <c r="L6" s="388">
        <v>290.4</v>
      </c>
      <c r="M6" s="394">
        <v>59000</v>
      </c>
      <c r="N6" s="379">
        <v>1</v>
      </c>
      <c r="O6" s="388">
        <v>27.8</v>
      </c>
      <c r="P6" s="388"/>
      <c r="Q6" s="394"/>
      <c r="R6" s="48">
        <f>SUM(B6,H6,D6,F6)</f>
        <v>98</v>
      </c>
      <c r="S6" s="689">
        <f>SUM(C6,E6,G6,I6,K6,L6,M6,O6,P6,Q6)</f>
        <v>71512.6</v>
      </c>
    </row>
    <row r="7" spans="1:19" ht="17.25" customHeight="1">
      <c r="A7" s="44" t="s">
        <v>12</v>
      </c>
      <c r="B7" s="379">
        <v>160</v>
      </c>
      <c r="C7" s="693">
        <v>10568.8</v>
      </c>
      <c r="D7" s="47">
        <v>42</v>
      </c>
      <c r="E7" s="688">
        <v>15014.1</v>
      </c>
      <c r="F7" s="379">
        <v>126</v>
      </c>
      <c r="G7" s="388">
        <v>3553.1</v>
      </c>
      <c r="H7" s="47">
        <v>16</v>
      </c>
      <c r="I7" s="388">
        <v>7775.5</v>
      </c>
      <c r="J7" s="47">
        <v>75</v>
      </c>
      <c r="K7" s="388">
        <v>3329.1</v>
      </c>
      <c r="L7" s="388">
        <v>10633.2</v>
      </c>
      <c r="M7" s="395">
        <v>11304.6</v>
      </c>
      <c r="N7" s="379">
        <v>1</v>
      </c>
      <c r="O7" s="388">
        <v>27.8</v>
      </c>
      <c r="P7" s="388"/>
      <c r="Q7" s="394"/>
      <c r="R7" s="48">
        <f>SUM(B7,H7,D7,F7)</f>
        <v>344</v>
      </c>
      <c r="S7" s="689">
        <f>SUM(C7,E7,G7,I7,K7,L7,M7,O7,P7,Q7)</f>
        <v>62206.200000000004</v>
      </c>
    </row>
    <row r="8" spans="1:19" ht="17.25" customHeight="1">
      <c r="A8" s="44" t="s">
        <v>13</v>
      </c>
      <c r="B8" s="379">
        <v>151</v>
      </c>
      <c r="C8" s="693">
        <v>8966.6</v>
      </c>
      <c r="D8" s="47">
        <v>16</v>
      </c>
      <c r="E8" s="688">
        <v>4830.2</v>
      </c>
      <c r="F8" s="379">
        <v>31</v>
      </c>
      <c r="G8" s="388">
        <v>1240.4</v>
      </c>
      <c r="H8" s="47">
        <v>7</v>
      </c>
      <c r="I8" s="388">
        <v>2823</v>
      </c>
      <c r="J8" s="47">
        <v>46</v>
      </c>
      <c r="K8" s="388">
        <v>2991.2</v>
      </c>
      <c r="L8" s="388">
        <v>39.2</v>
      </c>
      <c r="M8" s="394"/>
      <c r="N8" s="379">
        <v>1</v>
      </c>
      <c r="O8" s="388">
        <v>27.8</v>
      </c>
      <c r="P8" s="388"/>
      <c r="Q8" s="394"/>
      <c r="R8" s="48">
        <f>SUM(B8,H8,D8,F8)</f>
        <v>205</v>
      </c>
      <c r="S8" s="689">
        <f>SUM(C8,E8,G8,I8,K8,L8,M8,O8,P8,Q8)</f>
        <v>20918.399999999998</v>
      </c>
    </row>
    <row r="9" spans="1:19" s="246" customFormat="1" ht="17.25" customHeight="1">
      <c r="A9" s="46" t="s">
        <v>14</v>
      </c>
      <c r="B9" s="380">
        <v>56</v>
      </c>
      <c r="C9" s="694">
        <v>5283.7</v>
      </c>
      <c r="D9" s="375">
        <v>3</v>
      </c>
      <c r="E9" s="382">
        <v>265.8</v>
      </c>
      <c r="F9" s="380"/>
      <c r="G9" s="253"/>
      <c r="H9" s="253">
        <v>1</v>
      </c>
      <c r="I9" s="389">
        <v>319.2</v>
      </c>
      <c r="J9" s="253">
        <v>10</v>
      </c>
      <c r="K9" s="389">
        <v>1058.3</v>
      </c>
      <c r="L9" s="253"/>
      <c r="M9" s="396"/>
      <c r="N9" s="380">
        <v>1</v>
      </c>
      <c r="O9" s="389">
        <v>27.8</v>
      </c>
      <c r="P9" s="389"/>
      <c r="Q9" s="681"/>
      <c r="R9" s="48">
        <f>SUM(B9,H9,D9,F9)</f>
        <v>60</v>
      </c>
      <c r="S9" s="689">
        <f>SUM(C9,E9,G9,I9,K9,L9,M9,O9,P9,Q9)</f>
        <v>6954.8</v>
      </c>
    </row>
    <row r="10" spans="1:19" ht="18" customHeight="1">
      <c r="A10" s="501" t="s">
        <v>15</v>
      </c>
      <c r="B10" s="675"/>
      <c r="C10" s="449"/>
      <c r="D10" s="677"/>
      <c r="E10" s="678"/>
      <c r="F10" s="675"/>
      <c r="G10" s="676"/>
      <c r="H10" s="677"/>
      <c r="I10" s="676"/>
      <c r="J10" s="677"/>
      <c r="K10" s="676"/>
      <c r="L10" s="676"/>
      <c r="M10" s="678"/>
      <c r="N10" s="675"/>
      <c r="O10" s="677"/>
      <c r="P10" s="679"/>
      <c r="Q10" s="680"/>
      <c r="R10" s="513"/>
      <c r="S10" s="449"/>
    </row>
    <row r="11" spans="1:19" s="246" customFormat="1" ht="17.25" customHeight="1">
      <c r="A11" s="46" t="s">
        <v>19</v>
      </c>
      <c r="B11" s="380">
        <v>4</v>
      </c>
      <c r="C11" s="694">
        <v>720.8</v>
      </c>
      <c r="D11" s="253">
        <v>1</v>
      </c>
      <c r="E11" s="382">
        <v>396.9</v>
      </c>
      <c r="F11" s="380">
        <v>12</v>
      </c>
      <c r="G11" s="389">
        <v>4593.6</v>
      </c>
      <c r="H11" s="253"/>
      <c r="I11" s="389"/>
      <c r="J11" s="253">
        <v>4</v>
      </c>
      <c r="K11" s="389">
        <v>2349.8</v>
      </c>
      <c r="L11" s="1110">
        <v>61.8</v>
      </c>
      <c r="M11" s="396"/>
      <c r="N11" s="380"/>
      <c r="O11" s="389"/>
      <c r="P11" s="389"/>
      <c r="Q11" s="396"/>
      <c r="R11" s="906">
        <f>SUM(B11,H11,D11,F11)</f>
        <v>17</v>
      </c>
      <c r="S11" s="690">
        <f>SUM(C11,E11,G11,I11,K11,L11,M11,O11,P11,Q11)</f>
        <v>8122.900000000001</v>
      </c>
    </row>
    <row r="12" spans="1:19" ht="17.25" customHeight="1">
      <c r="A12" s="501" t="s">
        <v>20</v>
      </c>
      <c r="B12" s="514"/>
      <c r="C12" s="452"/>
      <c r="D12" s="516"/>
      <c r="E12" s="517"/>
      <c r="F12" s="514"/>
      <c r="G12" s="515"/>
      <c r="H12" s="516"/>
      <c r="I12" s="515"/>
      <c r="J12" s="516"/>
      <c r="K12" s="515"/>
      <c r="L12" s="515"/>
      <c r="M12" s="517"/>
      <c r="N12" s="514"/>
      <c r="O12" s="516"/>
      <c r="P12" s="518"/>
      <c r="Q12" s="519"/>
      <c r="R12" s="513">
        <f>SUM(B12,H12,N12,D12,J12)</f>
        <v>0</v>
      </c>
      <c r="S12" s="449"/>
    </row>
    <row r="13" spans="1:19" s="246" customFormat="1" ht="17.25" customHeight="1">
      <c r="A13" s="46" t="s">
        <v>22</v>
      </c>
      <c r="B13" s="873">
        <v>67</v>
      </c>
      <c r="C13" s="694">
        <v>8223.4</v>
      </c>
      <c r="D13" s="874"/>
      <c r="E13" s="382">
        <v>262.7</v>
      </c>
      <c r="F13" s="380"/>
      <c r="G13" s="253"/>
      <c r="H13" s="253"/>
      <c r="I13" s="253"/>
      <c r="J13" s="253"/>
      <c r="K13" s="253"/>
      <c r="L13" s="253"/>
      <c r="M13" s="681"/>
      <c r="N13" s="380"/>
      <c r="O13" s="253"/>
      <c r="P13" s="389"/>
      <c r="Q13" s="396"/>
      <c r="R13" s="682">
        <f>SUM(B13,H13,D13,F13)</f>
        <v>67</v>
      </c>
      <c r="S13" s="690">
        <f>SUM(C13,E13,G13,I13,K13,L13,M13,O13,P13,Q13)</f>
        <v>8486.1</v>
      </c>
    </row>
    <row r="14" spans="1:19" ht="17.25" customHeight="1">
      <c r="A14" s="501" t="s">
        <v>23</v>
      </c>
      <c r="B14" s="675"/>
      <c r="C14" s="449"/>
      <c r="D14" s="677"/>
      <c r="E14" s="678"/>
      <c r="F14" s="675"/>
      <c r="G14" s="676"/>
      <c r="H14" s="677"/>
      <c r="I14" s="676"/>
      <c r="J14" s="677"/>
      <c r="K14" s="676"/>
      <c r="L14" s="676"/>
      <c r="M14" s="678"/>
      <c r="N14" s="675"/>
      <c r="O14" s="677"/>
      <c r="P14" s="679"/>
      <c r="Q14" s="680"/>
      <c r="R14" s="513"/>
      <c r="S14" s="449"/>
    </row>
    <row r="15" spans="1:19" ht="18" customHeight="1">
      <c r="A15" s="44" t="s">
        <v>303</v>
      </c>
      <c r="B15" s="379"/>
      <c r="C15" s="693"/>
      <c r="D15" s="47"/>
      <c r="E15" s="395"/>
      <c r="F15" s="379"/>
      <c r="G15" s="47"/>
      <c r="H15" s="47"/>
      <c r="I15" s="47"/>
      <c r="J15" s="47"/>
      <c r="K15" s="388"/>
      <c r="L15" s="388"/>
      <c r="M15" s="395"/>
      <c r="N15" s="379"/>
      <c r="O15" s="47"/>
      <c r="P15" s="388"/>
      <c r="Q15" s="395"/>
      <c r="R15" s="48"/>
      <c r="S15" s="689"/>
    </row>
    <row r="16" spans="1:19" ht="18" customHeight="1">
      <c r="A16" s="44" t="s">
        <v>24</v>
      </c>
      <c r="B16" s="379">
        <v>1</v>
      </c>
      <c r="C16" s="693">
        <v>105.2</v>
      </c>
      <c r="D16" s="47">
        <v>3</v>
      </c>
      <c r="E16" s="394">
        <v>1373.2</v>
      </c>
      <c r="F16" s="379">
        <v>2</v>
      </c>
      <c r="G16" s="47">
        <v>1083.1</v>
      </c>
      <c r="H16" s="47"/>
      <c r="I16" s="47"/>
      <c r="J16" s="47">
        <v>3</v>
      </c>
      <c r="K16" s="388">
        <v>17.6</v>
      </c>
      <c r="L16" s="388"/>
      <c r="M16" s="395"/>
      <c r="N16" s="379"/>
      <c r="O16" s="47"/>
      <c r="P16" s="388"/>
      <c r="Q16" s="395"/>
      <c r="R16" s="48">
        <f aca="true" t="shared" si="0" ref="R16:R21">SUM(B16,H16,D16,F16)</f>
        <v>6</v>
      </c>
      <c r="S16" s="689">
        <f aca="true" t="shared" si="1" ref="S16:S21">SUM(C16,E16,G16,I16,K16,L16,M16,O16,P16,Q16)</f>
        <v>2579.1</v>
      </c>
    </row>
    <row r="17" spans="1:19" ht="18" customHeight="1">
      <c r="A17" s="44" t="s">
        <v>25</v>
      </c>
      <c r="B17" s="379">
        <v>43</v>
      </c>
      <c r="C17" s="693">
        <v>4536.7</v>
      </c>
      <c r="D17" s="47">
        <v>14</v>
      </c>
      <c r="E17" s="688">
        <v>19613.4</v>
      </c>
      <c r="F17" s="379">
        <v>35</v>
      </c>
      <c r="G17" s="388">
        <v>3288.2</v>
      </c>
      <c r="H17" s="47"/>
      <c r="I17" s="388">
        <v>255.9</v>
      </c>
      <c r="J17" s="47">
        <v>1</v>
      </c>
      <c r="K17" s="388">
        <v>26</v>
      </c>
      <c r="L17" s="47"/>
      <c r="M17" s="395"/>
      <c r="N17" s="379"/>
      <c r="O17" s="388"/>
      <c r="P17" s="388"/>
      <c r="Q17" s="394"/>
      <c r="R17" s="48">
        <f t="shared" si="0"/>
        <v>92</v>
      </c>
      <c r="S17" s="689">
        <f t="shared" si="1"/>
        <v>27720.200000000004</v>
      </c>
    </row>
    <row r="18" spans="1:19" ht="18" customHeight="1">
      <c r="A18" s="44" t="s">
        <v>26</v>
      </c>
      <c r="B18" s="379">
        <v>1</v>
      </c>
      <c r="C18" s="693">
        <v>105.2</v>
      </c>
      <c r="D18" s="47"/>
      <c r="E18" s="688"/>
      <c r="F18" s="379"/>
      <c r="G18" s="388"/>
      <c r="H18" s="47"/>
      <c r="I18" s="388"/>
      <c r="J18" s="47"/>
      <c r="K18" s="388"/>
      <c r="L18" s="47"/>
      <c r="M18" s="395"/>
      <c r="N18" s="379"/>
      <c r="O18" s="388"/>
      <c r="P18" s="388"/>
      <c r="Q18" s="394"/>
      <c r="R18" s="48">
        <f>SUM(B18,H18,D18,F18)</f>
        <v>1</v>
      </c>
      <c r="S18" s="689">
        <f>SUM(C18,E18,G18,I18,K18,L18,M18,O18,P18,Q18)</f>
        <v>105.2</v>
      </c>
    </row>
    <row r="19" spans="1:19" ht="18" customHeight="1">
      <c r="A19" s="44" t="s">
        <v>28</v>
      </c>
      <c r="B19" s="379"/>
      <c r="C19" s="693"/>
      <c r="D19" s="47"/>
      <c r="E19" s="381"/>
      <c r="F19" s="379">
        <v>8</v>
      </c>
      <c r="G19" s="374">
        <v>30.4</v>
      </c>
      <c r="H19" s="47"/>
      <c r="I19" s="374"/>
      <c r="J19" s="47"/>
      <c r="K19" s="374"/>
      <c r="L19" s="374"/>
      <c r="M19" s="381"/>
      <c r="N19" s="379"/>
      <c r="O19" s="47"/>
      <c r="P19" s="388"/>
      <c r="Q19" s="395"/>
      <c r="R19" s="48">
        <f t="shared" si="0"/>
        <v>8</v>
      </c>
      <c r="S19" s="689">
        <f t="shared" si="1"/>
        <v>30.4</v>
      </c>
    </row>
    <row r="20" spans="1:19" ht="18" customHeight="1">
      <c r="A20" s="44" t="s">
        <v>29</v>
      </c>
      <c r="B20" s="379">
        <v>1</v>
      </c>
      <c r="C20" s="693">
        <v>59.7</v>
      </c>
      <c r="D20" s="47"/>
      <c r="E20" s="381"/>
      <c r="F20" s="379"/>
      <c r="G20" s="388"/>
      <c r="H20" s="47"/>
      <c r="I20" s="47"/>
      <c r="J20" s="47"/>
      <c r="K20" s="388"/>
      <c r="L20" s="47"/>
      <c r="M20" s="47"/>
      <c r="N20" s="379"/>
      <c r="O20" s="47"/>
      <c r="P20" s="388"/>
      <c r="Q20" s="395"/>
      <c r="R20" s="48">
        <f t="shared" si="0"/>
        <v>1</v>
      </c>
      <c r="S20" s="689">
        <f t="shared" si="1"/>
        <v>59.7</v>
      </c>
    </row>
    <row r="21" spans="1:19" s="322" customFormat="1" ht="17.25" customHeight="1">
      <c r="A21" s="44" t="s">
        <v>31</v>
      </c>
      <c r="B21" s="379">
        <v>1</v>
      </c>
      <c r="C21" s="693">
        <v>60</v>
      </c>
      <c r="D21" s="47"/>
      <c r="E21" s="381"/>
      <c r="F21" s="379"/>
      <c r="G21" s="374"/>
      <c r="H21" s="47"/>
      <c r="I21" s="374"/>
      <c r="J21" s="47"/>
      <c r="K21" s="374"/>
      <c r="L21" s="374"/>
      <c r="M21" s="381"/>
      <c r="N21" s="379"/>
      <c r="O21" s="47"/>
      <c r="P21" s="388"/>
      <c r="Q21" s="395"/>
      <c r="R21" s="48">
        <f t="shared" si="0"/>
        <v>1</v>
      </c>
      <c r="S21" s="418">
        <f t="shared" si="1"/>
        <v>60</v>
      </c>
    </row>
    <row r="22" spans="1:19" ht="19.5">
      <c r="A22" s="231" t="s">
        <v>32</v>
      </c>
      <c r="B22" s="379">
        <f>17+1</f>
        <v>18</v>
      </c>
      <c r="C22" s="693">
        <f>948.8+61.5</f>
        <v>1010.3</v>
      </c>
      <c r="F22" s="974"/>
      <c r="G22" s="975"/>
      <c r="H22" s="975"/>
      <c r="I22" s="975"/>
      <c r="J22" s="1000"/>
      <c r="K22" s="1001"/>
      <c r="L22" s="975"/>
      <c r="M22" s="976"/>
      <c r="N22" s="1004"/>
      <c r="O22" s="1003"/>
      <c r="P22" s="655"/>
      <c r="Q22" s="1005"/>
      <c r="R22" s="48">
        <f>SUM(B22,H22,D22,F22)</f>
        <v>18</v>
      </c>
      <c r="S22" s="689">
        <f>SUM(C22,E22,G22,I22,K22,L22,M22,O22,P22,Q22)</f>
        <v>1010.3</v>
      </c>
    </row>
    <row r="23" spans="1:19" ht="19.5">
      <c r="A23" s="683" t="s">
        <v>235</v>
      </c>
      <c r="B23" s="380">
        <v>1</v>
      </c>
      <c r="C23" s="694">
        <v>60.3</v>
      </c>
      <c r="D23" s="1002"/>
      <c r="E23" s="876"/>
      <c r="F23" s="875"/>
      <c r="G23" s="876"/>
      <c r="H23" s="876"/>
      <c r="I23" s="876"/>
      <c r="J23" s="998"/>
      <c r="K23" s="999"/>
      <c r="L23" s="876"/>
      <c r="M23" s="877"/>
      <c r="N23" s="1006"/>
      <c r="O23" s="1002"/>
      <c r="P23" s="255"/>
      <c r="Q23" s="1007"/>
      <c r="R23" s="682">
        <f>SUM(B23,H23,D23,F23)</f>
        <v>1</v>
      </c>
      <c r="S23" s="690">
        <f>SUM(C23,E23,G23,I23,K23,L23,M23,O23,P23,Q23)</f>
        <v>60.3</v>
      </c>
    </row>
    <row r="24" spans="1:19" ht="18" customHeight="1">
      <c r="A24" s="501" t="s">
        <v>358</v>
      </c>
      <c r="B24" s="675"/>
      <c r="C24" s="449"/>
      <c r="D24" s="677"/>
      <c r="E24" s="678"/>
      <c r="F24" s="675"/>
      <c r="G24" s="676"/>
      <c r="H24" s="677"/>
      <c r="I24" s="676"/>
      <c r="J24" s="677"/>
      <c r="K24" s="676"/>
      <c r="L24" s="676"/>
      <c r="M24" s="678"/>
      <c r="N24" s="675"/>
      <c r="O24" s="677"/>
      <c r="P24" s="679"/>
      <c r="Q24" s="680"/>
      <c r="R24" s="513">
        <f>SUM(B24,H24,N24,D24,J24)</f>
        <v>0</v>
      </c>
      <c r="S24" s="449"/>
    </row>
    <row r="25" spans="1:19" ht="17.25" customHeight="1">
      <c r="A25" s="44" t="s">
        <v>156</v>
      </c>
      <c r="B25" s="379"/>
      <c r="C25" s="693"/>
      <c r="D25" s="47"/>
      <c r="E25" s="381">
        <v>337.9</v>
      </c>
      <c r="F25" s="379"/>
      <c r="G25" s="374"/>
      <c r="H25" s="47"/>
      <c r="I25" s="374"/>
      <c r="J25" s="47"/>
      <c r="K25" s="388"/>
      <c r="L25" s="47"/>
      <c r="M25" s="395"/>
      <c r="N25" s="379"/>
      <c r="O25" s="388"/>
      <c r="P25" s="388"/>
      <c r="Q25" s="395"/>
      <c r="R25" s="48">
        <f aca="true" t="shared" si="2" ref="R25:R33">SUM(B25,H25,D25,F25)</f>
        <v>0</v>
      </c>
      <c r="S25" s="689">
        <f aca="true" t="shared" si="3" ref="S25:S33">SUM(C25,E25,G25,I25,K25,L25,M25,O25,P25,Q25)</f>
        <v>337.9</v>
      </c>
    </row>
    <row r="26" spans="1:19" ht="17.25" customHeight="1">
      <c r="A26" s="44" t="s">
        <v>37</v>
      </c>
      <c r="B26" s="379">
        <v>1</v>
      </c>
      <c r="C26" s="693">
        <v>137.4</v>
      </c>
      <c r="D26" s="47"/>
      <c r="E26" s="381"/>
      <c r="F26" s="379"/>
      <c r="G26" s="47"/>
      <c r="H26" s="47"/>
      <c r="I26" s="47"/>
      <c r="J26" s="47"/>
      <c r="K26" s="47"/>
      <c r="L26" s="388"/>
      <c r="M26" s="47"/>
      <c r="N26" s="379"/>
      <c r="O26" s="388"/>
      <c r="P26" s="388"/>
      <c r="Q26" s="395"/>
      <c r="R26" s="48">
        <f t="shared" si="2"/>
        <v>1</v>
      </c>
      <c r="S26" s="689">
        <f t="shared" si="3"/>
        <v>137.4</v>
      </c>
    </row>
    <row r="27" spans="1:19" ht="17.25" customHeight="1">
      <c r="A27" s="44" t="s">
        <v>304</v>
      </c>
      <c r="B27" s="379">
        <v>2</v>
      </c>
      <c r="C27" s="693">
        <v>404.5</v>
      </c>
      <c r="D27" s="47"/>
      <c r="E27" s="381"/>
      <c r="F27" s="379"/>
      <c r="G27" s="47"/>
      <c r="H27" s="47"/>
      <c r="I27" s="47"/>
      <c r="J27" s="47"/>
      <c r="K27" s="47"/>
      <c r="L27" s="388"/>
      <c r="M27" s="47"/>
      <c r="N27" s="379"/>
      <c r="O27" s="388"/>
      <c r="P27" s="388"/>
      <c r="Q27" s="395"/>
      <c r="R27" s="48">
        <f t="shared" si="2"/>
        <v>2</v>
      </c>
      <c r="S27" s="689">
        <f t="shared" si="3"/>
        <v>404.5</v>
      </c>
    </row>
    <row r="28" spans="1:19" ht="17.25" customHeight="1">
      <c r="A28" s="44" t="s">
        <v>185</v>
      </c>
      <c r="B28" s="379">
        <v>2</v>
      </c>
      <c r="C28" s="693">
        <v>414.8</v>
      </c>
      <c r="D28" s="47"/>
      <c r="E28" s="381"/>
      <c r="F28" s="379"/>
      <c r="G28" s="374"/>
      <c r="H28" s="47"/>
      <c r="I28" s="374"/>
      <c r="J28" s="47"/>
      <c r="K28" s="374"/>
      <c r="L28" s="374"/>
      <c r="M28" s="381"/>
      <c r="N28" s="379"/>
      <c r="O28" s="47"/>
      <c r="P28" s="388"/>
      <c r="Q28" s="395"/>
      <c r="R28" s="48">
        <f t="shared" si="2"/>
        <v>2</v>
      </c>
      <c r="S28" s="689">
        <f t="shared" si="3"/>
        <v>414.8</v>
      </c>
    </row>
    <row r="29" spans="1:19" ht="17.25" customHeight="1">
      <c r="A29" s="44" t="s">
        <v>38</v>
      </c>
      <c r="B29" s="379">
        <v>1</v>
      </c>
      <c r="C29" s="693">
        <v>200</v>
      </c>
      <c r="D29" s="47"/>
      <c r="E29" s="381"/>
      <c r="F29" s="379"/>
      <c r="G29" s="374"/>
      <c r="H29" s="47"/>
      <c r="I29" s="374"/>
      <c r="J29" s="47"/>
      <c r="K29" s="374"/>
      <c r="L29" s="374"/>
      <c r="M29" s="381"/>
      <c r="N29" s="379"/>
      <c r="O29" s="47"/>
      <c r="P29" s="388"/>
      <c r="Q29" s="395"/>
      <c r="R29" s="48">
        <f t="shared" si="2"/>
        <v>1</v>
      </c>
      <c r="S29" s="689">
        <f t="shared" si="3"/>
        <v>200</v>
      </c>
    </row>
    <row r="30" spans="1:19" ht="17.25" customHeight="1">
      <c r="A30" s="44" t="s">
        <v>39</v>
      </c>
      <c r="B30" s="379">
        <v>12</v>
      </c>
      <c r="C30" s="693">
        <v>1606.8</v>
      </c>
      <c r="D30" s="47">
        <v>1</v>
      </c>
      <c r="E30" s="381">
        <v>398.5</v>
      </c>
      <c r="F30" s="379"/>
      <c r="G30" s="374"/>
      <c r="H30" s="47"/>
      <c r="I30" s="374"/>
      <c r="J30" s="47"/>
      <c r="K30" s="374"/>
      <c r="L30" s="374"/>
      <c r="M30" s="381"/>
      <c r="N30" s="379"/>
      <c r="O30" s="47"/>
      <c r="P30" s="388"/>
      <c r="Q30" s="395"/>
      <c r="R30" s="48">
        <f t="shared" si="2"/>
        <v>13</v>
      </c>
      <c r="S30" s="689">
        <f t="shared" si="3"/>
        <v>2005.3</v>
      </c>
    </row>
    <row r="31" spans="1:19" ht="17.25" customHeight="1">
      <c r="A31" s="44" t="s">
        <v>40</v>
      </c>
      <c r="B31" s="379">
        <v>1</v>
      </c>
      <c r="C31" s="693">
        <v>137.8</v>
      </c>
      <c r="D31" s="47"/>
      <c r="E31" s="381"/>
      <c r="F31" s="379"/>
      <c r="G31" s="47"/>
      <c r="H31" s="47"/>
      <c r="I31" s="47"/>
      <c r="J31" s="47"/>
      <c r="K31" s="388"/>
      <c r="L31" s="388"/>
      <c r="M31" s="47"/>
      <c r="N31" s="379"/>
      <c r="O31" s="47"/>
      <c r="P31" s="388"/>
      <c r="Q31" s="395"/>
      <c r="R31" s="48">
        <f t="shared" si="2"/>
        <v>1</v>
      </c>
      <c r="S31" s="689">
        <f t="shared" si="3"/>
        <v>137.8</v>
      </c>
    </row>
    <row r="32" spans="1:19" ht="17.25" customHeight="1">
      <c r="A32" s="44" t="s">
        <v>43</v>
      </c>
      <c r="B32" s="379">
        <v>1</v>
      </c>
      <c r="C32" s="693">
        <v>158.6</v>
      </c>
      <c r="D32" s="47"/>
      <c r="E32" s="381"/>
      <c r="F32" s="379"/>
      <c r="G32" s="47"/>
      <c r="H32" s="47"/>
      <c r="I32" s="47"/>
      <c r="J32" s="47"/>
      <c r="K32" s="388"/>
      <c r="L32" s="47"/>
      <c r="M32" s="395"/>
      <c r="N32" s="379"/>
      <c r="O32" s="388"/>
      <c r="P32" s="388"/>
      <c r="Q32" s="395"/>
      <c r="R32" s="48">
        <f t="shared" si="2"/>
        <v>1</v>
      </c>
      <c r="S32" s="689">
        <f t="shared" si="3"/>
        <v>158.6</v>
      </c>
    </row>
    <row r="33" spans="1:19" ht="17.25" customHeight="1">
      <c r="A33" s="44" t="s">
        <v>44</v>
      </c>
      <c r="B33" s="379">
        <v>19</v>
      </c>
      <c r="C33" s="693">
        <v>2917.3</v>
      </c>
      <c r="D33" s="47">
        <v>4</v>
      </c>
      <c r="E33" s="381">
        <v>365.8</v>
      </c>
      <c r="F33" s="379">
        <v>15</v>
      </c>
      <c r="G33" s="47">
        <v>3616.9</v>
      </c>
      <c r="H33" s="47"/>
      <c r="I33" s="47"/>
      <c r="J33" s="47">
        <v>4</v>
      </c>
      <c r="K33" s="388">
        <v>232.2</v>
      </c>
      <c r="L33" s="388"/>
      <c r="M33" s="47"/>
      <c r="N33" s="379"/>
      <c r="O33" s="47"/>
      <c r="P33" s="388"/>
      <c r="Q33" s="395"/>
      <c r="R33" s="48">
        <f t="shared" si="2"/>
        <v>38</v>
      </c>
      <c r="S33" s="689">
        <f t="shared" si="3"/>
        <v>7132.2</v>
      </c>
    </row>
    <row r="34" spans="1:19" ht="17.25" customHeight="1">
      <c r="A34" s="44" t="s">
        <v>46</v>
      </c>
      <c r="B34" s="379"/>
      <c r="C34" s="693"/>
      <c r="D34" s="47"/>
      <c r="E34" s="381"/>
      <c r="F34" s="379">
        <v>2</v>
      </c>
      <c r="G34" s="388">
        <v>296.9</v>
      </c>
      <c r="H34" s="388"/>
      <c r="I34" s="388"/>
      <c r="J34" s="47"/>
      <c r="K34" s="388"/>
      <c r="L34" s="388">
        <v>842</v>
      </c>
      <c r="M34" s="394"/>
      <c r="N34" s="379"/>
      <c r="O34" s="47"/>
      <c r="P34" s="388"/>
      <c r="Q34" s="395"/>
      <c r="R34" s="48">
        <f aca="true" t="shared" si="4" ref="R34:R41">SUM(B34,H34,D34,F34)</f>
        <v>2</v>
      </c>
      <c r="S34" s="689">
        <f aca="true" t="shared" si="5" ref="S34:S41">SUM(C34,E34,G34,I34,K34,L34,M34,O34,P34,Q34)</f>
        <v>1138.9</v>
      </c>
    </row>
    <row r="35" spans="1:19" ht="17.25" customHeight="1">
      <c r="A35" s="44" t="s">
        <v>200</v>
      </c>
      <c r="B35" s="379">
        <v>5</v>
      </c>
      <c r="C35" s="693">
        <v>849</v>
      </c>
      <c r="D35" s="47"/>
      <c r="E35" s="381"/>
      <c r="F35" s="379"/>
      <c r="G35" s="388"/>
      <c r="H35" s="388"/>
      <c r="I35" s="388"/>
      <c r="J35" s="47"/>
      <c r="K35" s="388"/>
      <c r="L35" s="388"/>
      <c r="M35" s="394"/>
      <c r="N35" s="379"/>
      <c r="O35" s="47"/>
      <c r="P35" s="388"/>
      <c r="Q35" s="395"/>
      <c r="R35" s="48">
        <f>SUM(B35,H35,D35,F35)</f>
        <v>5</v>
      </c>
      <c r="S35" s="689">
        <f>SUM(C35,E35,G35,I35,K35,L35,M35,O35,P35,Q35)</f>
        <v>849</v>
      </c>
    </row>
    <row r="36" spans="1:19" ht="17.25" customHeight="1">
      <c r="A36" s="44" t="s">
        <v>456</v>
      </c>
      <c r="B36" s="379">
        <v>1</v>
      </c>
      <c r="C36" s="693">
        <v>62</v>
      </c>
      <c r="D36" s="47"/>
      <c r="E36" s="381"/>
      <c r="F36" s="379"/>
      <c r="G36" s="388"/>
      <c r="H36" s="388"/>
      <c r="I36" s="388"/>
      <c r="J36" s="47"/>
      <c r="K36" s="388"/>
      <c r="L36" s="388"/>
      <c r="M36" s="394"/>
      <c r="N36" s="379"/>
      <c r="O36" s="47"/>
      <c r="P36" s="388"/>
      <c r="Q36" s="395"/>
      <c r="R36" s="48">
        <f>SUM(B36,H36,D36,F36)</f>
        <v>1</v>
      </c>
      <c r="S36" s="689">
        <f>SUM(C36,E36,G36,I36,K36,L36,M36,O36,P36,Q36)</f>
        <v>62</v>
      </c>
    </row>
    <row r="37" spans="1:19" ht="17.25" customHeight="1">
      <c r="A37" s="44" t="s">
        <v>47</v>
      </c>
      <c r="B37" s="379">
        <v>1</v>
      </c>
      <c r="C37" s="693">
        <v>198.2</v>
      </c>
      <c r="D37" s="47"/>
      <c r="E37" s="381"/>
      <c r="F37" s="379"/>
      <c r="G37" s="388"/>
      <c r="H37" s="47"/>
      <c r="I37" s="47"/>
      <c r="J37" s="47"/>
      <c r="K37" s="388"/>
      <c r="L37" s="388"/>
      <c r="M37" s="395"/>
      <c r="N37" s="379"/>
      <c r="O37" s="47"/>
      <c r="P37" s="388"/>
      <c r="Q37" s="395"/>
      <c r="R37" s="48">
        <f t="shared" si="4"/>
        <v>1</v>
      </c>
      <c r="S37" s="689">
        <f t="shared" si="5"/>
        <v>198.2</v>
      </c>
    </row>
    <row r="38" spans="1:19" ht="17.25" customHeight="1">
      <c r="A38" s="44" t="s">
        <v>152</v>
      </c>
      <c r="B38" s="379"/>
      <c r="C38" s="693"/>
      <c r="D38" s="47">
        <v>1</v>
      </c>
      <c r="E38" s="381">
        <v>273.2</v>
      </c>
      <c r="F38" s="379"/>
      <c r="G38" s="47"/>
      <c r="H38" s="47"/>
      <c r="I38" s="47"/>
      <c r="J38" s="47"/>
      <c r="K38" s="388"/>
      <c r="L38" s="47"/>
      <c r="M38" s="395"/>
      <c r="N38" s="379"/>
      <c r="O38" s="388"/>
      <c r="P38" s="388"/>
      <c r="Q38" s="395"/>
      <c r="R38" s="48">
        <f t="shared" si="4"/>
        <v>1</v>
      </c>
      <c r="S38" s="689">
        <f t="shared" si="5"/>
        <v>273.2</v>
      </c>
    </row>
    <row r="39" spans="1:19" ht="17.25" customHeight="1">
      <c r="A39" s="44" t="s">
        <v>48</v>
      </c>
      <c r="B39" s="379">
        <v>4</v>
      </c>
      <c r="C39" s="693">
        <v>664</v>
      </c>
      <c r="D39" s="47"/>
      <c r="E39" s="381"/>
      <c r="F39" s="379"/>
      <c r="G39" s="47"/>
      <c r="H39" s="47"/>
      <c r="I39" s="47"/>
      <c r="J39" s="47"/>
      <c r="K39" s="388"/>
      <c r="L39" s="388">
        <v>86</v>
      </c>
      <c r="M39" s="395"/>
      <c r="N39" s="379"/>
      <c r="O39" s="388"/>
      <c r="P39" s="388"/>
      <c r="Q39" s="395"/>
      <c r="R39" s="48">
        <f t="shared" si="4"/>
        <v>4</v>
      </c>
      <c r="S39" s="689">
        <f t="shared" si="5"/>
        <v>750</v>
      </c>
    </row>
    <row r="40" spans="1:19" s="322" customFormat="1" ht="17.25" customHeight="1">
      <c r="A40" s="44" t="s">
        <v>49</v>
      </c>
      <c r="B40" s="379">
        <v>4</v>
      </c>
      <c r="C40" s="693">
        <v>631.9</v>
      </c>
      <c r="D40" s="47">
        <v>4</v>
      </c>
      <c r="E40" s="381">
        <v>376.5</v>
      </c>
      <c r="F40" s="379"/>
      <c r="G40" s="374"/>
      <c r="H40" s="47"/>
      <c r="I40" s="374"/>
      <c r="J40" s="47"/>
      <c r="K40" s="388"/>
      <c r="L40" s="388"/>
      <c r="M40" s="47"/>
      <c r="N40" s="379"/>
      <c r="O40" s="47"/>
      <c r="P40" s="388"/>
      <c r="Q40" s="395"/>
      <c r="R40" s="48">
        <f>SUM(B40,H40,D40,F40)</f>
        <v>8</v>
      </c>
      <c r="S40" s="418">
        <f>SUM(C40,E40,G40,I40,K40,L40,M40,O40,P40,Q40)</f>
        <v>1008.4</v>
      </c>
    </row>
    <row r="41" spans="1:19" s="246" customFormat="1" ht="17.25" customHeight="1">
      <c r="A41" s="46" t="s">
        <v>50</v>
      </c>
      <c r="B41" s="380">
        <v>1</v>
      </c>
      <c r="C41" s="694">
        <v>176.1</v>
      </c>
      <c r="D41" s="253"/>
      <c r="E41" s="382"/>
      <c r="F41" s="380"/>
      <c r="G41" s="375"/>
      <c r="H41" s="253"/>
      <c r="I41" s="375"/>
      <c r="J41" s="253"/>
      <c r="K41" s="389"/>
      <c r="L41" s="389"/>
      <c r="M41" s="253"/>
      <c r="N41" s="380"/>
      <c r="O41" s="253"/>
      <c r="P41" s="389"/>
      <c r="Q41" s="396"/>
      <c r="R41" s="682">
        <f t="shared" si="4"/>
        <v>1</v>
      </c>
      <c r="S41" s="690">
        <f t="shared" si="5"/>
        <v>176.1</v>
      </c>
    </row>
    <row r="42" spans="1:19" ht="18.75" customHeight="1">
      <c r="A42" s="501" t="s">
        <v>459</v>
      </c>
      <c r="B42" s="514"/>
      <c r="C42" s="452"/>
      <c r="D42" s="516"/>
      <c r="E42" s="517"/>
      <c r="F42" s="514"/>
      <c r="G42" s="515"/>
      <c r="H42" s="516"/>
      <c r="I42" s="515"/>
      <c r="J42" s="516"/>
      <c r="K42" s="515"/>
      <c r="L42" s="515"/>
      <c r="M42" s="517"/>
      <c r="N42" s="514"/>
      <c r="O42" s="516"/>
      <c r="P42" s="518"/>
      <c r="Q42" s="519"/>
      <c r="R42" s="513"/>
      <c r="S42" s="449"/>
    </row>
    <row r="43" spans="1:19" ht="18.75" customHeight="1">
      <c r="A43" s="44" t="s">
        <v>159</v>
      </c>
      <c r="B43" s="379">
        <f>10+1</f>
        <v>11</v>
      </c>
      <c r="C43" s="693">
        <f>936.5+62.6</f>
        <v>999.1</v>
      </c>
      <c r="D43" s="47"/>
      <c r="E43" s="381"/>
      <c r="F43" s="379">
        <v>2</v>
      </c>
      <c r="G43" s="388">
        <v>87.1</v>
      </c>
      <c r="H43" s="47"/>
      <c r="I43" s="47"/>
      <c r="J43" s="47"/>
      <c r="K43" s="388"/>
      <c r="L43" s="47"/>
      <c r="M43" s="395"/>
      <c r="N43" s="379"/>
      <c r="O43" s="47"/>
      <c r="P43" s="388"/>
      <c r="Q43" s="395"/>
      <c r="R43" s="48">
        <f aca="true" t="shared" si="6" ref="R43:R54">SUM(B43,H43,D43,F43)</f>
        <v>13</v>
      </c>
      <c r="S43" s="689">
        <f aca="true" t="shared" si="7" ref="S43:S54">SUM(C43,E43,G43,I43,K43,L43,M43,O43,P43,Q43)</f>
        <v>1086.2</v>
      </c>
    </row>
    <row r="44" spans="1:19" ht="17.25" customHeight="1">
      <c r="A44" s="44" t="s">
        <v>51</v>
      </c>
      <c r="B44" s="379">
        <v>1</v>
      </c>
      <c r="C44" s="693">
        <v>202.9</v>
      </c>
      <c r="D44" s="47"/>
      <c r="E44" s="381"/>
      <c r="F44" s="379"/>
      <c r="G44" s="374"/>
      <c r="H44" s="47"/>
      <c r="I44" s="374"/>
      <c r="J44" s="47"/>
      <c r="K44" s="374"/>
      <c r="L44" s="374"/>
      <c r="M44" s="381"/>
      <c r="N44" s="379"/>
      <c r="O44" s="47"/>
      <c r="P44" s="388"/>
      <c r="Q44" s="395"/>
      <c r="R44" s="48">
        <f t="shared" si="6"/>
        <v>1</v>
      </c>
      <c r="S44" s="689">
        <f t="shared" si="7"/>
        <v>202.9</v>
      </c>
    </row>
    <row r="45" spans="1:19" ht="17.25" customHeight="1">
      <c r="A45" s="44" t="s">
        <v>52</v>
      </c>
      <c r="B45" s="379">
        <v>7</v>
      </c>
      <c r="C45" s="693">
        <v>611.8</v>
      </c>
      <c r="D45" s="47"/>
      <c r="E45" s="381"/>
      <c r="F45" s="379">
        <v>3</v>
      </c>
      <c r="G45" s="374">
        <v>149</v>
      </c>
      <c r="H45" s="47"/>
      <c r="I45" s="374"/>
      <c r="J45" s="47"/>
      <c r="K45" s="374"/>
      <c r="L45" s="374"/>
      <c r="M45" s="381"/>
      <c r="N45" s="379"/>
      <c r="O45" s="47"/>
      <c r="P45" s="388"/>
      <c r="Q45" s="395"/>
      <c r="R45" s="48">
        <f>SUM(B45,H45,D45,F45)</f>
        <v>10</v>
      </c>
      <c r="S45" s="689">
        <f>SUM(C45,E45,G45,I45,K45,L45,M45,O45,P45,Q45)</f>
        <v>760.8</v>
      </c>
    </row>
    <row r="46" spans="1:19" ht="17.25" customHeight="1">
      <c r="A46" s="44" t="s">
        <v>170</v>
      </c>
      <c r="B46" s="379">
        <v>1</v>
      </c>
      <c r="C46" s="693">
        <v>208.8</v>
      </c>
      <c r="D46" s="47"/>
      <c r="E46" s="381"/>
      <c r="F46" s="379"/>
      <c r="G46" s="374"/>
      <c r="H46" s="47"/>
      <c r="I46" s="374"/>
      <c r="J46" s="47"/>
      <c r="K46" s="374"/>
      <c r="L46" s="374"/>
      <c r="M46" s="381"/>
      <c r="N46" s="379"/>
      <c r="O46" s="47"/>
      <c r="P46" s="388"/>
      <c r="Q46" s="395"/>
      <c r="R46" s="48">
        <f>SUM(B46,H46,D46,F46)</f>
        <v>1</v>
      </c>
      <c r="S46" s="689">
        <f>SUM(C46,E46,G46,I46,K46,L46,M46,O46,P46,Q46)</f>
        <v>208.8</v>
      </c>
    </row>
    <row r="47" spans="1:19" ht="17.25" customHeight="1">
      <c r="A47" s="44" t="s">
        <v>437</v>
      </c>
      <c r="B47" s="379">
        <v>1</v>
      </c>
      <c r="C47" s="693">
        <v>25.4</v>
      </c>
      <c r="D47" s="47"/>
      <c r="E47" s="381"/>
      <c r="F47" s="379"/>
      <c r="G47" s="374"/>
      <c r="H47" s="47"/>
      <c r="I47" s="374"/>
      <c r="J47" s="47"/>
      <c r="K47" s="374"/>
      <c r="L47" s="374"/>
      <c r="M47" s="381"/>
      <c r="N47" s="379"/>
      <c r="O47" s="47"/>
      <c r="P47" s="388"/>
      <c r="Q47" s="395"/>
      <c r="R47" s="48">
        <f>SUM(B47,H47,D47,F47)</f>
        <v>1</v>
      </c>
      <c r="S47" s="689">
        <f>SUM(C47,E47,G47,I47,K47,L47,M47,O47,P47,Q47)</f>
        <v>25.4</v>
      </c>
    </row>
    <row r="48" spans="1:19" ht="17.25" customHeight="1">
      <c r="A48" s="44" t="s">
        <v>177</v>
      </c>
      <c r="B48" s="379">
        <v>1</v>
      </c>
      <c r="C48" s="693">
        <v>206.5</v>
      </c>
      <c r="D48" s="47"/>
      <c r="E48" s="381"/>
      <c r="F48" s="379"/>
      <c r="G48" s="374"/>
      <c r="H48" s="47"/>
      <c r="I48" s="374"/>
      <c r="J48" s="47"/>
      <c r="K48" s="374"/>
      <c r="L48" s="374"/>
      <c r="M48" s="381"/>
      <c r="N48" s="379"/>
      <c r="O48" s="47"/>
      <c r="P48" s="388"/>
      <c r="Q48" s="395"/>
      <c r="R48" s="48">
        <f t="shared" si="6"/>
        <v>1</v>
      </c>
      <c r="S48" s="689">
        <f t="shared" si="7"/>
        <v>206.5</v>
      </c>
    </row>
    <row r="49" spans="1:19" ht="17.25" customHeight="1">
      <c r="A49" s="44" t="s">
        <v>438</v>
      </c>
      <c r="B49" s="379">
        <v>1</v>
      </c>
      <c r="C49" s="693">
        <v>129.5</v>
      </c>
      <c r="D49" s="47"/>
      <c r="E49" s="381"/>
      <c r="F49" s="379"/>
      <c r="G49" s="374"/>
      <c r="H49" s="47"/>
      <c r="I49" s="374"/>
      <c r="J49" s="47"/>
      <c r="K49" s="374"/>
      <c r="L49" s="374"/>
      <c r="M49" s="381"/>
      <c r="N49" s="379"/>
      <c r="O49" s="47"/>
      <c r="P49" s="388"/>
      <c r="Q49" s="395"/>
      <c r="R49" s="48">
        <f>SUM(B49,H49,D49,F49)</f>
        <v>1</v>
      </c>
      <c r="S49" s="689">
        <f>SUM(C49,E49,G49,I49,K49,L49,M49,O49,P49,Q49)</f>
        <v>129.5</v>
      </c>
    </row>
    <row r="50" spans="1:19" ht="17.25" customHeight="1">
      <c r="A50" s="44" t="s">
        <v>54</v>
      </c>
      <c r="B50" s="379">
        <v>1</v>
      </c>
      <c r="C50" s="693">
        <v>143.6</v>
      </c>
      <c r="D50" s="47"/>
      <c r="E50" s="381"/>
      <c r="F50" s="379"/>
      <c r="G50" s="374"/>
      <c r="H50" s="47"/>
      <c r="I50" s="374"/>
      <c r="J50" s="47"/>
      <c r="K50" s="374"/>
      <c r="L50" s="374"/>
      <c r="M50" s="381"/>
      <c r="N50" s="379"/>
      <c r="O50" s="47"/>
      <c r="P50" s="388"/>
      <c r="Q50" s="395"/>
      <c r="R50" s="48">
        <f t="shared" si="6"/>
        <v>1</v>
      </c>
      <c r="S50" s="689">
        <f t="shared" si="7"/>
        <v>143.6</v>
      </c>
    </row>
    <row r="51" spans="1:19" ht="17.25" customHeight="1">
      <c r="A51" s="231" t="s">
        <v>439</v>
      </c>
      <c r="B51" s="379">
        <v>1</v>
      </c>
      <c r="C51" s="693">
        <v>25.4</v>
      </c>
      <c r="D51" s="47"/>
      <c r="E51" s="381"/>
      <c r="F51" s="379"/>
      <c r="G51" s="374"/>
      <c r="H51" s="47"/>
      <c r="I51" s="374"/>
      <c r="J51" s="47"/>
      <c r="K51" s="374"/>
      <c r="L51" s="374"/>
      <c r="M51" s="381"/>
      <c r="N51" s="379"/>
      <c r="O51" s="47"/>
      <c r="P51" s="388"/>
      <c r="Q51" s="395"/>
      <c r="R51" s="48">
        <f>SUM(B51,H51,D51,F51)</f>
        <v>1</v>
      </c>
      <c r="S51" s="689">
        <f>SUM(C51,E51,G51,I51,K51,L51,M51,O51,P51,Q51)</f>
        <v>25.4</v>
      </c>
    </row>
    <row r="52" spans="1:19" ht="17.25" customHeight="1">
      <c r="A52" s="231" t="s">
        <v>178</v>
      </c>
      <c r="B52" s="379">
        <v>1</v>
      </c>
      <c r="C52" s="693">
        <v>309.7</v>
      </c>
      <c r="D52" s="47"/>
      <c r="E52" s="381"/>
      <c r="F52" s="379"/>
      <c r="G52" s="374"/>
      <c r="H52" s="47"/>
      <c r="I52" s="374"/>
      <c r="J52" s="47"/>
      <c r="K52" s="374"/>
      <c r="L52" s="374"/>
      <c r="M52" s="381"/>
      <c r="N52" s="379"/>
      <c r="O52" s="47"/>
      <c r="P52" s="388"/>
      <c r="Q52" s="395"/>
      <c r="R52" s="48">
        <f>SUM(B52,H52,D52,F52)</f>
        <v>1</v>
      </c>
      <c r="S52" s="689">
        <f>SUM(C52,E52,G52,I52,K52,L52,M52,O52,P52,Q52)</f>
        <v>309.7</v>
      </c>
    </row>
    <row r="53" spans="1:19" s="232" customFormat="1" ht="17.25" customHeight="1">
      <c r="A53" s="683" t="s">
        <v>55</v>
      </c>
      <c r="B53" s="380">
        <v>1</v>
      </c>
      <c r="C53" s="694">
        <v>198.9</v>
      </c>
      <c r="D53" s="253"/>
      <c r="E53" s="382"/>
      <c r="F53" s="380"/>
      <c r="G53" s="389"/>
      <c r="H53" s="253"/>
      <c r="I53" s="253"/>
      <c r="J53" s="253"/>
      <c r="K53" s="389"/>
      <c r="L53" s="253"/>
      <c r="M53" s="396"/>
      <c r="N53" s="380"/>
      <c r="O53" s="253"/>
      <c r="P53" s="389"/>
      <c r="Q53" s="396"/>
      <c r="R53" s="682">
        <f t="shared" si="6"/>
        <v>1</v>
      </c>
      <c r="S53" s="690">
        <f t="shared" si="7"/>
        <v>198.9</v>
      </c>
    </row>
    <row r="54" spans="1:19" s="49" customFormat="1" ht="17.25" customHeight="1" thickBot="1">
      <c r="A54" s="501" t="s">
        <v>460</v>
      </c>
      <c r="B54" s="1111">
        <f>6+2</f>
        <v>8</v>
      </c>
      <c r="C54" s="1112">
        <f>215.6+61.4+20.8</f>
        <v>297.8</v>
      </c>
      <c r="D54" s="1112"/>
      <c r="E54" s="1113"/>
      <c r="F54" s="1114"/>
      <c r="G54" s="1115"/>
      <c r="H54" s="1115"/>
      <c r="I54" s="1115"/>
      <c r="J54" s="1115"/>
      <c r="K54" s="1115"/>
      <c r="L54" s="1115"/>
      <c r="M54" s="1116">
        <v>14766.3</v>
      </c>
      <c r="N54" s="516"/>
      <c r="O54" s="518"/>
      <c r="P54" s="518"/>
      <c r="Q54" s="520"/>
      <c r="R54" s="513">
        <f t="shared" si="6"/>
        <v>8</v>
      </c>
      <c r="S54" s="691">
        <f t="shared" si="7"/>
        <v>15064.099999999999</v>
      </c>
    </row>
    <row r="55" spans="1:19" s="685" customFormat="1" ht="17.25" customHeight="1" thickBot="1">
      <c r="A55" s="684" t="s">
        <v>56</v>
      </c>
      <c r="B55" s="1011">
        <f aca="true" t="shared" si="8" ref="B55:S55">SUM(B6:B54)</f>
        <v>645</v>
      </c>
      <c r="C55" s="1058">
        <f t="shared" si="8"/>
        <v>55605.000000000015</v>
      </c>
      <c r="D55" s="1059">
        <f t="shared" si="8"/>
        <v>93</v>
      </c>
      <c r="E55" s="1060">
        <f t="shared" si="8"/>
        <v>45456.600000000006</v>
      </c>
      <c r="F55" s="1011">
        <f t="shared" si="8"/>
        <v>276</v>
      </c>
      <c r="G55" s="1058">
        <f t="shared" si="8"/>
        <v>21681.700000000004</v>
      </c>
      <c r="H55" s="1059">
        <f t="shared" si="8"/>
        <v>27</v>
      </c>
      <c r="I55" s="1060">
        <f t="shared" si="8"/>
        <v>11999.9</v>
      </c>
      <c r="J55" s="1011">
        <f t="shared" si="8"/>
        <v>170</v>
      </c>
      <c r="K55" s="1058">
        <f t="shared" si="8"/>
        <v>11694.4</v>
      </c>
      <c r="L55" s="1058">
        <f t="shared" si="8"/>
        <v>11952.6</v>
      </c>
      <c r="M55" s="1060">
        <f t="shared" si="8"/>
        <v>85070.90000000001</v>
      </c>
      <c r="N55" s="1011">
        <f t="shared" si="8"/>
        <v>4</v>
      </c>
      <c r="O55" s="1058">
        <f t="shared" si="8"/>
        <v>111.2</v>
      </c>
      <c r="P55" s="1058">
        <f t="shared" si="8"/>
        <v>0</v>
      </c>
      <c r="Q55" s="1012">
        <f t="shared" si="8"/>
        <v>0</v>
      </c>
      <c r="R55" s="399">
        <f t="shared" si="8"/>
        <v>1041</v>
      </c>
      <c r="S55" s="692">
        <f t="shared" si="8"/>
        <v>243572.3</v>
      </c>
    </row>
    <row r="56" spans="1:19" s="49" customFormat="1" ht="17.25" customHeight="1">
      <c r="A56" s="9" t="s">
        <v>138</v>
      </c>
      <c r="B56" s="45"/>
      <c r="C56" s="376"/>
      <c r="D56" s="45"/>
      <c r="E56" s="376"/>
      <c r="F56" s="376"/>
      <c r="G56" s="376"/>
      <c r="H56" s="45"/>
      <c r="I56" s="376"/>
      <c r="J56" s="45"/>
      <c r="K56" s="376"/>
      <c r="L56" s="376"/>
      <c r="M56" s="376"/>
      <c r="N56" s="45"/>
      <c r="O56" s="45"/>
      <c r="P56" s="390"/>
      <c r="Q56" s="45"/>
      <c r="R56" s="45"/>
      <c r="S56" s="376"/>
    </row>
    <row r="57" spans="1:19" s="52" customFormat="1" ht="17.25" customHeight="1">
      <c r="A57" s="50" t="s">
        <v>160</v>
      </c>
      <c r="B57" s="53"/>
      <c r="C57" s="377"/>
      <c r="D57" s="53"/>
      <c r="E57" s="377"/>
      <c r="F57" s="377"/>
      <c r="G57" s="377"/>
      <c r="H57" s="53"/>
      <c r="I57" s="377"/>
      <c r="J57" s="53"/>
      <c r="K57" s="377"/>
      <c r="L57" s="377"/>
      <c r="M57" s="377"/>
      <c r="N57" s="53"/>
      <c r="O57" s="53"/>
      <c r="P57" s="391"/>
      <c r="Q57" s="53"/>
      <c r="R57" s="53"/>
      <c r="S57" s="377"/>
    </row>
    <row r="58" spans="1:19" s="49" customFormat="1" ht="15.75" customHeight="1">
      <c r="A58" s="50"/>
      <c r="B58" s="51"/>
      <c r="C58" s="378"/>
      <c r="D58" s="51"/>
      <c r="E58" s="378"/>
      <c r="F58" s="378"/>
      <c r="G58" s="378"/>
      <c r="H58" s="51"/>
      <c r="I58" s="378"/>
      <c r="J58" s="51"/>
      <c r="K58" s="378"/>
      <c r="L58" s="378"/>
      <c r="M58" s="378"/>
      <c r="N58" s="51"/>
      <c r="O58" s="51"/>
      <c r="P58" s="392"/>
      <c r="Q58" s="130"/>
      <c r="R58" s="54"/>
      <c r="S58" s="387"/>
    </row>
    <row r="59" spans="3:19" s="130" customFormat="1" ht="15.75" customHeight="1">
      <c r="C59" s="328"/>
      <c r="E59" s="328"/>
      <c r="F59" s="328"/>
      <c r="G59" s="328"/>
      <c r="I59" s="328"/>
      <c r="K59" s="328"/>
      <c r="L59" s="328"/>
      <c r="M59" s="328"/>
      <c r="P59" s="393"/>
      <c r="R59" s="54"/>
      <c r="S59" s="387"/>
    </row>
    <row r="60" spans="3:19" s="130" customFormat="1" ht="15.75" customHeight="1">
      <c r="C60" s="328"/>
      <c r="E60" s="328"/>
      <c r="F60" s="328"/>
      <c r="G60" s="328"/>
      <c r="I60" s="328"/>
      <c r="K60" s="328"/>
      <c r="L60" s="328"/>
      <c r="M60" s="328"/>
      <c r="P60" s="393"/>
      <c r="R60" s="54"/>
      <c r="S60" s="387"/>
    </row>
    <row r="61" spans="3:19" s="130" customFormat="1" ht="18" customHeight="1">
      <c r="C61" s="328"/>
      <c r="E61" s="328"/>
      <c r="F61" s="328"/>
      <c r="G61" s="328"/>
      <c r="I61" s="328"/>
      <c r="K61" s="328"/>
      <c r="L61" s="328"/>
      <c r="M61" s="328"/>
      <c r="P61" s="393"/>
      <c r="S61" s="328"/>
    </row>
    <row r="62" spans="3:19" s="130" customFormat="1" ht="18" customHeight="1">
      <c r="C62" s="328"/>
      <c r="E62" s="328"/>
      <c r="F62" s="328"/>
      <c r="G62" s="328"/>
      <c r="I62" s="328"/>
      <c r="K62" s="328"/>
      <c r="L62" s="328"/>
      <c r="M62" s="328"/>
      <c r="P62" s="393"/>
      <c r="S62" s="328"/>
    </row>
    <row r="63" spans="3:19" s="130" customFormat="1" ht="18" customHeight="1">
      <c r="C63" s="328"/>
      <c r="E63" s="328"/>
      <c r="F63" s="328"/>
      <c r="G63" s="328"/>
      <c r="I63" s="328"/>
      <c r="K63" s="328"/>
      <c r="L63" s="328"/>
      <c r="M63" s="328"/>
      <c r="P63" s="393"/>
      <c r="S63" s="328"/>
    </row>
    <row r="64" spans="3:19" s="130" customFormat="1" ht="16.5" customHeight="1">
      <c r="C64" s="328"/>
      <c r="E64" s="328"/>
      <c r="F64" s="328"/>
      <c r="G64" s="328"/>
      <c r="I64" s="328"/>
      <c r="K64" s="328"/>
      <c r="L64" s="328"/>
      <c r="M64" s="328"/>
      <c r="P64" s="393"/>
      <c r="S64" s="328"/>
    </row>
    <row r="65" spans="3:19" s="130" customFormat="1" ht="16.5" customHeight="1">
      <c r="C65" s="328"/>
      <c r="E65" s="328"/>
      <c r="F65" s="328"/>
      <c r="G65" s="328"/>
      <c r="I65" s="328"/>
      <c r="K65" s="328"/>
      <c r="L65" s="328"/>
      <c r="M65" s="328"/>
      <c r="P65" s="393"/>
      <c r="S65" s="328"/>
    </row>
    <row r="66" spans="3:19" s="130" customFormat="1" ht="16.5" customHeight="1">
      <c r="C66" s="328"/>
      <c r="E66" s="328"/>
      <c r="F66" s="328"/>
      <c r="G66" s="328"/>
      <c r="I66" s="328"/>
      <c r="K66" s="328"/>
      <c r="L66" s="328"/>
      <c r="M66" s="328"/>
      <c r="P66" s="393"/>
      <c r="S66" s="328"/>
    </row>
    <row r="67" spans="3:19" s="130" customFormat="1" ht="16.5" customHeight="1">
      <c r="C67" s="328"/>
      <c r="E67" s="328"/>
      <c r="F67" s="328"/>
      <c r="G67" s="328"/>
      <c r="I67" s="328"/>
      <c r="K67" s="328"/>
      <c r="L67" s="328"/>
      <c r="M67" s="328"/>
      <c r="P67" s="393"/>
      <c r="S67" s="328"/>
    </row>
    <row r="68" spans="3:19" s="130" customFormat="1" ht="16.5" customHeight="1">
      <c r="C68" s="328"/>
      <c r="E68" s="328"/>
      <c r="F68" s="328"/>
      <c r="G68" s="328"/>
      <c r="I68" s="328"/>
      <c r="K68" s="328"/>
      <c r="L68" s="328"/>
      <c r="M68" s="328"/>
      <c r="P68" s="393"/>
      <c r="S68" s="328"/>
    </row>
    <row r="69" spans="3:19" s="130" customFormat="1" ht="16.5" customHeight="1">
      <c r="C69" s="328"/>
      <c r="E69" s="328"/>
      <c r="F69" s="328"/>
      <c r="G69" s="328"/>
      <c r="I69" s="328"/>
      <c r="K69" s="328"/>
      <c r="L69" s="328"/>
      <c r="M69" s="328"/>
      <c r="P69" s="393"/>
      <c r="S69" s="328"/>
    </row>
    <row r="70" spans="3:19" s="130" customFormat="1" ht="16.5" customHeight="1">
      <c r="C70" s="328"/>
      <c r="E70" s="328"/>
      <c r="F70" s="328"/>
      <c r="G70" s="328"/>
      <c r="I70" s="328"/>
      <c r="K70" s="328"/>
      <c r="L70" s="328"/>
      <c r="M70" s="328"/>
      <c r="P70" s="393"/>
      <c r="S70" s="328"/>
    </row>
    <row r="71" spans="3:19" s="130" customFormat="1" ht="16.5" customHeight="1">
      <c r="C71" s="328"/>
      <c r="E71" s="328"/>
      <c r="F71" s="328"/>
      <c r="G71" s="328"/>
      <c r="I71" s="328"/>
      <c r="K71" s="328"/>
      <c r="L71" s="328"/>
      <c r="M71" s="328"/>
      <c r="P71" s="393"/>
      <c r="S71" s="328"/>
    </row>
    <row r="72" spans="3:19" s="130" customFormat="1" ht="17.25" customHeight="1">
      <c r="C72" s="328"/>
      <c r="E72" s="328"/>
      <c r="F72" s="328"/>
      <c r="G72" s="328"/>
      <c r="I72" s="328"/>
      <c r="K72" s="328"/>
      <c r="L72" s="328"/>
      <c r="M72" s="328"/>
      <c r="P72" s="393"/>
      <c r="S72" s="328"/>
    </row>
    <row r="73" spans="3:19" s="130" customFormat="1" ht="17.25" customHeight="1">
      <c r="C73" s="328"/>
      <c r="E73" s="328"/>
      <c r="F73" s="328"/>
      <c r="G73" s="328"/>
      <c r="I73" s="328"/>
      <c r="K73" s="328"/>
      <c r="L73" s="328"/>
      <c r="M73" s="328"/>
      <c r="P73" s="393"/>
      <c r="S73" s="328"/>
    </row>
    <row r="74" spans="3:19" s="130" customFormat="1" ht="17.25" customHeight="1">
      <c r="C74" s="328"/>
      <c r="E74" s="328"/>
      <c r="F74" s="328"/>
      <c r="G74" s="328"/>
      <c r="I74" s="328"/>
      <c r="K74" s="328"/>
      <c r="L74" s="328"/>
      <c r="M74" s="328"/>
      <c r="P74" s="393"/>
      <c r="S74" s="328"/>
    </row>
    <row r="75" spans="3:19" s="130" customFormat="1" ht="17.25" customHeight="1">
      <c r="C75" s="328"/>
      <c r="E75" s="328"/>
      <c r="F75" s="328"/>
      <c r="G75" s="328"/>
      <c r="I75" s="328"/>
      <c r="K75" s="328"/>
      <c r="L75" s="328"/>
      <c r="M75" s="328"/>
      <c r="P75" s="393"/>
      <c r="S75" s="328"/>
    </row>
    <row r="76" spans="3:19" s="130" customFormat="1" ht="16.5" customHeight="1">
      <c r="C76" s="328"/>
      <c r="E76" s="328"/>
      <c r="F76" s="328"/>
      <c r="G76" s="328"/>
      <c r="I76" s="328"/>
      <c r="K76" s="328"/>
      <c r="L76" s="328"/>
      <c r="M76" s="328"/>
      <c r="P76" s="393"/>
      <c r="S76" s="328"/>
    </row>
    <row r="77" spans="3:19" s="130" customFormat="1" ht="16.5" customHeight="1">
      <c r="C77" s="328"/>
      <c r="E77" s="328"/>
      <c r="F77" s="328"/>
      <c r="G77" s="328"/>
      <c r="I77" s="328"/>
      <c r="K77" s="328"/>
      <c r="L77" s="328"/>
      <c r="M77" s="328"/>
      <c r="P77" s="393"/>
      <c r="S77" s="328"/>
    </row>
    <row r="78" spans="3:19" s="130" customFormat="1" ht="16.5" customHeight="1">
      <c r="C78" s="328"/>
      <c r="E78" s="328"/>
      <c r="F78" s="328"/>
      <c r="G78" s="328"/>
      <c r="I78" s="328"/>
      <c r="K78" s="328"/>
      <c r="L78" s="328"/>
      <c r="M78" s="328"/>
      <c r="P78" s="393"/>
      <c r="S78" s="328"/>
    </row>
    <row r="79" spans="3:19" s="130" customFormat="1" ht="16.5" customHeight="1">
      <c r="C79" s="328"/>
      <c r="E79" s="328"/>
      <c r="F79" s="328"/>
      <c r="G79" s="328"/>
      <c r="I79" s="328"/>
      <c r="K79" s="328"/>
      <c r="L79" s="328"/>
      <c r="M79" s="328"/>
      <c r="P79" s="393"/>
      <c r="S79" s="328"/>
    </row>
    <row r="80" spans="3:19" s="130" customFormat="1" ht="16.5" customHeight="1">
      <c r="C80" s="328"/>
      <c r="E80" s="328"/>
      <c r="F80" s="328"/>
      <c r="G80" s="328"/>
      <c r="I80" s="328"/>
      <c r="K80" s="328"/>
      <c r="L80" s="328"/>
      <c r="M80" s="328"/>
      <c r="P80" s="393"/>
      <c r="S80" s="328"/>
    </row>
    <row r="81" spans="3:19" s="130" customFormat="1" ht="16.5" customHeight="1">
      <c r="C81" s="328"/>
      <c r="E81" s="328"/>
      <c r="F81" s="328"/>
      <c r="G81" s="328"/>
      <c r="I81" s="328"/>
      <c r="K81" s="328"/>
      <c r="L81" s="328"/>
      <c r="M81" s="328"/>
      <c r="P81" s="393"/>
      <c r="S81" s="328"/>
    </row>
    <row r="82" spans="3:19" s="130" customFormat="1" ht="18" customHeight="1">
      <c r="C82" s="328"/>
      <c r="E82" s="328"/>
      <c r="F82" s="328"/>
      <c r="G82" s="328"/>
      <c r="I82" s="328"/>
      <c r="K82" s="328"/>
      <c r="L82" s="328"/>
      <c r="M82" s="328"/>
      <c r="P82" s="393"/>
      <c r="S82" s="328"/>
    </row>
    <row r="83" spans="3:19" s="130" customFormat="1" ht="18" customHeight="1">
      <c r="C83" s="328"/>
      <c r="E83" s="328"/>
      <c r="F83" s="328"/>
      <c r="G83" s="328"/>
      <c r="I83" s="328"/>
      <c r="K83" s="328"/>
      <c r="L83" s="328"/>
      <c r="M83" s="328"/>
      <c r="P83" s="393"/>
      <c r="S83" s="328"/>
    </row>
    <row r="84" spans="3:19" s="130" customFormat="1" ht="18" customHeight="1">
      <c r="C84" s="328"/>
      <c r="E84" s="328"/>
      <c r="F84" s="328"/>
      <c r="G84" s="328"/>
      <c r="I84" s="328"/>
      <c r="K84" s="328"/>
      <c r="L84" s="328"/>
      <c r="M84" s="328"/>
      <c r="P84" s="393"/>
      <c r="S84" s="328"/>
    </row>
    <row r="85" spans="3:19" s="130" customFormat="1" ht="18" customHeight="1">
      <c r="C85" s="328"/>
      <c r="E85" s="328"/>
      <c r="F85" s="328"/>
      <c r="G85" s="328"/>
      <c r="I85" s="328"/>
      <c r="K85" s="328"/>
      <c r="L85" s="328"/>
      <c r="M85" s="328"/>
      <c r="P85" s="393"/>
      <c r="S85" s="328"/>
    </row>
    <row r="86" spans="3:19" s="130" customFormat="1" ht="18" customHeight="1">
      <c r="C86" s="328"/>
      <c r="E86" s="328"/>
      <c r="F86" s="328"/>
      <c r="G86" s="328"/>
      <c r="I86" s="328"/>
      <c r="K86" s="328"/>
      <c r="L86" s="328"/>
      <c r="M86" s="328"/>
      <c r="P86" s="393"/>
      <c r="S86" s="328"/>
    </row>
    <row r="87" spans="3:19" s="130" customFormat="1" ht="18" customHeight="1">
      <c r="C87" s="328"/>
      <c r="E87" s="328"/>
      <c r="F87" s="328"/>
      <c r="G87" s="328"/>
      <c r="I87" s="328"/>
      <c r="K87" s="328"/>
      <c r="L87" s="328"/>
      <c r="M87" s="328"/>
      <c r="P87" s="393"/>
      <c r="S87" s="328"/>
    </row>
    <row r="88" spans="3:19" s="130" customFormat="1" ht="18.75" customHeight="1">
      <c r="C88" s="328"/>
      <c r="E88" s="328"/>
      <c r="F88" s="328"/>
      <c r="G88" s="328"/>
      <c r="I88" s="328"/>
      <c r="K88" s="328"/>
      <c r="L88" s="328"/>
      <c r="M88" s="328"/>
      <c r="P88" s="393"/>
      <c r="S88" s="328"/>
    </row>
    <row r="89" spans="3:19" s="130" customFormat="1" ht="12.75">
      <c r="C89" s="328"/>
      <c r="E89" s="328"/>
      <c r="F89" s="328"/>
      <c r="G89" s="328"/>
      <c r="I89" s="328"/>
      <c r="K89" s="328"/>
      <c r="L89" s="328"/>
      <c r="M89" s="328"/>
      <c r="P89" s="393"/>
      <c r="S89" s="328"/>
    </row>
    <row r="90" spans="3:19" s="130" customFormat="1" ht="12.75">
      <c r="C90" s="328"/>
      <c r="E90" s="328"/>
      <c r="F90" s="328"/>
      <c r="G90" s="328"/>
      <c r="I90" s="328"/>
      <c r="K90" s="328"/>
      <c r="L90" s="328"/>
      <c r="M90" s="328"/>
      <c r="P90" s="393"/>
      <c r="S90" s="328"/>
    </row>
    <row r="91" spans="3:19" s="130" customFormat="1" ht="12.75">
      <c r="C91" s="328"/>
      <c r="E91" s="328"/>
      <c r="F91" s="328"/>
      <c r="G91" s="328"/>
      <c r="I91" s="328"/>
      <c r="K91" s="328"/>
      <c r="L91" s="328"/>
      <c r="M91" s="328"/>
      <c r="P91" s="393"/>
      <c r="S91" s="328"/>
    </row>
  </sheetData>
  <sheetProtection/>
  <mergeCells count="12">
    <mergeCell ref="A2:A4"/>
    <mergeCell ref="B3:C3"/>
    <mergeCell ref="B2:E2"/>
    <mergeCell ref="H3:I3"/>
    <mergeCell ref="P2:P3"/>
    <mergeCell ref="Q2:Q3"/>
    <mergeCell ref="R2:S3"/>
    <mergeCell ref="D3:E3"/>
    <mergeCell ref="N2:O3"/>
    <mergeCell ref="F3:G3"/>
    <mergeCell ref="F2:M2"/>
    <mergeCell ref="J3:K3"/>
  </mergeCells>
  <printOptions horizontalCentered="1"/>
  <pageMargins left="0.15748031496063" right="0.21" top="0.29" bottom="0.051574803" header="0.35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1:AQ116"/>
  <sheetViews>
    <sheetView zoomScalePageLayoutView="0" workbookViewId="0" topLeftCell="A1">
      <pane xSplit="1" ySplit="3" topLeftCell="R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E14" sqref="AE14"/>
    </sheetView>
  </sheetViews>
  <sheetFormatPr defaultColWidth="9.140625" defaultRowHeight="12.75"/>
  <cols>
    <col min="1" max="1" width="21.421875" style="108" customWidth="1"/>
    <col min="2" max="2" width="5.140625" style="132" bestFit="1" customWidth="1"/>
    <col min="3" max="3" width="9.28125" style="324" bestFit="1" customWidth="1"/>
    <col min="4" max="4" width="3.8515625" style="133" customWidth="1"/>
    <col min="5" max="5" width="8.140625" style="324" customWidth="1"/>
    <col min="6" max="6" width="3.8515625" style="132" customWidth="1"/>
    <col min="7" max="7" width="8.00390625" style="324" customWidth="1"/>
    <col min="8" max="8" width="5.28125" style="133" customWidth="1"/>
    <col min="9" max="9" width="9.00390625" style="709" customWidth="1"/>
    <col min="10" max="10" width="3.7109375" style="134" hidden="1" customWidth="1"/>
    <col min="11" max="11" width="6.140625" style="108" hidden="1" customWidth="1"/>
    <col min="12" max="12" width="4.00390625" style="108" customWidth="1"/>
    <col min="13" max="13" width="6.7109375" style="709" bestFit="1" customWidth="1"/>
    <col min="14" max="14" width="4.00390625" style="108" customWidth="1"/>
    <col min="15" max="15" width="8.28125" style="709" bestFit="1" customWidth="1"/>
    <col min="16" max="16" width="4.00390625" style="108" customWidth="1"/>
    <col min="17" max="17" width="8.140625" style="709" customWidth="1"/>
    <col min="18" max="18" width="3.00390625" style="133" customWidth="1"/>
    <col min="19" max="19" width="6.7109375" style="709" bestFit="1" customWidth="1"/>
    <col min="20" max="20" width="4.00390625" style="108" customWidth="1"/>
    <col min="21" max="21" width="8.140625" style="709" customWidth="1"/>
    <col min="22" max="22" width="3.8515625" style="108" customWidth="1"/>
    <col min="23" max="23" width="6.7109375" style="709" bestFit="1" customWidth="1"/>
    <col min="24" max="24" width="4.140625" style="134" customWidth="1"/>
    <col min="25" max="25" width="8.140625" style="709" customWidth="1"/>
    <col min="26" max="26" width="5.00390625" style="108" customWidth="1"/>
    <col min="27" max="27" width="9.00390625" style="709" customWidth="1"/>
    <col min="28" max="28" width="5.00390625" style="134" customWidth="1"/>
    <col min="29" max="29" width="9.140625" style="709" customWidth="1"/>
    <col min="30" max="30" width="3.8515625" style="133" customWidth="1"/>
    <col min="31" max="31" width="9.140625" style="709" customWidth="1"/>
    <col min="32" max="32" width="3.8515625" style="134" customWidth="1"/>
    <col min="33" max="33" width="9.00390625" style="709" customWidth="1"/>
    <col min="34" max="34" width="4.00390625" style="108" customWidth="1"/>
    <col min="35" max="35" width="8.140625" style="709" customWidth="1"/>
    <col min="36" max="36" width="4.8515625" style="134" customWidth="1"/>
    <col min="37" max="37" width="9.00390625" style="709" customWidth="1"/>
    <col min="38" max="38" width="4.421875" style="321" customWidth="1"/>
    <col min="39" max="39" width="8.421875" style="321" customWidth="1"/>
    <col min="40" max="40" width="3.8515625" style="134" customWidth="1"/>
    <col min="41" max="41" width="9.00390625" style="709" bestFit="1" customWidth="1"/>
    <col min="42" max="42" width="6.421875" style="134" customWidth="1"/>
    <col min="43" max="43" width="10.00390625" style="431" customWidth="1"/>
    <col min="44" max="16384" width="9.140625" style="108" customWidth="1"/>
  </cols>
  <sheetData>
    <row r="1" spans="2:42" s="56" customFormat="1" ht="18.75" customHeight="1" thickBot="1">
      <c r="B1" s="132"/>
      <c r="C1" s="383"/>
      <c r="D1" s="133"/>
      <c r="E1" s="324"/>
      <c r="F1" s="132"/>
      <c r="G1" s="324"/>
      <c r="H1" s="133"/>
      <c r="I1" s="709"/>
      <c r="J1" s="134"/>
      <c r="K1" s="133"/>
      <c r="L1" s="133"/>
      <c r="M1" s="709"/>
      <c r="N1" s="133"/>
      <c r="O1" s="709"/>
      <c r="P1" s="133"/>
      <c r="Q1" s="709"/>
      <c r="R1" s="133"/>
      <c r="S1" s="709"/>
      <c r="T1" s="133"/>
      <c r="U1" s="709"/>
      <c r="V1" s="133"/>
      <c r="W1" s="709"/>
      <c r="X1" s="134"/>
      <c r="Y1" s="709"/>
      <c r="Z1" s="133"/>
      <c r="AA1" s="709"/>
      <c r="AC1" s="423"/>
      <c r="AE1" s="423"/>
      <c r="AF1" s="134"/>
      <c r="AG1" s="423"/>
      <c r="AH1" s="71"/>
      <c r="AI1" s="1049"/>
      <c r="AJ1" s="71"/>
      <c r="AK1" s="1051" t="s">
        <v>0</v>
      </c>
      <c r="AL1" s="881"/>
      <c r="AM1" s="881"/>
      <c r="AN1" s="71"/>
      <c r="AO1" s="1049"/>
      <c r="AP1" s="71"/>
    </row>
    <row r="2" spans="1:43" s="56" customFormat="1" ht="73.5" customHeight="1" thickBot="1">
      <c r="A2" s="1185" t="s">
        <v>1</v>
      </c>
      <c r="B2" s="1187" t="s">
        <v>66</v>
      </c>
      <c r="C2" s="1187"/>
      <c r="D2" s="1187" t="s">
        <v>67</v>
      </c>
      <c r="E2" s="1187"/>
      <c r="F2" s="1182" t="s">
        <v>78</v>
      </c>
      <c r="G2" s="1182"/>
      <c r="H2" s="1183" t="s">
        <v>68</v>
      </c>
      <c r="I2" s="1183"/>
      <c r="J2" s="1183" t="s">
        <v>68</v>
      </c>
      <c r="K2" s="1183"/>
      <c r="L2" s="1183" t="s">
        <v>79</v>
      </c>
      <c r="M2" s="1183"/>
      <c r="N2" s="1184" t="s">
        <v>144</v>
      </c>
      <c r="O2" s="1184"/>
      <c r="P2" s="1184" t="s">
        <v>69</v>
      </c>
      <c r="Q2" s="1184"/>
      <c r="R2" s="1184" t="s">
        <v>70</v>
      </c>
      <c r="S2" s="1184"/>
      <c r="T2" s="1184" t="s">
        <v>148</v>
      </c>
      <c r="U2" s="1184"/>
      <c r="V2" s="1184" t="s">
        <v>71</v>
      </c>
      <c r="W2" s="1184"/>
      <c r="X2" s="1187" t="s">
        <v>72</v>
      </c>
      <c r="Y2" s="1187"/>
      <c r="Z2" s="1184" t="s">
        <v>73</v>
      </c>
      <c r="AA2" s="1184"/>
      <c r="AB2" s="1184" t="s">
        <v>74</v>
      </c>
      <c r="AC2" s="1184"/>
      <c r="AD2" s="1184" t="s">
        <v>75</v>
      </c>
      <c r="AE2" s="1184"/>
      <c r="AF2" s="1184" t="s">
        <v>76</v>
      </c>
      <c r="AG2" s="1184"/>
      <c r="AH2" s="1184" t="s">
        <v>77</v>
      </c>
      <c r="AI2" s="1184"/>
      <c r="AJ2" s="1184" t="s">
        <v>87</v>
      </c>
      <c r="AK2" s="1184"/>
      <c r="AL2" s="1184" t="s">
        <v>294</v>
      </c>
      <c r="AM2" s="1184"/>
      <c r="AN2" s="1184" t="s">
        <v>307</v>
      </c>
      <c r="AO2" s="1184"/>
      <c r="AP2" s="1188" t="s">
        <v>61</v>
      </c>
      <c r="AQ2" s="1188"/>
    </row>
    <row r="3" spans="1:43" s="67" customFormat="1" ht="21.75" customHeight="1" thickBot="1">
      <c r="A3" s="1186"/>
      <c r="B3" s="879" t="s">
        <v>10</v>
      </c>
      <c r="C3" s="880" t="s">
        <v>9</v>
      </c>
      <c r="D3" s="879" t="s">
        <v>10</v>
      </c>
      <c r="E3" s="880" t="s">
        <v>9</v>
      </c>
      <c r="F3" s="879" t="s">
        <v>10</v>
      </c>
      <c r="G3" s="880" t="s">
        <v>9</v>
      </c>
      <c r="H3" s="88" t="s">
        <v>10</v>
      </c>
      <c r="I3" s="1041" t="s">
        <v>9</v>
      </c>
      <c r="J3" s="88" t="s">
        <v>10</v>
      </c>
      <c r="K3" s="88" t="s">
        <v>9</v>
      </c>
      <c r="L3" s="88" t="s">
        <v>10</v>
      </c>
      <c r="M3" s="1041" t="s">
        <v>9</v>
      </c>
      <c r="N3" s="88" t="s">
        <v>10</v>
      </c>
      <c r="O3" s="1041" t="s">
        <v>9</v>
      </c>
      <c r="P3" s="88" t="s">
        <v>10</v>
      </c>
      <c r="Q3" s="1041" t="s">
        <v>9</v>
      </c>
      <c r="R3" s="88" t="s">
        <v>10</v>
      </c>
      <c r="S3" s="1041" t="s">
        <v>9</v>
      </c>
      <c r="T3" s="88" t="s">
        <v>10</v>
      </c>
      <c r="U3" s="1041" t="s">
        <v>9</v>
      </c>
      <c r="V3" s="88" t="s">
        <v>10</v>
      </c>
      <c r="W3" s="1041" t="s">
        <v>9</v>
      </c>
      <c r="X3" s="88" t="s">
        <v>10</v>
      </c>
      <c r="Y3" s="1041" t="s">
        <v>9</v>
      </c>
      <c r="Z3" s="88" t="s">
        <v>10</v>
      </c>
      <c r="AA3" s="1041" t="s">
        <v>9</v>
      </c>
      <c r="AB3" s="88" t="s">
        <v>10</v>
      </c>
      <c r="AC3" s="1041" t="s">
        <v>9</v>
      </c>
      <c r="AD3" s="88" t="s">
        <v>10</v>
      </c>
      <c r="AE3" s="1041" t="s">
        <v>9</v>
      </c>
      <c r="AF3" s="88" t="s">
        <v>10</v>
      </c>
      <c r="AG3" s="1041" t="s">
        <v>9</v>
      </c>
      <c r="AH3" s="88" t="s">
        <v>10</v>
      </c>
      <c r="AI3" s="1041" t="s">
        <v>9</v>
      </c>
      <c r="AJ3" s="88" t="s">
        <v>10</v>
      </c>
      <c r="AK3" s="1041" t="s">
        <v>9</v>
      </c>
      <c r="AL3" s="88" t="s">
        <v>10</v>
      </c>
      <c r="AM3" s="880" t="s">
        <v>9</v>
      </c>
      <c r="AN3" s="88" t="s">
        <v>10</v>
      </c>
      <c r="AO3" s="1041" t="s">
        <v>9</v>
      </c>
      <c r="AP3" s="88" t="s">
        <v>10</v>
      </c>
      <c r="AQ3" s="882" t="s">
        <v>9</v>
      </c>
    </row>
    <row r="4" spans="1:43" s="56" customFormat="1" ht="26.25" customHeight="1">
      <c r="A4" s="72" t="s">
        <v>80</v>
      </c>
      <c r="B4" s="58"/>
      <c r="C4" s="317"/>
      <c r="D4" s="59"/>
      <c r="E4" s="317"/>
      <c r="F4" s="58"/>
      <c r="G4" s="317"/>
      <c r="H4" s="59"/>
      <c r="I4" s="1027"/>
      <c r="J4" s="60"/>
      <c r="K4" s="59"/>
      <c r="L4" s="59"/>
      <c r="M4" s="1027"/>
      <c r="N4" s="59"/>
      <c r="O4" s="1027"/>
      <c r="P4" s="59"/>
      <c r="Q4" s="1027"/>
      <c r="R4" s="59"/>
      <c r="S4" s="1027"/>
      <c r="T4" s="59"/>
      <c r="U4" s="1027"/>
      <c r="V4" s="59"/>
      <c r="W4" s="1027"/>
      <c r="X4" s="60"/>
      <c r="Y4" s="1027"/>
      <c r="Z4" s="59"/>
      <c r="AA4" s="1027"/>
      <c r="AB4" s="60"/>
      <c r="AC4" s="1027"/>
      <c r="AD4" s="59"/>
      <c r="AE4" s="1027"/>
      <c r="AF4" s="60"/>
      <c r="AG4" s="1027"/>
      <c r="AH4" s="59"/>
      <c r="AI4" s="1027"/>
      <c r="AJ4" s="60"/>
      <c r="AK4" s="1027"/>
      <c r="AL4" s="317"/>
      <c r="AM4" s="317"/>
      <c r="AN4" s="60"/>
      <c r="AO4" s="1027"/>
      <c r="AP4" s="60"/>
      <c r="AQ4" s="883"/>
    </row>
    <row r="5" spans="1:43" s="76" customFormat="1" ht="23.25" customHeight="1">
      <c r="A5" s="73" t="s">
        <v>81</v>
      </c>
      <c r="B5" s="149">
        <v>40</v>
      </c>
      <c r="C5" s="369">
        <f>3743+4.8+237.3</f>
        <v>3985.1000000000004</v>
      </c>
      <c r="D5" s="12"/>
      <c r="E5" s="369"/>
      <c r="F5" s="149">
        <v>1</v>
      </c>
      <c r="G5" s="369">
        <v>712.2</v>
      </c>
      <c r="H5" s="15">
        <f>27+2+1</f>
        <v>30</v>
      </c>
      <c r="I5" s="1042">
        <f>2375.1+166+30000+596.3+1063+290.4+64</f>
        <v>34554.8</v>
      </c>
      <c r="J5" s="15"/>
      <c r="K5" s="12"/>
      <c r="L5" s="12"/>
      <c r="M5" s="424"/>
      <c r="N5" s="12"/>
      <c r="O5" s="424"/>
      <c r="P5" s="12"/>
      <c r="Q5" s="424"/>
      <c r="R5" s="12"/>
      <c r="S5" s="424"/>
      <c r="T5" s="12"/>
      <c r="U5" s="424"/>
      <c r="V5" s="12"/>
      <c r="W5" s="424"/>
      <c r="X5" s="11"/>
      <c r="Y5" s="419"/>
      <c r="Z5" s="11">
        <v>20</v>
      </c>
      <c r="AA5" s="419">
        <v>1873.2</v>
      </c>
      <c r="AB5" s="11"/>
      <c r="AC5" s="419">
        <f>474.5+29000+27.8</f>
        <v>29502.3</v>
      </c>
      <c r="AD5" s="11"/>
      <c r="AE5" s="419"/>
      <c r="AF5" s="11"/>
      <c r="AG5" s="419">
        <f>108.2+385.1</f>
        <v>493.3</v>
      </c>
      <c r="AH5" s="11">
        <v>6</v>
      </c>
      <c r="AI5" s="419">
        <v>222.5</v>
      </c>
      <c r="AJ5" s="11">
        <v>1</v>
      </c>
      <c r="AK5" s="419">
        <v>169.2</v>
      </c>
      <c r="AL5" s="332"/>
      <c r="AM5" s="332"/>
      <c r="AN5" s="11"/>
      <c r="AO5" s="419"/>
      <c r="AP5" s="86">
        <f aca="true" t="shared" si="0" ref="AP5:AQ7">SUM(B5,D5,F5,H5,J5,L5,N5,P5,R5,T5,V5,X5,Z5,AB5,AD5,AF5,AH5,AJ5,AN5,AL5)</f>
        <v>98</v>
      </c>
      <c r="AQ5" s="1013">
        <f t="shared" si="0"/>
        <v>71512.6</v>
      </c>
    </row>
    <row r="6" spans="1:43" s="76" customFormat="1" ht="23.25" customHeight="1">
      <c r="A6" s="73" t="s">
        <v>82</v>
      </c>
      <c r="B6" s="149">
        <f>7+2</f>
        <v>9</v>
      </c>
      <c r="C6" s="369">
        <f>976.6+817.5+325.8+158.3+30.1+3.7</f>
        <v>2312</v>
      </c>
      <c r="D6" s="12">
        <f>53+2</f>
        <v>55</v>
      </c>
      <c r="E6" s="369">
        <f>3574+288.7</f>
        <v>3862.7</v>
      </c>
      <c r="F6" s="149">
        <v>4</v>
      </c>
      <c r="G6" s="369">
        <v>1113</v>
      </c>
      <c r="H6" s="15">
        <f>23+2+10+8+22+21</f>
        <v>86</v>
      </c>
      <c r="I6" s="1042">
        <f>3072.5+242.6+163.6+966.2+652.8+256.2+2943.2+109.7+1103.3+478.2+82.4+89.5+275.7+70.6+358.5+8519+96+380.9+1671.8+13.4+56+65</f>
        <v>21667.100000000002</v>
      </c>
      <c r="J6" s="15"/>
      <c r="K6" s="12"/>
      <c r="L6" s="12"/>
      <c r="M6" s="424">
        <v>200.7</v>
      </c>
      <c r="N6" s="12">
        <v>10</v>
      </c>
      <c r="O6" s="424">
        <v>605.4</v>
      </c>
      <c r="P6" s="12">
        <f>2+3</f>
        <v>5</v>
      </c>
      <c r="Q6" s="424">
        <f>1043.1+65.8+103.9</f>
        <v>1212.8</v>
      </c>
      <c r="R6" s="12">
        <v>2</v>
      </c>
      <c r="S6" s="424">
        <v>548.4</v>
      </c>
      <c r="T6" s="12">
        <v>12</v>
      </c>
      <c r="U6" s="424">
        <v>1905.4</v>
      </c>
      <c r="V6" s="12">
        <v>5</v>
      </c>
      <c r="W6" s="424">
        <v>231.7</v>
      </c>
      <c r="X6" s="11">
        <f>20+8</f>
        <v>28</v>
      </c>
      <c r="Y6" s="419">
        <f>2524.2+246.1+1188.9+1003.4+96.1</f>
        <v>5058.7</v>
      </c>
      <c r="Z6" s="11">
        <v>7</v>
      </c>
      <c r="AA6" s="419">
        <f>203+366.9+11157.2+1768.3</f>
        <v>13495.4</v>
      </c>
      <c r="AB6" s="11">
        <f>10+64</f>
        <v>74</v>
      </c>
      <c r="AC6" s="419">
        <f>1463.6+27.8+356.4+452.3+33.9+154.1+275.5+640+33.3</f>
        <v>3436.9</v>
      </c>
      <c r="AD6" s="11">
        <v>5</v>
      </c>
      <c r="AE6" s="419">
        <v>1705</v>
      </c>
      <c r="AF6" s="11">
        <v>9</v>
      </c>
      <c r="AG6" s="419">
        <v>1178.1</v>
      </c>
      <c r="AH6" s="11">
        <v>7</v>
      </c>
      <c r="AI6" s="419">
        <v>300.8</v>
      </c>
      <c r="AJ6" s="11">
        <v>25</v>
      </c>
      <c r="AK6" s="419">
        <v>3288.3</v>
      </c>
      <c r="AL6" s="1109">
        <v>1</v>
      </c>
      <c r="AM6" s="332">
        <v>83.8</v>
      </c>
      <c r="AN6" s="11"/>
      <c r="AO6" s="419"/>
      <c r="AP6" s="86">
        <f t="shared" si="0"/>
        <v>344</v>
      </c>
      <c r="AQ6" s="1013">
        <f t="shared" si="0"/>
        <v>62206.20000000001</v>
      </c>
    </row>
    <row r="7" spans="1:43" s="76" customFormat="1" ht="23.25" customHeight="1">
      <c r="A7" s="73" t="s">
        <v>83</v>
      </c>
      <c r="B7" s="149">
        <f>39+5+3</f>
        <v>47</v>
      </c>
      <c r="C7" s="369">
        <f>3309.3+58.5+476.5+190.9+554.8</f>
        <v>4590</v>
      </c>
      <c r="D7" s="12"/>
      <c r="E7" s="369">
        <v>153.5</v>
      </c>
      <c r="F7" s="149">
        <v>13</v>
      </c>
      <c r="G7" s="369">
        <f>454+326.8+60.3+250.2+153.7</f>
        <v>1245</v>
      </c>
      <c r="H7" s="15">
        <f>18+5+2</f>
        <v>25</v>
      </c>
      <c r="I7" s="1042">
        <f>586.8+118.6+923+1454.5+39.2</f>
        <v>3122.1</v>
      </c>
      <c r="J7" s="15"/>
      <c r="K7" s="12"/>
      <c r="L7" s="12"/>
      <c r="M7" s="424"/>
      <c r="N7" s="12"/>
      <c r="O7" s="424"/>
      <c r="P7" s="12">
        <v>4</v>
      </c>
      <c r="Q7" s="424">
        <v>923.2</v>
      </c>
      <c r="R7" s="12">
        <v>7</v>
      </c>
      <c r="S7" s="424">
        <v>2.6</v>
      </c>
      <c r="T7" s="12"/>
      <c r="U7" s="424"/>
      <c r="V7" s="12"/>
      <c r="W7" s="424"/>
      <c r="X7" s="11"/>
      <c r="Y7" s="419"/>
      <c r="Z7" s="11">
        <v>11</v>
      </c>
      <c r="AA7" s="419">
        <v>2107.8</v>
      </c>
      <c r="AB7" s="11">
        <v>11</v>
      </c>
      <c r="AC7" s="419">
        <f>1326.5+27.8</f>
        <v>1354.3</v>
      </c>
      <c r="AD7" s="11">
        <v>2</v>
      </c>
      <c r="AE7" s="419">
        <v>690.1</v>
      </c>
      <c r="AF7" s="11">
        <v>18</v>
      </c>
      <c r="AG7" s="419">
        <v>433.1</v>
      </c>
      <c r="AH7" s="11">
        <v>24</v>
      </c>
      <c r="AI7" s="419">
        <v>1319.9</v>
      </c>
      <c r="AJ7" s="11">
        <f>35+5</f>
        <v>40</v>
      </c>
      <c r="AK7" s="419">
        <f>2747.5+1900</f>
        <v>4647.5</v>
      </c>
      <c r="AL7" s="1109">
        <v>2</v>
      </c>
      <c r="AM7" s="332">
        <v>234.3</v>
      </c>
      <c r="AN7" s="11">
        <v>1</v>
      </c>
      <c r="AO7" s="419">
        <v>95</v>
      </c>
      <c r="AP7" s="86">
        <f t="shared" si="0"/>
        <v>205</v>
      </c>
      <c r="AQ7" s="1013">
        <f t="shared" si="0"/>
        <v>20918.399999999998</v>
      </c>
    </row>
    <row r="8" spans="1:43" s="386" customFormat="1" ht="22.5" customHeight="1">
      <c r="A8" s="228" t="s">
        <v>84</v>
      </c>
      <c r="B8" s="229">
        <v>5</v>
      </c>
      <c r="C8" s="701">
        <v>78.6</v>
      </c>
      <c r="D8" s="686"/>
      <c r="E8" s="701"/>
      <c r="F8" s="229"/>
      <c r="G8" s="701"/>
      <c r="H8" s="18">
        <f>51+1</f>
        <v>52</v>
      </c>
      <c r="I8" s="1043">
        <f>5205.1+250.9+68.3+792.1+210.8+5+50.4</f>
        <v>6582.6</v>
      </c>
      <c r="J8" s="18"/>
      <c r="K8" s="686"/>
      <c r="L8" s="686"/>
      <c r="M8" s="687"/>
      <c r="N8" s="686"/>
      <c r="O8" s="687"/>
      <c r="P8" s="686"/>
      <c r="Q8" s="687"/>
      <c r="R8" s="686"/>
      <c r="S8" s="687"/>
      <c r="T8" s="686"/>
      <c r="U8" s="687"/>
      <c r="V8" s="686"/>
      <c r="W8" s="687"/>
      <c r="X8" s="17"/>
      <c r="Y8" s="420"/>
      <c r="Z8" s="17"/>
      <c r="AA8" s="420"/>
      <c r="AB8" s="17">
        <v>3</v>
      </c>
      <c r="AC8" s="420">
        <f>265.8+27.8</f>
        <v>293.6</v>
      </c>
      <c r="AD8" s="17"/>
      <c r="AE8" s="420"/>
      <c r="AF8" s="17"/>
      <c r="AG8" s="420"/>
      <c r="AH8" s="17"/>
      <c r="AI8" s="420"/>
      <c r="AJ8" s="17"/>
      <c r="AK8" s="420"/>
      <c r="AL8" s="368"/>
      <c r="AM8" s="368"/>
      <c r="AN8" s="17"/>
      <c r="AO8" s="420"/>
      <c r="AP8" s="156">
        <f>SUM(B8,D8,F8,H8,J8,L8,N8,P8,R8,T8,V8,X8,Z8,AB8,AD8,AF8,AH8,AJ8,AN8)</f>
        <v>60</v>
      </c>
      <c r="AQ8" s="885">
        <f>SUM(C8,E8,G8,I8,K8,M8,O8,Q8,S8,U8,W8,Y8,AA8,AC8,AE8,AG8,AI8,AK8,AO8)</f>
        <v>6954.800000000001</v>
      </c>
    </row>
    <row r="9" spans="1:43" s="75" customFormat="1" ht="22.5" customHeight="1">
      <c r="A9" s="106" t="s">
        <v>196</v>
      </c>
      <c r="B9" s="149"/>
      <c r="C9" s="332"/>
      <c r="D9" s="11"/>
      <c r="E9" s="332"/>
      <c r="F9" s="11"/>
      <c r="G9" s="332"/>
      <c r="H9" s="11"/>
      <c r="I9" s="419"/>
      <c r="J9" s="11"/>
      <c r="K9" s="11"/>
      <c r="L9" s="11"/>
      <c r="M9" s="419"/>
      <c r="N9" s="11"/>
      <c r="O9" s="419"/>
      <c r="P9" s="11"/>
      <c r="Q9" s="419"/>
      <c r="R9" s="11"/>
      <c r="S9" s="419"/>
      <c r="T9" s="11"/>
      <c r="U9" s="419"/>
      <c r="V9" s="11"/>
      <c r="W9" s="419"/>
      <c r="X9" s="11"/>
      <c r="Y9" s="419"/>
      <c r="Z9" s="11"/>
      <c r="AA9" s="419"/>
      <c r="AB9" s="11"/>
      <c r="AC9" s="419"/>
      <c r="AD9" s="11"/>
      <c r="AE9" s="419"/>
      <c r="AF9" s="11"/>
      <c r="AG9" s="419"/>
      <c r="AH9" s="11"/>
      <c r="AI9" s="419"/>
      <c r="AJ9" s="11"/>
      <c r="AK9" s="419"/>
      <c r="AL9" s="332"/>
      <c r="AM9" s="332"/>
      <c r="AN9" s="11"/>
      <c r="AO9" s="419"/>
      <c r="AP9" s="86"/>
      <c r="AQ9" s="884"/>
    </row>
    <row r="10" spans="1:43" s="386" customFormat="1" ht="22.5" customHeight="1">
      <c r="A10" s="656" t="s">
        <v>86</v>
      </c>
      <c r="B10" s="229"/>
      <c r="C10" s="701"/>
      <c r="D10" s="686"/>
      <c r="E10" s="701"/>
      <c r="F10" s="229"/>
      <c r="G10" s="701"/>
      <c r="H10" s="18">
        <f>4+12</f>
        <v>16</v>
      </c>
      <c r="I10" s="1043">
        <f>720.8+4593.6</f>
        <v>5314.400000000001</v>
      </c>
      <c r="J10" s="18"/>
      <c r="K10" s="686"/>
      <c r="L10" s="686"/>
      <c r="M10" s="687"/>
      <c r="N10" s="686"/>
      <c r="O10" s="687"/>
      <c r="P10" s="686"/>
      <c r="Q10" s="687"/>
      <c r="R10" s="686"/>
      <c r="S10" s="687"/>
      <c r="T10" s="686"/>
      <c r="U10" s="687"/>
      <c r="V10" s="686"/>
      <c r="W10" s="687"/>
      <c r="X10" s="17"/>
      <c r="Y10" s="420"/>
      <c r="Z10" s="17"/>
      <c r="AA10" s="420">
        <f>2349.8+61.8</f>
        <v>2411.6000000000004</v>
      </c>
      <c r="AB10" s="17">
        <v>1</v>
      </c>
      <c r="AC10" s="420">
        <v>396.9</v>
      </c>
      <c r="AD10" s="17"/>
      <c r="AE10" s="420"/>
      <c r="AF10" s="17"/>
      <c r="AG10" s="420"/>
      <c r="AH10" s="17"/>
      <c r="AI10" s="420"/>
      <c r="AJ10" s="17"/>
      <c r="AK10" s="420"/>
      <c r="AL10" s="368"/>
      <c r="AM10" s="368"/>
      <c r="AN10" s="17"/>
      <c r="AO10" s="420"/>
      <c r="AP10" s="156">
        <f>SUM(B10,D10,F10,H10,J10,L10,N10,P10,R10,T10,V10,X10,Z10,AB10,AD10,AF10,AH10,AJ10,AN10)</f>
        <v>17</v>
      </c>
      <c r="AQ10" s="885">
        <f>SUM(C10,E10,G10,I10,K10,M10,O10,Q10,S10,U10,W10,Y10,AA10,AC10,AE10,AG10,AI10,AK10,AO10)</f>
        <v>8122.900000000001</v>
      </c>
    </row>
    <row r="11" spans="1:43" s="75" customFormat="1" ht="22.5" customHeight="1">
      <c r="A11" s="106" t="s">
        <v>20</v>
      </c>
      <c r="B11" s="149"/>
      <c r="C11" s="332"/>
      <c r="D11" s="11"/>
      <c r="E11" s="332"/>
      <c r="F11" s="11"/>
      <c r="G11" s="332"/>
      <c r="H11" s="11"/>
      <c r="I11" s="419"/>
      <c r="J11" s="11"/>
      <c r="K11" s="11"/>
      <c r="L11" s="11"/>
      <c r="M11" s="419"/>
      <c r="N11" s="11"/>
      <c r="O11" s="419"/>
      <c r="P11" s="11"/>
      <c r="Q11" s="419"/>
      <c r="R11" s="11"/>
      <c r="S11" s="419"/>
      <c r="T11" s="11"/>
      <c r="U11" s="419"/>
      <c r="V11" s="11"/>
      <c r="W11" s="419"/>
      <c r="X11" s="11"/>
      <c r="Y11" s="419"/>
      <c r="Z11" s="11"/>
      <c r="AA11" s="419"/>
      <c r="AB11" s="11"/>
      <c r="AC11" s="419"/>
      <c r="AD11" s="11"/>
      <c r="AE11" s="419"/>
      <c r="AF11" s="11"/>
      <c r="AG11" s="419"/>
      <c r="AH11" s="11"/>
      <c r="AI11" s="419"/>
      <c r="AJ11" s="11"/>
      <c r="AK11" s="419"/>
      <c r="AL11" s="332"/>
      <c r="AM11" s="332"/>
      <c r="AN11" s="11"/>
      <c r="AO11" s="419"/>
      <c r="AP11" s="86"/>
      <c r="AQ11" s="884"/>
    </row>
    <row r="12" spans="1:43" s="386" customFormat="1" ht="22.5" customHeight="1">
      <c r="A12" s="656" t="s">
        <v>85</v>
      </c>
      <c r="B12" s="229">
        <v>8</v>
      </c>
      <c r="C12" s="701">
        <v>435.1</v>
      </c>
      <c r="D12" s="686"/>
      <c r="E12" s="701"/>
      <c r="F12" s="229">
        <v>14</v>
      </c>
      <c r="G12" s="701">
        <v>2037</v>
      </c>
      <c r="H12" s="18"/>
      <c r="I12" s="1043"/>
      <c r="J12" s="18"/>
      <c r="K12" s="686"/>
      <c r="L12" s="686"/>
      <c r="M12" s="687"/>
      <c r="N12" s="686"/>
      <c r="O12" s="687"/>
      <c r="P12" s="686"/>
      <c r="Q12" s="687"/>
      <c r="R12" s="686"/>
      <c r="S12" s="687"/>
      <c r="T12" s="686"/>
      <c r="U12" s="687"/>
      <c r="V12" s="686"/>
      <c r="W12" s="687"/>
      <c r="X12" s="17"/>
      <c r="Y12" s="420"/>
      <c r="Z12" s="17">
        <v>27</v>
      </c>
      <c r="AA12" s="420">
        <v>3505.5</v>
      </c>
      <c r="AB12" s="17">
        <v>0</v>
      </c>
      <c r="AC12" s="420">
        <v>231.9</v>
      </c>
      <c r="AD12" s="17"/>
      <c r="AE12" s="420"/>
      <c r="AF12" s="17"/>
      <c r="AG12" s="420"/>
      <c r="AH12" s="17"/>
      <c r="AI12" s="420"/>
      <c r="AJ12" s="17">
        <v>18</v>
      </c>
      <c r="AK12" s="420">
        <v>2276.6</v>
      </c>
      <c r="AL12" s="368"/>
      <c r="AM12" s="368"/>
      <c r="AN12" s="17"/>
      <c r="AO12" s="420"/>
      <c r="AP12" s="156">
        <f>SUM(B12,D12,F12,H12,J12,L12,N12,P12,R12,T12,V12,X12,Z12,AB12,AD12,AF12,AH12,AJ12,AN12)</f>
        <v>67</v>
      </c>
      <c r="AQ12" s="885">
        <f>SUM(C12,E12,G12,I12,K12,M12,O12,Q12,S12,U12,W12,Y12,AA12,AC12,AE12,AG12,AI12,AK12,AO12)</f>
        <v>8486.1</v>
      </c>
    </row>
    <row r="13" spans="1:43" s="56" customFormat="1" ht="24.75" customHeight="1">
      <c r="A13" s="106" t="s">
        <v>23</v>
      </c>
      <c r="B13" s="149"/>
      <c r="C13" s="369"/>
      <c r="D13" s="12"/>
      <c r="E13" s="369"/>
      <c r="F13" s="149"/>
      <c r="G13" s="369"/>
      <c r="H13" s="15"/>
      <c r="I13" s="1042"/>
      <c r="J13" s="15"/>
      <c r="K13" s="12"/>
      <c r="L13" s="12"/>
      <c r="M13" s="424"/>
      <c r="N13" s="12"/>
      <c r="O13" s="424"/>
      <c r="P13" s="12"/>
      <c r="Q13" s="424"/>
      <c r="R13" s="12"/>
      <c r="S13" s="424"/>
      <c r="T13" s="12"/>
      <c r="U13" s="424"/>
      <c r="V13" s="12"/>
      <c r="W13" s="424"/>
      <c r="X13" s="11"/>
      <c r="Y13" s="419"/>
      <c r="Z13" s="11"/>
      <c r="AA13" s="419"/>
      <c r="AB13" s="11"/>
      <c r="AC13" s="419"/>
      <c r="AD13" s="11"/>
      <c r="AE13" s="419"/>
      <c r="AF13" s="11"/>
      <c r="AG13" s="419"/>
      <c r="AH13" s="11"/>
      <c r="AI13" s="419"/>
      <c r="AJ13" s="11"/>
      <c r="AK13" s="419"/>
      <c r="AL13" s="332"/>
      <c r="AM13" s="332"/>
      <c r="AN13" s="11"/>
      <c r="AO13" s="419"/>
      <c r="AP13" s="86"/>
      <c r="AQ13" s="884"/>
    </row>
    <row r="14" spans="1:43" s="56" customFormat="1" ht="24.75" customHeight="1">
      <c r="A14" s="1008" t="s">
        <v>92</v>
      </c>
      <c r="B14" s="149">
        <v>2</v>
      </c>
      <c r="C14" s="369">
        <v>309</v>
      </c>
      <c r="D14" s="12"/>
      <c r="E14" s="369"/>
      <c r="F14" s="149"/>
      <c r="G14" s="369"/>
      <c r="H14" s="15"/>
      <c r="I14" s="1042"/>
      <c r="J14" s="15"/>
      <c r="K14" s="12"/>
      <c r="L14" s="12"/>
      <c r="M14" s="424"/>
      <c r="N14" s="12"/>
      <c r="O14" s="424"/>
      <c r="P14" s="12"/>
      <c r="Q14" s="424"/>
      <c r="R14" s="12"/>
      <c r="S14" s="424"/>
      <c r="T14" s="12"/>
      <c r="U14" s="424"/>
      <c r="V14" s="12"/>
      <c r="W14" s="424"/>
      <c r="X14" s="11">
        <v>1</v>
      </c>
      <c r="Y14" s="419">
        <v>111.1</v>
      </c>
      <c r="Z14" s="11"/>
      <c r="AA14" s="419"/>
      <c r="AB14" s="11">
        <v>2</v>
      </c>
      <c r="AC14" s="419">
        <v>1083.1</v>
      </c>
      <c r="AD14" s="11"/>
      <c r="AE14" s="419"/>
      <c r="AF14" s="11"/>
      <c r="AG14" s="419">
        <v>17.6</v>
      </c>
      <c r="AH14" s="11">
        <v>1</v>
      </c>
      <c r="AI14" s="419">
        <v>1058.3</v>
      </c>
      <c r="AJ14" s="11"/>
      <c r="AK14" s="419"/>
      <c r="AL14" s="332"/>
      <c r="AM14" s="332"/>
      <c r="AN14" s="11"/>
      <c r="AO14" s="419"/>
      <c r="AP14" s="86">
        <f aca="true" t="shared" si="1" ref="AP14:AP21">SUM(B14,D14,F14,H14,J14,L14,N14,P14,R14,T14,V14,X14,Z14,AB14,AD14,AF14,AH14,AJ14,AN14,AL14)</f>
        <v>6</v>
      </c>
      <c r="AQ14" s="1013">
        <f aca="true" t="shared" si="2" ref="AQ14:AQ21">SUM(C14,E14,G14,I14,K14,M14,O14,Q14,S14,U14,W14,Y14,AA14,AC14,AE14,AG14,AI14,AK14,AO14,AM14)</f>
        <v>2579.0999999999995</v>
      </c>
    </row>
    <row r="15" spans="1:43" s="56" customFormat="1" ht="24.75" customHeight="1">
      <c r="A15" s="654" t="s">
        <v>88</v>
      </c>
      <c r="B15" s="149">
        <f>1+5</f>
        <v>6</v>
      </c>
      <c r="C15" s="369">
        <f>105.2+141.1</f>
        <v>246.3</v>
      </c>
      <c r="D15" s="12"/>
      <c r="E15" s="369"/>
      <c r="F15" s="149"/>
      <c r="G15" s="369">
        <v>1216.7</v>
      </c>
      <c r="H15" s="15">
        <f>7+20</f>
        <v>27</v>
      </c>
      <c r="I15" s="1042">
        <f>4093.5+767.6</f>
        <v>4861.1</v>
      </c>
      <c r="J15" s="15"/>
      <c r="K15" s="12"/>
      <c r="L15" s="12"/>
      <c r="M15" s="424"/>
      <c r="N15" s="12"/>
      <c r="O15" s="424"/>
      <c r="P15" s="12">
        <v>7</v>
      </c>
      <c r="Q15" s="424">
        <v>2266.2</v>
      </c>
      <c r="R15" s="12"/>
      <c r="S15" s="424">
        <v>48.8</v>
      </c>
      <c r="T15" s="12"/>
      <c r="U15" s="424"/>
      <c r="V15" s="12"/>
      <c r="W15" s="424"/>
      <c r="X15" s="11"/>
      <c r="Y15" s="419">
        <v>255.9</v>
      </c>
      <c r="Z15" s="11">
        <f>22+1</f>
        <v>23</v>
      </c>
      <c r="AA15" s="419">
        <f>5128.7+2379.5+26</f>
        <v>7534.2</v>
      </c>
      <c r="AB15" s="11">
        <v>5</v>
      </c>
      <c r="AC15" s="419">
        <v>1848.8</v>
      </c>
      <c r="AD15" s="11"/>
      <c r="AE15" s="419">
        <v>7720</v>
      </c>
      <c r="AF15" s="11">
        <v>8</v>
      </c>
      <c r="AG15" s="419">
        <v>899.1</v>
      </c>
      <c r="AH15" s="11"/>
      <c r="AI15" s="419"/>
      <c r="AJ15" s="11">
        <v>9</v>
      </c>
      <c r="AK15" s="419">
        <v>173.4</v>
      </c>
      <c r="AL15" s="1109">
        <v>7</v>
      </c>
      <c r="AM15" s="332">
        <v>649.7</v>
      </c>
      <c r="AN15" s="11"/>
      <c r="AO15" s="419"/>
      <c r="AP15" s="86">
        <f t="shared" si="1"/>
        <v>92</v>
      </c>
      <c r="AQ15" s="1013">
        <f t="shared" si="2"/>
        <v>27720.199999999997</v>
      </c>
    </row>
    <row r="16" spans="1:43" s="89" customFormat="1" ht="24.75" customHeight="1">
      <c r="A16" s="661" t="s">
        <v>440</v>
      </c>
      <c r="B16" s="149">
        <v>1</v>
      </c>
      <c r="C16" s="369">
        <v>105.2</v>
      </c>
      <c r="D16" s="12"/>
      <c r="E16" s="369"/>
      <c r="F16" s="149"/>
      <c r="G16" s="369"/>
      <c r="H16" s="15"/>
      <c r="I16" s="1042"/>
      <c r="J16" s="15"/>
      <c r="K16" s="12"/>
      <c r="L16" s="12"/>
      <c r="M16" s="424"/>
      <c r="N16" s="12"/>
      <c r="O16" s="424"/>
      <c r="P16" s="12"/>
      <c r="Q16" s="424"/>
      <c r="R16" s="12"/>
      <c r="S16" s="424"/>
      <c r="T16" s="12"/>
      <c r="U16" s="424"/>
      <c r="V16" s="12"/>
      <c r="W16" s="424"/>
      <c r="X16" s="11"/>
      <c r="Y16" s="419"/>
      <c r="Z16" s="11"/>
      <c r="AA16" s="419"/>
      <c r="AB16" s="11"/>
      <c r="AC16" s="419"/>
      <c r="AD16" s="11"/>
      <c r="AE16" s="419"/>
      <c r="AF16" s="11"/>
      <c r="AG16" s="419"/>
      <c r="AH16" s="11"/>
      <c r="AI16" s="419"/>
      <c r="AJ16" s="11"/>
      <c r="AK16" s="419"/>
      <c r="AL16" s="332"/>
      <c r="AM16" s="332"/>
      <c r="AN16" s="11"/>
      <c r="AO16" s="419"/>
      <c r="AP16" s="86">
        <f>SUM(B16,D16,F16,H16,J16,L16,N16,P16,R16,T16,V16,X16,Z16,AB16,AD16,AF16,AH16,AJ16,AN16,AL16)</f>
        <v>1</v>
      </c>
      <c r="AQ16" s="1013">
        <f>SUM(C16,E16,G16,I16,K16,M16,O16,Q16,S16,U16,W16,Y16,AA16,AC16,AE16,AG16,AI16,AK16,AO16,AM16)</f>
        <v>105.2</v>
      </c>
    </row>
    <row r="17" spans="1:43" s="89" customFormat="1" ht="24.75" customHeight="1">
      <c r="A17" s="257" t="s">
        <v>236</v>
      </c>
      <c r="B17" s="149"/>
      <c r="C17" s="369"/>
      <c r="D17" s="12"/>
      <c r="E17" s="369"/>
      <c r="F17" s="149"/>
      <c r="G17" s="369"/>
      <c r="H17" s="15"/>
      <c r="I17" s="1042"/>
      <c r="J17" s="15"/>
      <c r="K17" s="12"/>
      <c r="L17" s="12"/>
      <c r="M17" s="424"/>
      <c r="N17" s="12"/>
      <c r="O17" s="424"/>
      <c r="P17" s="12"/>
      <c r="Q17" s="424"/>
      <c r="R17" s="12"/>
      <c r="S17" s="424"/>
      <c r="T17" s="12"/>
      <c r="U17" s="424"/>
      <c r="V17" s="12"/>
      <c r="W17" s="424"/>
      <c r="X17" s="11"/>
      <c r="Y17" s="419"/>
      <c r="Z17" s="11"/>
      <c r="AA17" s="419"/>
      <c r="AB17" s="11"/>
      <c r="AC17" s="419"/>
      <c r="AD17" s="11"/>
      <c r="AE17" s="419"/>
      <c r="AF17" s="11">
        <v>8</v>
      </c>
      <c r="AG17" s="419">
        <v>30.4</v>
      </c>
      <c r="AH17" s="11"/>
      <c r="AI17" s="419"/>
      <c r="AJ17" s="11"/>
      <c r="AK17" s="419"/>
      <c r="AL17" s="332"/>
      <c r="AM17" s="332"/>
      <c r="AN17" s="11"/>
      <c r="AO17" s="419"/>
      <c r="AP17" s="86">
        <f>SUM(B17,D17,F17,H17,J17,L17,N17,P17,R17,T17,V17,X17,Z17,AB17,AD17,AF17,AH17,AJ17,AN17,AL17)</f>
        <v>8</v>
      </c>
      <c r="AQ17" s="1013">
        <f>SUM(C17,E17,G17,I17,K17,M17,O17,Q17,S17,U17,W17,Y17,AA17,AC17,AE17,AG17,AI17,AK17,AO17,AM17)</f>
        <v>30.4</v>
      </c>
    </row>
    <row r="18" spans="1:43" s="89" customFormat="1" ht="24.75" customHeight="1">
      <c r="A18" s="257" t="s">
        <v>241</v>
      </c>
      <c r="B18" s="149"/>
      <c r="C18" s="369"/>
      <c r="D18" s="12"/>
      <c r="E18" s="369"/>
      <c r="F18" s="149"/>
      <c r="G18" s="369"/>
      <c r="H18" s="15"/>
      <c r="I18" s="1042"/>
      <c r="J18" s="15"/>
      <c r="K18" s="12"/>
      <c r="L18" s="12"/>
      <c r="M18" s="424"/>
      <c r="N18" s="12"/>
      <c r="O18" s="424"/>
      <c r="P18" s="12"/>
      <c r="Q18" s="424"/>
      <c r="R18" s="12"/>
      <c r="S18" s="424"/>
      <c r="T18" s="12"/>
      <c r="U18" s="424"/>
      <c r="V18" s="12"/>
      <c r="W18" s="424"/>
      <c r="X18" s="11"/>
      <c r="Y18" s="419"/>
      <c r="Z18" s="11">
        <v>1</v>
      </c>
      <c r="AA18" s="419">
        <v>59.7</v>
      </c>
      <c r="AB18" s="11"/>
      <c r="AC18" s="419"/>
      <c r="AD18" s="11"/>
      <c r="AE18" s="419"/>
      <c r="AF18" s="11"/>
      <c r="AG18" s="419"/>
      <c r="AH18" s="11"/>
      <c r="AI18" s="419"/>
      <c r="AJ18" s="11"/>
      <c r="AK18" s="419"/>
      <c r="AL18" s="332"/>
      <c r="AM18" s="332"/>
      <c r="AN18" s="11"/>
      <c r="AO18" s="419"/>
      <c r="AP18" s="86">
        <f t="shared" si="1"/>
        <v>1</v>
      </c>
      <c r="AQ18" s="1013">
        <f t="shared" si="2"/>
        <v>59.7</v>
      </c>
    </row>
    <row r="19" spans="1:43" s="89" customFormat="1" ht="24.75" customHeight="1">
      <c r="A19" s="257" t="s">
        <v>238</v>
      </c>
      <c r="B19" s="149"/>
      <c r="C19" s="369"/>
      <c r="D19" s="12"/>
      <c r="E19" s="369"/>
      <c r="F19" s="149"/>
      <c r="G19" s="369"/>
      <c r="H19" s="15"/>
      <c r="I19" s="1042"/>
      <c r="J19" s="15"/>
      <c r="K19" s="12"/>
      <c r="L19" s="12"/>
      <c r="M19" s="424"/>
      <c r="N19" s="12"/>
      <c r="O19" s="424"/>
      <c r="P19" s="12"/>
      <c r="Q19" s="424"/>
      <c r="R19" s="12"/>
      <c r="S19" s="424"/>
      <c r="T19" s="12"/>
      <c r="U19" s="424"/>
      <c r="V19" s="12"/>
      <c r="W19" s="424"/>
      <c r="X19" s="11"/>
      <c r="Y19" s="419"/>
      <c r="Z19" s="11">
        <v>1</v>
      </c>
      <c r="AA19" s="419">
        <v>60</v>
      </c>
      <c r="AB19" s="11"/>
      <c r="AC19" s="419"/>
      <c r="AD19" s="11"/>
      <c r="AE19" s="419"/>
      <c r="AF19" s="11"/>
      <c r="AG19" s="419"/>
      <c r="AH19" s="11"/>
      <c r="AI19" s="419"/>
      <c r="AJ19" s="11"/>
      <c r="AK19" s="419"/>
      <c r="AL19" s="332"/>
      <c r="AM19" s="332"/>
      <c r="AN19" s="11"/>
      <c r="AO19" s="419"/>
      <c r="AP19" s="86">
        <f t="shared" si="1"/>
        <v>1</v>
      </c>
      <c r="AQ19" s="1013">
        <f t="shared" si="2"/>
        <v>60</v>
      </c>
    </row>
    <row r="20" spans="1:43" s="89" customFormat="1" ht="24.75" customHeight="1">
      <c r="A20" s="1009" t="s">
        <v>308</v>
      </c>
      <c r="B20" s="149">
        <v>2</v>
      </c>
      <c r="C20" s="369">
        <v>210.4</v>
      </c>
      <c r="D20" s="12"/>
      <c r="E20" s="369"/>
      <c r="F20" s="149"/>
      <c r="G20" s="369"/>
      <c r="H20" s="15"/>
      <c r="I20" s="1042"/>
      <c r="J20" s="15"/>
      <c r="K20" s="12"/>
      <c r="L20" s="12"/>
      <c r="M20" s="424"/>
      <c r="N20" s="12"/>
      <c r="O20" s="424"/>
      <c r="P20" s="12"/>
      <c r="Q20" s="424"/>
      <c r="R20" s="12"/>
      <c r="S20" s="424"/>
      <c r="T20" s="12"/>
      <c r="U20" s="424"/>
      <c r="V20" s="12"/>
      <c r="W20" s="424"/>
      <c r="X20" s="11"/>
      <c r="Y20" s="419"/>
      <c r="Z20" s="11">
        <f>15+1</f>
        <v>16</v>
      </c>
      <c r="AA20" s="419">
        <f>738.4+61.5</f>
        <v>799.9</v>
      </c>
      <c r="AB20" s="11"/>
      <c r="AC20" s="419"/>
      <c r="AD20" s="11"/>
      <c r="AE20" s="419"/>
      <c r="AF20" s="11"/>
      <c r="AG20" s="419"/>
      <c r="AH20" s="11"/>
      <c r="AI20" s="419"/>
      <c r="AJ20" s="11"/>
      <c r="AK20" s="419"/>
      <c r="AL20" s="332"/>
      <c r="AM20" s="332"/>
      <c r="AN20" s="11"/>
      <c r="AO20" s="419"/>
      <c r="AP20" s="86">
        <f t="shared" si="1"/>
        <v>18</v>
      </c>
      <c r="AQ20" s="1013">
        <f t="shared" si="2"/>
        <v>1010.3</v>
      </c>
    </row>
    <row r="21" spans="1:43" s="89" customFormat="1" ht="24.75" customHeight="1">
      <c r="A21" s="1010" t="s">
        <v>305</v>
      </c>
      <c r="B21" s="229"/>
      <c r="C21" s="701"/>
      <c r="D21" s="686"/>
      <c r="E21" s="701"/>
      <c r="F21" s="229"/>
      <c r="G21" s="701"/>
      <c r="H21" s="18"/>
      <c r="I21" s="1043"/>
      <c r="J21" s="18"/>
      <c r="K21" s="686"/>
      <c r="L21" s="686"/>
      <c r="M21" s="687"/>
      <c r="N21" s="686"/>
      <c r="O21" s="687"/>
      <c r="P21" s="686"/>
      <c r="Q21" s="687"/>
      <c r="R21" s="686"/>
      <c r="S21" s="687"/>
      <c r="T21" s="686"/>
      <c r="U21" s="687"/>
      <c r="V21" s="686"/>
      <c r="W21" s="687"/>
      <c r="X21" s="17"/>
      <c r="Y21" s="420"/>
      <c r="Z21" s="17">
        <v>1</v>
      </c>
      <c r="AA21" s="420">
        <v>60.3</v>
      </c>
      <c r="AB21" s="17"/>
      <c r="AC21" s="420"/>
      <c r="AD21" s="17"/>
      <c r="AE21" s="420"/>
      <c r="AF21" s="17"/>
      <c r="AG21" s="420"/>
      <c r="AH21" s="17"/>
      <c r="AI21" s="420"/>
      <c r="AJ21" s="17"/>
      <c r="AK21" s="420"/>
      <c r="AL21" s="368"/>
      <c r="AM21" s="368"/>
      <c r="AN21" s="17"/>
      <c r="AO21" s="420"/>
      <c r="AP21" s="156">
        <f t="shared" si="1"/>
        <v>1</v>
      </c>
      <c r="AQ21" s="1014">
        <f t="shared" si="2"/>
        <v>60.3</v>
      </c>
    </row>
    <row r="22" spans="1:43" s="322" customFormat="1" ht="23.25" customHeight="1">
      <c r="A22" s="106" t="s">
        <v>358</v>
      </c>
      <c r="B22" s="149"/>
      <c r="C22" s="332"/>
      <c r="D22" s="11"/>
      <c r="E22" s="332"/>
      <c r="F22" s="11"/>
      <c r="G22" s="332"/>
      <c r="H22" s="11"/>
      <c r="I22" s="419"/>
      <c r="J22" s="11"/>
      <c r="K22" s="11"/>
      <c r="L22" s="11"/>
      <c r="M22" s="419"/>
      <c r="N22" s="11"/>
      <c r="O22" s="419"/>
      <c r="P22" s="11"/>
      <c r="Q22" s="419"/>
      <c r="R22" s="11"/>
      <c r="S22" s="419"/>
      <c r="T22" s="11"/>
      <c r="U22" s="419"/>
      <c r="V22" s="11"/>
      <c r="W22" s="419"/>
      <c r="X22" s="11"/>
      <c r="Y22" s="419"/>
      <c r="Z22" s="11"/>
      <c r="AA22" s="419"/>
      <c r="AB22" s="11"/>
      <c r="AC22" s="419"/>
      <c r="AD22" s="11"/>
      <c r="AE22" s="419"/>
      <c r="AF22" s="11"/>
      <c r="AG22" s="419"/>
      <c r="AH22" s="11"/>
      <c r="AI22" s="419"/>
      <c r="AJ22" s="11"/>
      <c r="AK22" s="419"/>
      <c r="AL22" s="332"/>
      <c r="AM22" s="332"/>
      <c r="AN22" s="11"/>
      <c r="AO22" s="419"/>
      <c r="AP22" s="86"/>
      <c r="AQ22" s="1013"/>
    </row>
    <row r="23" spans="1:43" s="89" customFormat="1" ht="24.75" customHeight="1">
      <c r="A23" s="661" t="s">
        <v>311</v>
      </c>
      <c r="B23" s="149"/>
      <c r="C23" s="369"/>
      <c r="D23" s="12"/>
      <c r="E23" s="369"/>
      <c r="F23" s="149"/>
      <c r="G23" s="369"/>
      <c r="H23" s="15"/>
      <c r="I23" s="1042"/>
      <c r="J23" s="15"/>
      <c r="K23" s="12"/>
      <c r="L23" s="12"/>
      <c r="M23" s="424"/>
      <c r="N23" s="12"/>
      <c r="O23" s="424"/>
      <c r="P23" s="12"/>
      <c r="Q23" s="424">
        <v>337.9</v>
      </c>
      <c r="R23" s="12"/>
      <c r="S23" s="424"/>
      <c r="T23" s="12"/>
      <c r="U23" s="424"/>
      <c r="V23" s="12"/>
      <c r="W23" s="424"/>
      <c r="X23" s="11"/>
      <c r="Y23" s="419"/>
      <c r="Z23" s="11"/>
      <c r="AA23" s="419"/>
      <c r="AB23" s="11"/>
      <c r="AC23" s="419"/>
      <c r="AD23" s="11"/>
      <c r="AE23" s="419"/>
      <c r="AF23" s="11"/>
      <c r="AG23" s="419"/>
      <c r="AH23" s="11"/>
      <c r="AI23" s="419"/>
      <c r="AJ23" s="11"/>
      <c r="AK23" s="419"/>
      <c r="AL23" s="332"/>
      <c r="AM23" s="332"/>
      <c r="AN23" s="11"/>
      <c r="AO23" s="419"/>
      <c r="AP23" s="86">
        <f>SUM(B23,D23,F23,H23,J23,L23,N23,P23,R23,T23,V23,X23,Z23,AB23,AD23,AF23,AH23,AJ23,AN23,AL23)</f>
        <v>0</v>
      </c>
      <c r="AQ23" s="1013">
        <f>SUM(C23,E23,G23,I23,K23,M23,O23,Q23,S23,U23,W23,Y23,AA23,AC23,AE23,AG23,AI23,AK23,AO23,AM23)</f>
        <v>337.9</v>
      </c>
    </row>
    <row r="24" spans="1:43" s="89" customFormat="1" ht="24.75" customHeight="1">
      <c r="A24" s="661" t="s">
        <v>310</v>
      </c>
      <c r="B24" s="149"/>
      <c r="C24" s="369"/>
      <c r="D24" s="12"/>
      <c r="E24" s="369"/>
      <c r="F24" s="149"/>
      <c r="G24" s="369"/>
      <c r="H24" s="15"/>
      <c r="I24" s="1042"/>
      <c r="J24" s="15"/>
      <c r="K24" s="12"/>
      <c r="L24" s="12"/>
      <c r="M24" s="424"/>
      <c r="N24" s="12"/>
      <c r="O24" s="424"/>
      <c r="P24" s="12"/>
      <c r="Q24" s="424"/>
      <c r="R24" s="12"/>
      <c r="S24" s="424"/>
      <c r="T24" s="12"/>
      <c r="U24" s="424"/>
      <c r="V24" s="12"/>
      <c r="W24" s="424"/>
      <c r="X24" s="11"/>
      <c r="Y24" s="419"/>
      <c r="Z24" s="11"/>
      <c r="AA24" s="419"/>
      <c r="AB24" s="11"/>
      <c r="AC24" s="419"/>
      <c r="AD24" s="11"/>
      <c r="AE24" s="419"/>
      <c r="AF24" s="11"/>
      <c r="AG24" s="419"/>
      <c r="AH24" s="11">
        <v>1</v>
      </c>
      <c r="AI24" s="419">
        <v>137.4</v>
      </c>
      <c r="AJ24" s="11"/>
      <c r="AK24" s="419"/>
      <c r="AL24" s="332"/>
      <c r="AM24" s="332"/>
      <c r="AN24" s="11"/>
      <c r="AO24" s="419"/>
      <c r="AP24" s="86">
        <f aca="true" t="shared" si="3" ref="AP24:AQ27">SUM(B24,D24,F24,H24,J24,L24,N24,P24,R24,T24,V24,X24,Z24,AB24,AD24,AF24,AH24,AJ24,AL24,AN24)</f>
        <v>1</v>
      </c>
      <c r="AQ24" s="942">
        <f t="shared" si="3"/>
        <v>137.4</v>
      </c>
    </row>
    <row r="25" spans="1:43" s="89" customFormat="1" ht="24.75" customHeight="1">
      <c r="A25" s="661" t="s">
        <v>309</v>
      </c>
      <c r="B25" s="149"/>
      <c r="C25" s="369"/>
      <c r="D25" s="12"/>
      <c r="E25" s="369"/>
      <c r="F25" s="149"/>
      <c r="G25" s="369"/>
      <c r="H25" s="15"/>
      <c r="I25" s="1042"/>
      <c r="J25" s="15"/>
      <c r="K25" s="12"/>
      <c r="L25" s="12"/>
      <c r="M25" s="424"/>
      <c r="N25" s="12"/>
      <c r="O25" s="424"/>
      <c r="P25" s="12"/>
      <c r="Q25" s="424"/>
      <c r="R25" s="12"/>
      <c r="S25" s="424"/>
      <c r="T25" s="12"/>
      <c r="U25" s="424"/>
      <c r="V25" s="12"/>
      <c r="W25" s="424"/>
      <c r="X25" s="11"/>
      <c r="Y25" s="419"/>
      <c r="Z25" s="11"/>
      <c r="AA25" s="419"/>
      <c r="AB25" s="11"/>
      <c r="AC25" s="419"/>
      <c r="AD25" s="11"/>
      <c r="AE25" s="419"/>
      <c r="AF25" s="11"/>
      <c r="AG25" s="419"/>
      <c r="AH25" s="11">
        <v>2</v>
      </c>
      <c r="AI25" s="419">
        <v>404.5</v>
      </c>
      <c r="AJ25" s="11"/>
      <c r="AK25" s="419"/>
      <c r="AL25" s="332"/>
      <c r="AM25" s="332"/>
      <c r="AN25" s="11"/>
      <c r="AO25" s="419"/>
      <c r="AP25" s="86">
        <f t="shared" si="3"/>
        <v>2</v>
      </c>
      <c r="AQ25" s="942">
        <f t="shared" si="3"/>
        <v>404.5</v>
      </c>
    </row>
    <row r="26" spans="1:43" s="89" customFormat="1" ht="24.75" customHeight="1">
      <c r="A26" s="661" t="s">
        <v>444</v>
      </c>
      <c r="B26" s="149"/>
      <c r="C26" s="369"/>
      <c r="D26" s="12"/>
      <c r="E26" s="369"/>
      <c r="F26" s="149"/>
      <c r="G26" s="369"/>
      <c r="H26" s="15"/>
      <c r="I26" s="1042"/>
      <c r="J26" s="15"/>
      <c r="K26" s="12"/>
      <c r="L26" s="12"/>
      <c r="M26" s="424"/>
      <c r="N26" s="12"/>
      <c r="O26" s="424"/>
      <c r="P26" s="12"/>
      <c r="Q26" s="424"/>
      <c r="R26" s="12"/>
      <c r="S26" s="424"/>
      <c r="T26" s="12"/>
      <c r="U26" s="424"/>
      <c r="V26" s="12"/>
      <c r="W26" s="424"/>
      <c r="X26" s="11"/>
      <c r="Y26" s="419"/>
      <c r="Z26" s="11"/>
      <c r="AA26" s="419"/>
      <c r="AB26" s="11"/>
      <c r="AC26" s="419"/>
      <c r="AD26" s="11"/>
      <c r="AE26" s="419"/>
      <c r="AF26" s="11"/>
      <c r="AG26" s="419"/>
      <c r="AH26" s="11">
        <v>2</v>
      </c>
      <c r="AI26" s="419">
        <v>414.8</v>
      </c>
      <c r="AJ26" s="11"/>
      <c r="AK26" s="419"/>
      <c r="AL26" s="332"/>
      <c r="AM26" s="332"/>
      <c r="AN26" s="11"/>
      <c r="AO26" s="419"/>
      <c r="AP26" s="86">
        <f t="shared" si="3"/>
        <v>2</v>
      </c>
      <c r="AQ26" s="942">
        <f t="shared" si="3"/>
        <v>414.8</v>
      </c>
    </row>
    <row r="27" spans="1:43" s="89" customFormat="1" ht="24.75" customHeight="1">
      <c r="A27" s="661" t="s">
        <v>445</v>
      </c>
      <c r="B27" s="149"/>
      <c r="C27" s="369"/>
      <c r="D27" s="12"/>
      <c r="E27" s="369"/>
      <c r="F27" s="149"/>
      <c r="G27" s="369"/>
      <c r="H27" s="15"/>
      <c r="I27" s="1042"/>
      <c r="J27" s="15"/>
      <c r="K27" s="12"/>
      <c r="L27" s="12"/>
      <c r="M27" s="424"/>
      <c r="N27" s="12"/>
      <c r="O27" s="424"/>
      <c r="P27" s="12"/>
      <c r="Q27" s="424"/>
      <c r="R27" s="12"/>
      <c r="S27" s="424"/>
      <c r="T27" s="12"/>
      <c r="U27" s="424"/>
      <c r="V27" s="12"/>
      <c r="W27" s="424"/>
      <c r="X27" s="11"/>
      <c r="Y27" s="419"/>
      <c r="Z27" s="11"/>
      <c r="AA27" s="419"/>
      <c r="AB27" s="11"/>
      <c r="AC27" s="419"/>
      <c r="AD27" s="11"/>
      <c r="AE27" s="419"/>
      <c r="AF27" s="11"/>
      <c r="AG27" s="419"/>
      <c r="AH27" s="11">
        <v>1</v>
      </c>
      <c r="AI27" s="419">
        <v>200</v>
      </c>
      <c r="AJ27" s="11"/>
      <c r="AK27" s="419"/>
      <c r="AL27" s="332"/>
      <c r="AM27" s="332"/>
      <c r="AN27" s="11"/>
      <c r="AO27" s="419"/>
      <c r="AP27" s="86">
        <f t="shared" si="3"/>
        <v>1</v>
      </c>
      <c r="AQ27" s="942">
        <f t="shared" si="3"/>
        <v>200</v>
      </c>
    </row>
    <row r="28" spans="1:43" s="89" customFormat="1" ht="24.75" customHeight="1">
      <c r="A28" s="257" t="s">
        <v>191</v>
      </c>
      <c r="B28" s="149"/>
      <c r="C28" s="369">
        <v>83.8</v>
      </c>
      <c r="D28" s="12"/>
      <c r="E28" s="369"/>
      <c r="F28" s="149"/>
      <c r="G28" s="369"/>
      <c r="H28" s="15"/>
      <c r="I28" s="1042"/>
      <c r="J28" s="15"/>
      <c r="K28" s="12"/>
      <c r="L28" s="12"/>
      <c r="M28" s="424"/>
      <c r="N28" s="12">
        <v>2</v>
      </c>
      <c r="O28" s="424">
        <v>399.2</v>
      </c>
      <c r="P28" s="12"/>
      <c r="Q28" s="424"/>
      <c r="R28" s="12"/>
      <c r="S28" s="424"/>
      <c r="T28" s="12"/>
      <c r="U28" s="424"/>
      <c r="V28" s="12"/>
      <c r="W28" s="424"/>
      <c r="X28" s="11"/>
      <c r="Y28" s="419"/>
      <c r="Z28" s="11"/>
      <c r="AA28" s="419"/>
      <c r="AB28" s="11"/>
      <c r="AC28" s="419">
        <v>214</v>
      </c>
      <c r="AD28" s="11"/>
      <c r="AE28" s="419"/>
      <c r="AF28" s="11">
        <v>11</v>
      </c>
      <c r="AG28" s="419">
        <v>1308.3</v>
      </c>
      <c r="AH28" s="11"/>
      <c r="AI28" s="419"/>
      <c r="AJ28" s="11"/>
      <c r="AK28" s="419"/>
      <c r="AL28" s="332"/>
      <c r="AM28" s="332"/>
      <c r="AN28" s="11"/>
      <c r="AO28" s="419"/>
      <c r="AP28" s="86">
        <f aca="true" t="shared" si="4" ref="AP28:AQ31">SUM(B28,D28,F28,H28,J28,L28,N28,P28,R28,T28,V28,X28,Z28,AB28,AD28,AF28,AH28,AJ28,AL28,AN28)</f>
        <v>13</v>
      </c>
      <c r="AQ28" s="942">
        <f t="shared" si="4"/>
        <v>2005.3</v>
      </c>
    </row>
    <row r="29" spans="1:43" s="89" customFormat="1" ht="24.75" customHeight="1">
      <c r="A29" s="257" t="s">
        <v>192</v>
      </c>
      <c r="B29" s="149"/>
      <c r="C29" s="369"/>
      <c r="D29" s="12"/>
      <c r="E29" s="369"/>
      <c r="F29" s="149"/>
      <c r="G29" s="369"/>
      <c r="H29" s="15"/>
      <c r="I29" s="1042"/>
      <c r="J29" s="15"/>
      <c r="K29" s="12"/>
      <c r="L29" s="12"/>
      <c r="M29" s="424"/>
      <c r="N29" s="12"/>
      <c r="O29" s="424"/>
      <c r="P29" s="12"/>
      <c r="Q29" s="424"/>
      <c r="R29" s="12"/>
      <c r="S29" s="424"/>
      <c r="T29" s="12"/>
      <c r="U29" s="424"/>
      <c r="V29" s="12"/>
      <c r="W29" s="424"/>
      <c r="X29" s="11"/>
      <c r="Y29" s="419"/>
      <c r="Z29" s="11"/>
      <c r="AA29" s="419"/>
      <c r="AB29" s="11"/>
      <c r="AC29" s="419"/>
      <c r="AD29" s="11"/>
      <c r="AE29" s="419"/>
      <c r="AF29" s="11"/>
      <c r="AG29" s="419"/>
      <c r="AH29" s="11">
        <v>1</v>
      </c>
      <c r="AI29" s="419">
        <v>137.8</v>
      </c>
      <c r="AJ29" s="11"/>
      <c r="AK29" s="419"/>
      <c r="AL29" s="332"/>
      <c r="AM29" s="332"/>
      <c r="AN29" s="11"/>
      <c r="AO29" s="419"/>
      <c r="AP29" s="86">
        <f t="shared" si="4"/>
        <v>1</v>
      </c>
      <c r="AQ29" s="942">
        <f t="shared" si="4"/>
        <v>137.8</v>
      </c>
    </row>
    <row r="30" spans="1:43" s="89" customFormat="1" ht="24.75" customHeight="1">
      <c r="A30" s="257" t="s">
        <v>237</v>
      </c>
      <c r="B30" s="149"/>
      <c r="C30" s="369"/>
      <c r="D30" s="12"/>
      <c r="E30" s="369"/>
      <c r="F30" s="149"/>
      <c r="G30" s="369"/>
      <c r="H30" s="15"/>
      <c r="I30" s="1042"/>
      <c r="J30" s="15"/>
      <c r="K30" s="12"/>
      <c r="L30" s="12"/>
      <c r="M30" s="424"/>
      <c r="N30" s="12"/>
      <c r="O30" s="424"/>
      <c r="P30" s="12"/>
      <c r="Q30" s="424"/>
      <c r="R30" s="12"/>
      <c r="S30" s="424"/>
      <c r="T30" s="12"/>
      <c r="U30" s="424"/>
      <c r="V30" s="12"/>
      <c r="W30" s="424"/>
      <c r="X30" s="11"/>
      <c r="Y30" s="419"/>
      <c r="Z30" s="11"/>
      <c r="AA30" s="419"/>
      <c r="AB30" s="11"/>
      <c r="AC30" s="419"/>
      <c r="AD30" s="11"/>
      <c r="AE30" s="419"/>
      <c r="AF30" s="11"/>
      <c r="AG30" s="419"/>
      <c r="AH30" s="11">
        <v>1</v>
      </c>
      <c r="AI30" s="419">
        <v>158.6</v>
      </c>
      <c r="AJ30" s="11"/>
      <c r="AK30" s="419"/>
      <c r="AL30" s="332"/>
      <c r="AM30" s="332"/>
      <c r="AN30" s="11"/>
      <c r="AO30" s="419"/>
      <c r="AP30" s="86">
        <f t="shared" si="4"/>
        <v>1</v>
      </c>
      <c r="AQ30" s="942">
        <f t="shared" si="4"/>
        <v>158.6</v>
      </c>
    </row>
    <row r="31" spans="1:43" s="89" customFormat="1" ht="24.75" customHeight="1">
      <c r="A31" s="661" t="s">
        <v>441</v>
      </c>
      <c r="B31" s="149">
        <f>1+15</f>
        <v>16</v>
      </c>
      <c r="C31" s="369">
        <f>76+3616.9+232.2</f>
        <v>3925.1</v>
      </c>
      <c r="D31" s="12"/>
      <c r="E31" s="369"/>
      <c r="F31" s="149"/>
      <c r="G31" s="369"/>
      <c r="H31" s="15">
        <v>1</v>
      </c>
      <c r="I31" s="1042">
        <v>96</v>
      </c>
      <c r="J31" s="15"/>
      <c r="K31" s="12"/>
      <c r="L31" s="12"/>
      <c r="M31" s="424"/>
      <c r="N31" s="12">
        <v>5</v>
      </c>
      <c r="O31" s="424">
        <v>944.5</v>
      </c>
      <c r="P31" s="12"/>
      <c r="Q31" s="424"/>
      <c r="R31" s="12"/>
      <c r="S31" s="424"/>
      <c r="T31" s="12"/>
      <c r="U31" s="424"/>
      <c r="V31" s="12"/>
      <c r="W31" s="424"/>
      <c r="X31" s="11"/>
      <c r="Y31" s="419"/>
      <c r="Z31" s="11"/>
      <c r="AA31" s="419"/>
      <c r="AB31" s="11"/>
      <c r="AC31" s="419"/>
      <c r="AD31" s="11"/>
      <c r="AE31" s="419"/>
      <c r="AF31" s="11"/>
      <c r="AG31" s="419"/>
      <c r="AH31" s="11">
        <v>3</v>
      </c>
      <c r="AI31" s="419">
        <v>457</v>
      </c>
      <c r="AJ31" s="11"/>
      <c r="AK31" s="419"/>
      <c r="AL31" s="1109">
        <v>2</v>
      </c>
      <c r="AM31" s="332">
        <v>193.8</v>
      </c>
      <c r="AN31" s="11">
        <v>11</v>
      </c>
      <c r="AO31" s="419">
        <v>1515.8</v>
      </c>
      <c r="AP31" s="86">
        <f t="shared" si="4"/>
        <v>38</v>
      </c>
      <c r="AQ31" s="942">
        <f t="shared" si="4"/>
        <v>7132.200000000001</v>
      </c>
    </row>
    <row r="32" spans="1:43" s="89" customFormat="1" ht="24.75" customHeight="1">
      <c r="A32" s="257" t="s">
        <v>194</v>
      </c>
      <c r="B32" s="149">
        <v>2</v>
      </c>
      <c r="C32" s="369">
        <f>296.9+842</f>
        <v>1138.9</v>
      </c>
      <c r="D32" s="12"/>
      <c r="E32" s="369"/>
      <c r="F32" s="149"/>
      <c r="G32" s="369"/>
      <c r="H32" s="15"/>
      <c r="I32" s="1042"/>
      <c r="J32" s="15"/>
      <c r="K32" s="12"/>
      <c r="L32" s="12"/>
      <c r="M32" s="424"/>
      <c r="N32" s="12"/>
      <c r="O32" s="424"/>
      <c r="P32" s="12"/>
      <c r="Q32" s="424"/>
      <c r="R32" s="12"/>
      <c r="S32" s="424"/>
      <c r="T32" s="12"/>
      <c r="U32" s="424"/>
      <c r="V32" s="12"/>
      <c r="W32" s="424"/>
      <c r="X32" s="11"/>
      <c r="Y32" s="419"/>
      <c r="Z32" s="11"/>
      <c r="AA32" s="419"/>
      <c r="AB32" s="11"/>
      <c r="AC32" s="419"/>
      <c r="AD32" s="11"/>
      <c r="AE32" s="419"/>
      <c r="AF32" s="11"/>
      <c r="AG32" s="419"/>
      <c r="AH32" s="11"/>
      <c r="AI32" s="419"/>
      <c r="AJ32" s="11"/>
      <c r="AK32" s="419"/>
      <c r="AL32" s="332"/>
      <c r="AM32" s="332"/>
      <c r="AN32" s="11"/>
      <c r="AO32" s="419"/>
      <c r="AP32" s="86">
        <f aca="true" t="shared" si="5" ref="AP32:AP38">SUM(B32,D32,F32,H32,J32,L32,N32,P32,R32,T32,V32,X32,Z32,AB32,AD32,AF32,AH32,AJ32,AL32,AN32)</f>
        <v>2</v>
      </c>
      <c r="AQ32" s="942">
        <f aca="true" t="shared" si="6" ref="AQ32:AQ38">SUM(C32,E32,G32,I32,K32,M32,O32,Q32,S32,U32,W32,Y32,AA32,AC32,AE32,AG32,AI32,AK32,AM32,AO32)</f>
        <v>1138.9</v>
      </c>
    </row>
    <row r="33" spans="1:43" s="89" customFormat="1" ht="24.75" customHeight="1">
      <c r="A33" s="661" t="s">
        <v>197</v>
      </c>
      <c r="B33" s="149"/>
      <c r="C33" s="332"/>
      <c r="D33" s="11"/>
      <c r="E33" s="332"/>
      <c r="F33" s="11"/>
      <c r="G33" s="332"/>
      <c r="H33" s="11"/>
      <c r="I33" s="419"/>
      <c r="J33" s="11"/>
      <c r="K33" s="11"/>
      <c r="L33" s="11"/>
      <c r="M33" s="419"/>
      <c r="N33" s="11"/>
      <c r="O33" s="419"/>
      <c r="P33" s="11"/>
      <c r="Q33" s="419"/>
      <c r="R33" s="11"/>
      <c r="S33" s="419"/>
      <c r="T33" s="11"/>
      <c r="U33" s="419"/>
      <c r="V33" s="11"/>
      <c r="W33" s="419"/>
      <c r="X33" s="11">
        <v>5</v>
      </c>
      <c r="Y33" s="419">
        <v>849</v>
      </c>
      <c r="Z33" s="11"/>
      <c r="AA33" s="419"/>
      <c r="AB33" s="11"/>
      <c r="AC33" s="419"/>
      <c r="AD33" s="11"/>
      <c r="AE33" s="419"/>
      <c r="AF33" s="11"/>
      <c r="AG33" s="419"/>
      <c r="AH33" s="11"/>
      <c r="AI33" s="419"/>
      <c r="AJ33" s="11"/>
      <c r="AK33" s="419"/>
      <c r="AL33" s="332"/>
      <c r="AM33" s="332"/>
      <c r="AN33" s="11"/>
      <c r="AO33" s="419"/>
      <c r="AP33" s="86">
        <f t="shared" si="5"/>
        <v>5</v>
      </c>
      <c r="AQ33" s="942">
        <f t="shared" si="6"/>
        <v>849</v>
      </c>
    </row>
    <row r="34" spans="1:43" s="89" customFormat="1" ht="24.75" customHeight="1">
      <c r="A34" s="661" t="s">
        <v>457</v>
      </c>
      <c r="B34" s="149"/>
      <c r="C34" s="332"/>
      <c r="D34" s="11"/>
      <c r="E34" s="332"/>
      <c r="F34" s="11"/>
      <c r="G34" s="332"/>
      <c r="H34" s="11"/>
      <c r="I34" s="419"/>
      <c r="J34" s="11"/>
      <c r="K34" s="11"/>
      <c r="L34" s="11"/>
      <c r="M34" s="419"/>
      <c r="N34" s="11"/>
      <c r="O34" s="419"/>
      <c r="P34" s="11"/>
      <c r="Q34" s="419"/>
      <c r="R34" s="11"/>
      <c r="S34" s="419"/>
      <c r="T34" s="11"/>
      <c r="U34" s="419"/>
      <c r="V34" s="11"/>
      <c r="W34" s="419"/>
      <c r="X34" s="11"/>
      <c r="Y34" s="419"/>
      <c r="Z34" s="11">
        <v>1</v>
      </c>
      <c r="AA34" s="419">
        <v>62</v>
      </c>
      <c r="AB34" s="11"/>
      <c r="AC34" s="419"/>
      <c r="AD34" s="11"/>
      <c r="AE34" s="419"/>
      <c r="AF34" s="11"/>
      <c r="AG34" s="419"/>
      <c r="AH34" s="11"/>
      <c r="AI34" s="419"/>
      <c r="AJ34" s="11"/>
      <c r="AK34" s="419"/>
      <c r="AL34" s="332"/>
      <c r="AM34" s="332"/>
      <c r="AN34" s="11"/>
      <c r="AO34" s="419"/>
      <c r="AP34" s="86">
        <f>SUM(B34,D34,F34,H34,J34,L34,N34,P34,R34,T34,V34,X34,Z34,AB34,AD34,AF34,AH34,AJ34,AL34,AN34)</f>
        <v>1</v>
      </c>
      <c r="AQ34" s="942">
        <f>SUM(C34,E34,G34,I34,K34,M34,O34,Q34,S34,U34,W34,Y34,AA34,AC34,AE34,AG34,AI34,AK34,AM34,AO34)</f>
        <v>62</v>
      </c>
    </row>
    <row r="35" spans="1:43" s="89" customFormat="1" ht="24.75" customHeight="1">
      <c r="A35" s="661" t="s">
        <v>121</v>
      </c>
      <c r="B35" s="149"/>
      <c r="C35" s="332"/>
      <c r="D35" s="11"/>
      <c r="E35" s="332"/>
      <c r="F35" s="11"/>
      <c r="G35" s="332"/>
      <c r="H35" s="11"/>
      <c r="I35" s="419"/>
      <c r="J35" s="11"/>
      <c r="K35" s="11"/>
      <c r="L35" s="11"/>
      <c r="M35" s="419"/>
      <c r="N35" s="11"/>
      <c r="O35" s="419"/>
      <c r="P35" s="11"/>
      <c r="Q35" s="419"/>
      <c r="R35" s="11"/>
      <c r="S35" s="419"/>
      <c r="T35" s="11"/>
      <c r="U35" s="419"/>
      <c r="V35" s="11"/>
      <c r="W35" s="419"/>
      <c r="X35" s="11"/>
      <c r="Y35" s="419"/>
      <c r="Z35" s="11"/>
      <c r="AA35" s="419"/>
      <c r="AB35" s="11"/>
      <c r="AC35" s="419"/>
      <c r="AD35" s="11"/>
      <c r="AE35" s="419"/>
      <c r="AF35" s="11"/>
      <c r="AG35" s="419"/>
      <c r="AH35" s="11">
        <v>1</v>
      </c>
      <c r="AI35" s="419">
        <v>198.2</v>
      </c>
      <c r="AJ35" s="11"/>
      <c r="AK35" s="419"/>
      <c r="AL35" s="332"/>
      <c r="AM35" s="332"/>
      <c r="AN35" s="11"/>
      <c r="AO35" s="419"/>
      <c r="AP35" s="86">
        <f>SUM(B35,D35,F35,H35,J35,L35,N35,P35,R35,T35,V35,X35,Z35,AB35,AD35,AF35,AH35,AJ35,AL35,AN35)</f>
        <v>1</v>
      </c>
      <c r="AQ35" s="942">
        <f>SUM(C35,E35,G35,I35,K35,M35,O35,Q35,S35,U35,W35,Y35,AA35,AC35,AE35,AG35,AI35,AK35,AM35,AO35)</f>
        <v>198.2</v>
      </c>
    </row>
    <row r="36" spans="1:43" s="89" customFormat="1" ht="24.75" customHeight="1">
      <c r="A36" s="257" t="s">
        <v>195</v>
      </c>
      <c r="B36" s="149">
        <v>1</v>
      </c>
      <c r="C36" s="369">
        <v>273.2</v>
      </c>
      <c r="D36" s="12"/>
      <c r="E36" s="369"/>
      <c r="F36" s="149"/>
      <c r="G36" s="369"/>
      <c r="H36" s="15"/>
      <c r="I36" s="1042"/>
      <c r="J36" s="15"/>
      <c r="K36" s="12"/>
      <c r="L36" s="12"/>
      <c r="M36" s="424"/>
      <c r="N36" s="12"/>
      <c r="O36" s="424"/>
      <c r="P36" s="12"/>
      <c r="Q36" s="424"/>
      <c r="R36" s="12"/>
      <c r="S36" s="424"/>
      <c r="T36" s="12"/>
      <c r="U36" s="424"/>
      <c r="V36" s="12"/>
      <c r="W36" s="424"/>
      <c r="X36" s="11"/>
      <c r="Y36" s="419"/>
      <c r="Z36" s="11"/>
      <c r="AA36" s="419"/>
      <c r="AB36" s="11"/>
      <c r="AC36" s="419"/>
      <c r="AD36" s="11"/>
      <c r="AE36" s="419"/>
      <c r="AF36" s="11"/>
      <c r="AG36" s="419"/>
      <c r="AH36" s="11"/>
      <c r="AI36" s="419"/>
      <c r="AJ36" s="11"/>
      <c r="AK36" s="419"/>
      <c r="AL36" s="332"/>
      <c r="AM36" s="332"/>
      <c r="AN36" s="11"/>
      <c r="AO36" s="419"/>
      <c r="AP36" s="86">
        <f t="shared" si="5"/>
        <v>1</v>
      </c>
      <c r="AQ36" s="942">
        <f t="shared" si="6"/>
        <v>273.2</v>
      </c>
    </row>
    <row r="37" spans="1:43" s="89" customFormat="1" ht="24.75" customHeight="1">
      <c r="A37" s="661" t="s">
        <v>306</v>
      </c>
      <c r="B37" s="149"/>
      <c r="C37" s="369"/>
      <c r="D37" s="12"/>
      <c r="E37" s="369"/>
      <c r="F37" s="149"/>
      <c r="G37" s="369"/>
      <c r="H37" s="15"/>
      <c r="I37" s="1042"/>
      <c r="J37" s="15"/>
      <c r="K37" s="12"/>
      <c r="L37" s="12"/>
      <c r="M37" s="424"/>
      <c r="N37" s="12"/>
      <c r="O37" s="424"/>
      <c r="P37" s="12"/>
      <c r="Q37" s="424"/>
      <c r="R37" s="12"/>
      <c r="S37" s="424"/>
      <c r="T37" s="12"/>
      <c r="U37" s="424"/>
      <c r="V37" s="12"/>
      <c r="W37" s="424"/>
      <c r="X37" s="11"/>
      <c r="Y37" s="419"/>
      <c r="Z37" s="11"/>
      <c r="AA37" s="419">
        <v>86</v>
      </c>
      <c r="AB37" s="11"/>
      <c r="AC37" s="419"/>
      <c r="AD37" s="11"/>
      <c r="AE37" s="419"/>
      <c r="AF37" s="11"/>
      <c r="AG37" s="419"/>
      <c r="AH37" s="11">
        <v>4</v>
      </c>
      <c r="AI37" s="419">
        <v>664</v>
      </c>
      <c r="AJ37" s="11"/>
      <c r="AK37" s="419"/>
      <c r="AL37" s="332"/>
      <c r="AM37" s="332"/>
      <c r="AN37" s="11"/>
      <c r="AO37" s="419"/>
      <c r="AP37" s="86">
        <f t="shared" si="5"/>
        <v>4</v>
      </c>
      <c r="AQ37" s="942">
        <f t="shared" si="6"/>
        <v>750</v>
      </c>
    </row>
    <row r="38" spans="1:43" s="247" customFormat="1" ht="24.75" customHeight="1">
      <c r="A38" s="257" t="s">
        <v>240</v>
      </c>
      <c r="B38" s="149"/>
      <c r="C38" s="369"/>
      <c r="D38" s="12"/>
      <c r="E38" s="369"/>
      <c r="F38" s="149"/>
      <c r="G38" s="369"/>
      <c r="H38" s="15"/>
      <c r="I38" s="1042"/>
      <c r="J38" s="15"/>
      <c r="K38" s="12"/>
      <c r="L38" s="12">
        <v>1</v>
      </c>
      <c r="M38" s="424">
        <v>151.9</v>
      </c>
      <c r="N38" s="12"/>
      <c r="O38" s="424"/>
      <c r="P38" s="12">
        <v>1</v>
      </c>
      <c r="Q38" s="424">
        <v>77.4</v>
      </c>
      <c r="R38" s="12"/>
      <c r="S38" s="424"/>
      <c r="T38" s="12"/>
      <c r="U38" s="424"/>
      <c r="V38" s="12"/>
      <c r="W38" s="424"/>
      <c r="X38" s="11"/>
      <c r="Y38" s="419"/>
      <c r="Z38" s="11"/>
      <c r="AA38" s="419"/>
      <c r="AB38" s="11"/>
      <c r="AC38" s="419"/>
      <c r="AD38" s="11">
        <v>1</v>
      </c>
      <c r="AE38" s="419">
        <v>72.8</v>
      </c>
      <c r="AF38" s="11"/>
      <c r="AG38" s="419"/>
      <c r="AH38" s="11">
        <v>4</v>
      </c>
      <c r="AI38" s="419">
        <v>631.9</v>
      </c>
      <c r="AJ38" s="11">
        <v>1</v>
      </c>
      <c r="AK38" s="419">
        <v>74.4</v>
      </c>
      <c r="AL38" s="332"/>
      <c r="AM38" s="332"/>
      <c r="AN38" s="11"/>
      <c r="AO38" s="419"/>
      <c r="AP38" s="86">
        <f t="shared" si="5"/>
        <v>8</v>
      </c>
      <c r="AQ38" s="942">
        <f t="shared" si="6"/>
        <v>1008.4</v>
      </c>
    </row>
    <row r="39" spans="1:43" s="247" customFormat="1" ht="24.75" customHeight="1">
      <c r="A39" s="893" t="s">
        <v>448</v>
      </c>
      <c r="B39" s="149"/>
      <c r="C39" s="369"/>
      <c r="D39" s="12"/>
      <c r="E39" s="369"/>
      <c r="F39" s="149"/>
      <c r="G39" s="369"/>
      <c r="H39" s="15"/>
      <c r="I39" s="1042"/>
      <c r="J39" s="15"/>
      <c r="K39" s="12"/>
      <c r="L39" s="12"/>
      <c r="M39" s="424"/>
      <c r="N39" s="12"/>
      <c r="O39" s="424"/>
      <c r="P39" s="12"/>
      <c r="Q39" s="424"/>
      <c r="R39" s="12"/>
      <c r="S39" s="424"/>
      <c r="T39" s="12"/>
      <c r="U39" s="424"/>
      <c r="V39" s="12"/>
      <c r="W39" s="424"/>
      <c r="X39" s="11"/>
      <c r="Y39" s="419"/>
      <c r="Z39" s="11"/>
      <c r="AA39" s="419"/>
      <c r="AB39" s="11"/>
      <c r="AC39" s="419"/>
      <c r="AD39" s="11"/>
      <c r="AE39" s="419"/>
      <c r="AF39" s="11"/>
      <c r="AG39" s="419"/>
      <c r="AH39" s="11">
        <v>1</v>
      </c>
      <c r="AI39" s="419">
        <v>176.1</v>
      </c>
      <c r="AJ39" s="11"/>
      <c r="AK39" s="419"/>
      <c r="AL39" s="332"/>
      <c r="AM39" s="332"/>
      <c r="AN39" s="11"/>
      <c r="AO39" s="419"/>
      <c r="AP39" s="86">
        <f>SUM(B39,D39,F39,H39,J39,L39,N39,P39,R39,T39,V39,X39,Z39,AB39,AD39,AF39,AH39,AJ39,AL39,AN39)</f>
        <v>1</v>
      </c>
      <c r="AQ39" s="942">
        <f>SUM(C39,E39,G39,I39,K39,M39,O39,Q39,S39,U39,W39,Y39,AA39,AC39,AE39,AG39,AI39,AK39,AM39,AO39)</f>
        <v>176.1</v>
      </c>
    </row>
    <row r="40" spans="1:43" s="322" customFormat="1" ht="23.25" customHeight="1">
      <c r="A40" s="106" t="s">
        <v>459</v>
      </c>
      <c r="B40" s="227"/>
      <c r="C40" s="384"/>
      <c r="D40" s="164"/>
      <c r="E40" s="384"/>
      <c r="F40" s="164"/>
      <c r="G40" s="384"/>
      <c r="H40" s="164"/>
      <c r="I40" s="1044"/>
      <c r="J40" s="164"/>
      <c r="K40" s="164"/>
      <c r="L40" s="164"/>
      <c r="M40" s="1044"/>
      <c r="N40" s="164"/>
      <c r="O40" s="1044"/>
      <c r="P40" s="164"/>
      <c r="Q40" s="1044"/>
      <c r="R40" s="164"/>
      <c r="S40" s="1044"/>
      <c r="T40" s="164"/>
      <c r="U40" s="1044"/>
      <c r="V40" s="164"/>
      <c r="W40" s="1044"/>
      <c r="X40" s="164"/>
      <c r="Y40" s="1044"/>
      <c r="Z40" s="164"/>
      <c r="AA40" s="1044"/>
      <c r="AB40" s="164"/>
      <c r="AC40" s="1044"/>
      <c r="AD40" s="164"/>
      <c r="AE40" s="1044"/>
      <c r="AF40" s="164"/>
      <c r="AG40" s="1044"/>
      <c r="AH40" s="164"/>
      <c r="AI40" s="1044"/>
      <c r="AJ40" s="164"/>
      <c r="AK40" s="1044"/>
      <c r="AL40" s="384"/>
      <c r="AM40" s="384"/>
      <c r="AN40" s="164"/>
      <c r="AO40" s="1044"/>
      <c r="AP40" s="84"/>
      <c r="AQ40" s="886"/>
    </row>
    <row r="41" spans="1:43" s="322" customFormat="1" ht="23.25" customHeight="1">
      <c r="A41" s="257" t="s">
        <v>188</v>
      </c>
      <c r="B41" s="149">
        <f>9+2</f>
        <v>11</v>
      </c>
      <c r="C41" s="369">
        <f>755.4+87.1</f>
        <v>842.5</v>
      </c>
      <c r="D41" s="12"/>
      <c r="E41" s="369"/>
      <c r="F41" s="149"/>
      <c r="G41" s="369"/>
      <c r="H41" s="15"/>
      <c r="I41" s="1042"/>
      <c r="J41" s="15"/>
      <c r="K41" s="12"/>
      <c r="L41" s="12"/>
      <c r="M41" s="424"/>
      <c r="N41" s="12"/>
      <c r="O41" s="424"/>
      <c r="P41" s="12"/>
      <c r="Q41" s="424"/>
      <c r="R41" s="12"/>
      <c r="S41" s="424"/>
      <c r="T41" s="12"/>
      <c r="U41" s="424"/>
      <c r="V41" s="12"/>
      <c r="W41" s="424"/>
      <c r="X41" s="11"/>
      <c r="Y41" s="419"/>
      <c r="Z41" s="11">
        <v>1</v>
      </c>
      <c r="AA41" s="419">
        <v>62.6</v>
      </c>
      <c r="AB41" s="11"/>
      <c r="AC41" s="419"/>
      <c r="AD41" s="11"/>
      <c r="AE41" s="419"/>
      <c r="AF41" s="11"/>
      <c r="AG41" s="419"/>
      <c r="AH41" s="11"/>
      <c r="AI41" s="419"/>
      <c r="AJ41" s="11"/>
      <c r="AK41" s="419"/>
      <c r="AL41" s="332"/>
      <c r="AM41" s="332"/>
      <c r="AN41" s="11">
        <v>1</v>
      </c>
      <c r="AO41" s="419">
        <v>181.1</v>
      </c>
      <c r="AP41" s="86">
        <f aca="true" t="shared" si="7" ref="AP41:AQ48">SUM(B41,D41,F41,H41,J41,L41,N41,P41,R41,T41,V41,X41,Z41,AB41,AD41,AF41,AH41,AJ41,AN41)</f>
        <v>13</v>
      </c>
      <c r="AQ41" s="884">
        <f t="shared" si="7"/>
        <v>1086.2</v>
      </c>
    </row>
    <row r="42" spans="1:43" s="322" customFormat="1" ht="23.25" customHeight="1">
      <c r="A42" s="257" t="s">
        <v>189</v>
      </c>
      <c r="B42" s="149"/>
      <c r="C42" s="369"/>
      <c r="D42" s="12"/>
      <c r="E42" s="369"/>
      <c r="F42" s="149"/>
      <c r="G42" s="369"/>
      <c r="H42" s="15"/>
      <c r="I42" s="1042"/>
      <c r="J42" s="15"/>
      <c r="K42" s="12"/>
      <c r="L42" s="12"/>
      <c r="M42" s="424"/>
      <c r="N42" s="12"/>
      <c r="O42" s="424"/>
      <c r="P42" s="12"/>
      <c r="Q42" s="424"/>
      <c r="R42" s="12"/>
      <c r="S42" s="424"/>
      <c r="T42" s="12"/>
      <c r="U42" s="424"/>
      <c r="V42" s="12"/>
      <c r="W42" s="424"/>
      <c r="X42" s="11"/>
      <c r="Y42" s="419"/>
      <c r="Z42" s="11">
        <v>1</v>
      </c>
      <c r="AA42" s="419">
        <v>202.9</v>
      </c>
      <c r="AB42" s="11"/>
      <c r="AC42" s="419"/>
      <c r="AD42" s="11"/>
      <c r="AE42" s="419"/>
      <c r="AF42" s="11"/>
      <c r="AG42" s="419"/>
      <c r="AH42" s="11"/>
      <c r="AI42" s="419"/>
      <c r="AJ42" s="11"/>
      <c r="AK42" s="419"/>
      <c r="AL42" s="332"/>
      <c r="AM42" s="332"/>
      <c r="AN42" s="11"/>
      <c r="AO42" s="419"/>
      <c r="AP42" s="86">
        <f t="shared" si="7"/>
        <v>1</v>
      </c>
      <c r="AQ42" s="884">
        <f t="shared" si="7"/>
        <v>202.9</v>
      </c>
    </row>
    <row r="43" spans="1:43" s="322" customFormat="1" ht="23.25" customHeight="1">
      <c r="A43" s="661" t="s">
        <v>312</v>
      </c>
      <c r="B43" s="149"/>
      <c r="C43" s="369"/>
      <c r="D43" s="12"/>
      <c r="E43" s="369"/>
      <c r="F43" s="149"/>
      <c r="G43" s="369"/>
      <c r="H43" s="15"/>
      <c r="I43" s="1042"/>
      <c r="J43" s="15"/>
      <c r="K43" s="12"/>
      <c r="L43" s="12"/>
      <c r="M43" s="424"/>
      <c r="N43" s="12"/>
      <c r="O43" s="424"/>
      <c r="P43" s="12"/>
      <c r="Q43" s="424"/>
      <c r="R43" s="12"/>
      <c r="S43" s="424"/>
      <c r="T43" s="12"/>
      <c r="U43" s="424"/>
      <c r="V43" s="12"/>
      <c r="W43" s="424"/>
      <c r="X43" s="11"/>
      <c r="Y43" s="419"/>
      <c r="Z43" s="11">
        <v>2</v>
      </c>
      <c r="AA43" s="419">
        <v>388</v>
      </c>
      <c r="AB43" s="11"/>
      <c r="AC43" s="419"/>
      <c r="AD43" s="11"/>
      <c r="AE43" s="419"/>
      <c r="AF43" s="11"/>
      <c r="AG43" s="419"/>
      <c r="AH43" s="11">
        <f>5+3</f>
        <v>8</v>
      </c>
      <c r="AI43" s="419">
        <f>223.8+149</f>
        <v>372.8</v>
      </c>
      <c r="AJ43" s="11"/>
      <c r="AK43" s="419"/>
      <c r="AL43" s="332"/>
      <c r="AM43" s="332"/>
      <c r="AN43" s="11"/>
      <c r="AO43" s="419"/>
      <c r="AP43" s="86">
        <f t="shared" si="7"/>
        <v>10</v>
      </c>
      <c r="AQ43" s="884">
        <f t="shared" si="7"/>
        <v>760.8</v>
      </c>
    </row>
    <row r="44" spans="1:43" s="322" customFormat="1" ht="23.25" customHeight="1">
      <c r="A44" s="661" t="s">
        <v>442</v>
      </c>
      <c r="B44" s="149"/>
      <c r="C44" s="369"/>
      <c r="D44" s="12"/>
      <c r="E44" s="369"/>
      <c r="F44" s="149"/>
      <c r="G44" s="369"/>
      <c r="H44" s="15"/>
      <c r="I44" s="1042"/>
      <c r="J44" s="15"/>
      <c r="K44" s="12"/>
      <c r="L44" s="12"/>
      <c r="M44" s="424"/>
      <c r="N44" s="12"/>
      <c r="O44" s="424"/>
      <c r="P44" s="12"/>
      <c r="Q44" s="424"/>
      <c r="R44" s="12"/>
      <c r="S44" s="424"/>
      <c r="T44" s="12"/>
      <c r="U44" s="424"/>
      <c r="V44" s="12"/>
      <c r="W44" s="424"/>
      <c r="X44" s="11"/>
      <c r="Y44" s="419"/>
      <c r="Z44" s="11">
        <v>1</v>
      </c>
      <c r="AA44" s="419">
        <v>208.8</v>
      </c>
      <c r="AB44" s="11"/>
      <c r="AC44" s="419"/>
      <c r="AD44" s="11"/>
      <c r="AE44" s="419"/>
      <c r="AF44" s="11"/>
      <c r="AG44" s="419"/>
      <c r="AH44" s="11"/>
      <c r="AI44" s="419"/>
      <c r="AJ44" s="11"/>
      <c r="AK44" s="419"/>
      <c r="AL44" s="332"/>
      <c r="AM44" s="332"/>
      <c r="AN44" s="11"/>
      <c r="AO44" s="419"/>
      <c r="AP44" s="86">
        <f aca="true" t="shared" si="8" ref="AP44:AQ47">SUM(B44,D44,F44,H44,J44,L44,N44,P44,R44,T44,V44,X44,Z44,AB44,AD44,AF44,AH44,AJ44,AN44)</f>
        <v>1</v>
      </c>
      <c r="AQ44" s="884">
        <f t="shared" si="8"/>
        <v>208.8</v>
      </c>
    </row>
    <row r="45" spans="1:43" s="322" customFormat="1" ht="23.25" customHeight="1">
      <c r="A45" s="661" t="s">
        <v>443</v>
      </c>
      <c r="B45" s="149"/>
      <c r="C45" s="369"/>
      <c r="D45" s="12"/>
      <c r="E45" s="369"/>
      <c r="F45" s="149"/>
      <c r="G45" s="369"/>
      <c r="H45" s="15"/>
      <c r="I45" s="1042"/>
      <c r="J45" s="15"/>
      <c r="K45" s="12"/>
      <c r="L45" s="12"/>
      <c r="M45" s="424"/>
      <c r="N45" s="12"/>
      <c r="O45" s="424"/>
      <c r="P45" s="12"/>
      <c r="Q45" s="424"/>
      <c r="R45" s="12"/>
      <c r="S45" s="424"/>
      <c r="T45" s="12"/>
      <c r="U45" s="424"/>
      <c r="V45" s="12"/>
      <c r="W45" s="424"/>
      <c r="X45" s="11"/>
      <c r="Y45" s="419"/>
      <c r="Z45" s="11">
        <v>1</v>
      </c>
      <c r="AA45" s="419">
        <v>25.4</v>
      </c>
      <c r="AB45" s="11"/>
      <c r="AC45" s="419"/>
      <c r="AD45" s="11"/>
      <c r="AE45" s="419"/>
      <c r="AF45" s="11"/>
      <c r="AG45" s="419"/>
      <c r="AH45" s="11"/>
      <c r="AI45" s="419"/>
      <c r="AJ45" s="11"/>
      <c r="AK45" s="419"/>
      <c r="AL45" s="332"/>
      <c r="AM45" s="332"/>
      <c r="AN45" s="11"/>
      <c r="AO45" s="419"/>
      <c r="AP45" s="86">
        <f t="shared" si="8"/>
        <v>1</v>
      </c>
      <c r="AQ45" s="884">
        <f t="shared" si="8"/>
        <v>25.4</v>
      </c>
    </row>
    <row r="46" spans="1:43" s="322" customFormat="1" ht="23.25" customHeight="1">
      <c r="A46" s="257" t="s">
        <v>190</v>
      </c>
      <c r="B46" s="149"/>
      <c r="C46" s="369"/>
      <c r="D46" s="12"/>
      <c r="E46" s="369"/>
      <c r="F46" s="149"/>
      <c r="G46" s="369"/>
      <c r="H46" s="15"/>
      <c r="I46" s="1042"/>
      <c r="J46" s="15"/>
      <c r="K46" s="12"/>
      <c r="L46" s="12"/>
      <c r="M46" s="424"/>
      <c r="N46" s="12"/>
      <c r="O46" s="424"/>
      <c r="P46" s="12"/>
      <c r="Q46" s="424"/>
      <c r="R46" s="12"/>
      <c r="S46" s="424"/>
      <c r="T46" s="12"/>
      <c r="U46" s="424"/>
      <c r="V46" s="12"/>
      <c r="W46" s="424"/>
      <c r="X46" s="11"/>
      <c r="Y46" s="419"/>
      <c r="Z46" s="11">
        <v>1</v>
      </c>
      <c r="AA46" s="419">
        <v>206.5</v>
      </c>
      <c r="AB46" s="11"/>
      <c r="AC46" s="419"/>
      <c r="AD46" s="11"/>
      <c r="AE46" s="419"/>
      <c r="AF46" s="11"/>
      <c r="AG46" s="419"/>
      <c r="AH46" s="11"/>
      <c r="AI46" s="419"/>
      <c r="AJ46" s="11"/>
      <c r="AK46" s="419"/>
      <c r="AL46" s="332"/>
      <c r="AM46" s="332"/>
      <c r="AN46" s="11"/>
      <c r="AO46" s="419"/>
      <c r="AP46" s="86">
        <f t="shared" si="8"/>
        <v>1</v>
      </c>
      <c r="AQ46" s="884">
        <f t="shared" si="8"/>
        <v>206.5</v>
      </c>
    </row>
    <row r="47" spans="1:43" s="322" customFormat="1" ht="23.25" customHeight="1">
      <c r="A47" s="661" t="s">
        <v>446</v>
      </c>
      <c r="B47" s="149"/>
      <c r="C47" s="369"/>
      <c r="D47" s="12"/>
      <c r="E47" s="369"/>
      <c r="F47" s="149"/>
      <c r="G47" s="369"/>
      <c r="H47" s="15"/>
      <c r="I47" s="1042"/>
      <c r="J47" s="15"/>
      <c r="K47" s="12"/>
      <c r="L47" s="12"/>
      <c r="M47" s="424"/>
      <c r="N47" s="12"/>
      <c r="O47" s="424"/>
      <c r="P47" s="12"/>
      <c r="Q47" s="424"/>
      <c r="R47" s="12"/>
      <c r="S47" s="424"/>
      <c r="T47" s="12"/>
      <c r="U47" s="424"/>
      <c r="V47" s="12"/>
      <c r="W47" s="424"/>
      <c r="X47" s="11"/>
      <c r="Y47" s="419"/>
      <c r="Z47" s="11">
        <v>1</v>
      </c>
      <c r="AA47" s="419">
        <v>129.5</v>
      </c>
      <c r="AB47" s="11"/>
      <c r="AC47" s="419"/>
      <c r="AD47" s="11"/>
      <c r="AE47" s="419"/>
      <c r="AF47" s="11"/>
      <c r="AG47" s="419"/>
      <c r="AH47" s="11"/>
      <c r="AI47" s="419"/>
      <c r="AJ47" s="11"/>
      <c r="AK47" s="419"/>
      <c r="AL47" s="332"/>
      <c r="AM47" s="332"/>
      <c r="AN47" s="11"/>
      <c r="AO47" s="419"/>
      <c r="AP47" s="86">
        <f t="shared" si="8"/>
        <v>1</v>
      </c>
      <c r="AQ47" s="884">
        <f t="shared" si="8"/>
        <v>129.5</v>
      </c>
    </row>
    <row r="48" spans="1:43" s="322" customFormat="1" ht="23.25" customHeight="1">
      <c r="A48" s="661" t="s">
        <v>313</v>
      </c>
      <c r="B48" s="149"/>
      <c r="C48" s="369"/>
      <c r="D48" s="12"/>
      <c r="E48" s="369"/>
      <c r="F48" s="149"/>
      <c r="G48" s="369"/>
      <c r="H48" s="15"/>
      <c r="I48" s="1042"/>
      <c r="J48" s="15"/>
      <c r="K48" s="12"/>
      <c r="L48" s="12"/>
      <c r="M48" s="424"/>
      <c r="N48" s="12"/>
      <c r="O48" s="424"/>
      <c r="P48" s="12"/>
      <c r="Q48" s="424"/>
      <c r="R48" s="12"/>
      <c r="S48" s="424"/>
      <c r="T48" s="12"/>
      <c r="U48" s="424"/>
      <c r="V48" s="12"/>
      <c r="W48" s="424"/>
      <c r="X48" s="11"/>
      <c r="Y48" s="419"/>
      <c r="Z48" s="11">
        <v>1</v>
      </c>
      <c r="AA48" s="419">
        <v>143.6</v>
      </c>
      <c r="AB48" s="11"/>
      <c r="AC48" s="419"/>
      <c r="AD48" s="11"/>
      <c r="AE48" s="419"/>
      <c r="AF48" s="11"/>
      <c r="AG48" s="419"/>
      <c r="AH48" s="11"/>
      <c r="AI48" s="419"/>
      <c r="AJ48" s="11"/>
      <c r="AK48" s="419"/>
      <c r="AL48" s="332"/>
      <c r="AM48" s="332"/>
      <c r="AN48" s="11"/>
      <c r="AO48" s="419"/>
      <c r="AP48" s="86">
        <f t="shared" si="7"/>
        <v>1</v>
      </c>
      <c r="AQ48" s="884">
        <f t="shared" si="7"/>
        <v>143.6</v>
      </c>
    </row>
    <row r="49" spans="1:43" s="322" customFormat="1" ht="23.25" customHeight="1">
      <c r="A49" s="661" t="s">
        <v>447</v>
      </c>
      <c r="B49" s="149"/>
      <c r="C49" s="369"/>
      <c r="D49" s="12"/>
      <c r="E49" s="369"/>
      <c r="F49" s="149"/>
      <c r="G49" s="369"/>
      <c r="H49" s="15"/>
      <c r="I49" s="1042"/>
      <c r="J49" s="15"/>
      <c r="K49" s="12"/>
      <c r="L49" s="12"/>
      <c r="M49" s="424"/>
      <c r="N49" s="12"/>
      <c r="O49" s="424"/>
      <c r="P49" s="12"/>
      <c r="Q49" s="424"/>
      <c r="R49" s="12"/>
      <c r="S49" s="424"/>
      <c r="T49" s="12"/>
      <c r="U49" s="424"/>
      <c r="V49" s="12"/>
      <c r="W49" s="424"/>
      <c r="X49" s="11"/>
      <c r="Y49" s="419"/>
      <c r="Z49" s="11">
        <v>1</v>
      </c>
      <c r="AA49" s="419">
        <v>25.4</v>
      </c>
      <c r="AB49" s="11"/>
      <c r="AC49" s="419"/>
      <c r="AD49" s="11"/>
      <c r="AE49" s="419"/>
      <c r="AF49" s="11"/>
      <c r="AG49" s="419"/>
      <c r="AH49" s="11"/>
      <c r="AI49" s="419"/>
      <c r="AJ49" s="11"/>
      <c r="AK49" s="419"/>
      <c r="AL49" s="332"/>
      <c r="AM49" s="332"/>
      <c r="AN49" s="11"/>
      <c r="AO49" s="419"/>
      <c r="AP49" s="86">
        <f>SUM(B49,D49,F49,H49,J49,L49,N49,P49,R49,T49,V49,X49,Z49,AB49,AD49,AF49,AH49,AJ49,AN49)</f>
        <v>1</v>
      </c>
      <c r="AQ49" s="884">
        <f>SUM(C49,E49,G49,I49,K49,M49,O49,Q49,S49,U49,W49,Y49,AA49,AC49,AE49,AG49,AI49,AK49,AO49)</f>
        <v>25.4</v>
      </c>
    </row>
    <row r="50" spans="1:43" s="661" customFormat="1" ht="21.75">
      <c r="A50" s="661" t="s">
        <v>314</v>
      </c>
      <c r="B50" s="149"/>
      <c r="C50" s="369"/>
      <c r="D50" s="12"/>
      <c r="E50" s="369"/>
      <c r="F50" s="149"/>
      <c r="G50" s="369"/>
      <c r="H50" s="15"/>
      <c r="I50" s="1042"/>
      <c r="J50" s="15"/>
      <c r="K50" s="12"/>
      <c r="L50" s="12"/>
      <c r="M50" s="424"/>
      <c r="N50" s="12"/>
      <c r="O50" s="424"/>
      <c r="P50" s="12"/>
      <c r="Q50" s="424"/>
      <c r="R50" s="12"/>
      <c r="S50" s="424"/>
      <c r="T50" s="12"/>
      <c r="U50" s="424"/>
      <c r="V50" s="12"/>
      <c r="W50" s="424"/>
      <c r="X50" s="11"/>
      <c r="Y50" s="419"/>
      <c r="Z50" s="11">
        <v>1</v>
      </c>
      <c r="AA50" s="419">
        <v>309.7</v>
      </c>
      <c r="AB50" s="11"/>
      <c r="AC50" s="419"/>
      <c r="AD50" s="11"/>
      <c r="AE50" s="419"/>
      <c r="AF50" s="11"/>
      <c r="AG50" s="419"/>
      <c r="AH50" s="11"/>
      <c r="AI50" s="419"/>
      <c r="AJ50" s="11"/>
      <c r="AK50" s="419"/>
      <c r="AL50" s="332"/>
      <c r="AM50" s="332"/>
      <c r="AN50" s="11"/>
      <c r="AO50" s="419"/>
      <c r="AP50" s="86">
        <f aca="true" t="shared" si="9" ref="AP50:AQ52">SUM(B50,D50,F50,H50,J50,L50,N50,P50,R50,T50,V50,X50,Z50,AB50,AD50,AF50,AH50,AJ50,AN50)</f>
        <v>1</v>
      </c>
      <c r="AQ50" s="884">
        <f t="shared" si="9"/>
        <v>309.7</v>
      </c>
    </row>
    <row r="51" spans="1:43" s="893" customFormat="1" ht="21.75">
      <c r="A51" s="251" t="s">
        <v>193</v>
      </c>
      <c r="B51" s="890"/>
      <c r="C51" s="891"/>
      <c r="D51" s="892"/>
      <c r="E51" s="891"/>
      <c r="F51" s="890"/>
      <c r="G51" s="891"/>
      <c r="H51" s="892"/>
      <c r="I51" s="1045"/>
      <c r="J51" s="248"/>
      <c r="M51" s="1045"/>
      <c r="O51" s="1045"/>
      <c r="Q51" s="1045"/>
      <c r="R51" s="892"/>
      <c r="S51" s="1045"/>
      <c r="T51" s="228"/>
      <c r="U51" s="687"/>
      <c r="V51" s="228"/>
      <c r="W51" s="687"/>
      <c r="X51" s="18"/>
      <c r="Y51" s="687"/>
      <c r="Z51" s="228">
        <v>1</v>
      </c>
      <c r="AA51" s="687">
        <v>198.9</v>
      </c>
      <c r="AB51" s="18"/>
      <c r="AC51" s="687"/>
      <c r="AD51" s="686"/>
      <c r="AE51" s="687"/>
      <c r="AF51" s="248"/>
      <c r="AG51" s="1045"/>
      <c r="AH51" s="897"/>
      <c r="AI51" s="1050"/>
      <c r="AJ51" s="248"/>
      <c r="AK51" s="1045"/>
      <c r="AL51" s="894"/>
      <c r="AM51" s="894"/>
      <c r="AN51" s="248"/>
      <c r="AO51" s="1045"/>
      <c r="AP51" s="156">
        <f t="shared" si="9"/>
        <v>1</v>
      </c>
      <c r="AQ51" s="885">
        <f t="shared" si="9"/>
        <v>198.9</v>
      </c>
    </row>
    <row r="52" spans="1:43" s="661" customFormat="1" ht="22.5" thickBot="1">
      <c r="A52" s="878" t="s">
        <v>461</v>
      </c>
      <c r="B52" s="657">
        <v>2</v>
      </c>
      <c r="C52" s="658">
        <v>210.4</v>
      </c>
      <c r="D52" s="659"/>
      <c r="E52" s="658"/>
      <c r="F52" s="657"/>
      <c r="G52" s="658"/>
      <c r="H52" s="659"/>
      <c r="I52" s="1046"/>
      <c r="J52" s="660"/>
      <c r="M52" s="1046"/>
      <c r="O52" s="1046"/>
      <c r="Q52" s="1046"/>
      <c r="R52" s="659"/>
      <c r="S52" s="1046"/>
      <c r="T52" s="73"/>
      <c r="U52" s="424"/>
      <c r="V52" s="73"/>
      <c r="W52" s="424"/>
      <c r="X52" s="15"/>
      <c r="Y52" s="424"/>
      <c r="Z52" s="73">
        <v>2</v>
      </c>
      <c r="AA52" s="424">
        <f>61.4+20.8</f>
        <v>82.2</v>
      </c>
      <c r="AB52" s="15"/>
      <c r="AC52" s="424"/>
      <c r="AD52" s="12"/>
      <c r="AE52" s="424"/>
      <c r="AF52" s="660"/>
      <c r="AG52" s="1048"/>
      <c r="AH52" s="661">
        <v>4</v>
      </c>
      <c r="AI52" s="1046">
        <v>5.2</v>
      </c>
      <c r="AJ52" s="660"/>
      <c r="AK52" s="1046"/>
      <c r="AL52" s="662"/>
      <c r="AM52" s="662"/>
      <c r="AN52" s="660"/>
      <c r="AO52" s="1046">
        <v>14766.3</v>
      </c>
      <c r="AP52" s="86">
        <f t="shared" si="9"/>
        <v>8</v>
      </c>
      <c r="AQ52" s="884">
        <f t="shared" si="9"/>
        <v>15064.099999999999</v>
      </c>
    </row>
    <row r="53" spans="1:43" s="666" customFormat="1" ht="24.75" customHeight="1" thickBot="1">
      <c r="A53" s="664" t="s">
        <v>56</v>
      </c>
      <c r="B53" s="665">
        <f aca="true" t="shared" si="10" ref="B53:I53">SUM(B5:B52)</f>
        <v>152</v>
      </c>
      <c r="C53" s="663">
        <f t="shared" si="10"/>
        <v>18745.600000000002</v>
      </c>
      <c r="D53" s="665">
        <f t="shared" si="10"/>
        <v>55</v>
      </c>
      <c r="E53" s="663">
        <f t="shared" si="10"/>
        <v>4016.2</v>
      </c>
      <c r="F53" s="665">
        <f t="shared" si="10"/>
        <v>32</v>
      </c>
      <c r="G53" s="663">
        <f t="shared" si="10"/>
        <v>6323.9</v>
      </c>
      <c r="H53" s="665">
        <f t="shared" si="10"/>
        <v>237</v>
      </c>
      <c r="I53" s="663">
        <f t="shared" si="10"/>
        <v>76198.1</v>
      </c>
      <c r="J53" s="665">
        <f>SUM(J5:J41)</f>
        <v>0</v>
      </c>
      <c r="K53" s="665">
        <f>SUM(K5:K41)</f>
        <v>0</v>
      </c>
      <c r="L53" s="665">
        <f aca="true" t="shared" si="11" ref="L53:AQ53">SUM(L5:L52)</f>
        <v>1</v>
      </c>
      <c r="M53" s="663">
        <f t="shared" si="11"/>
        <v>352.6</v>
      </c>
      <c r="N53" s="665">
        <f t="shared" si="11"/>
        <v>17</v>
      </c>
      <c r="O53" s="663">
        <f t="shared" si="11"/>
        <v>1949.1</v>
      </c>
      <c r="P53" s="665">
        <f t="shared" si="11"/>
        <v>17</v>
      </c>
      <c r="Q53" s="663">
        <f t="shared" si="11"/>
        <v>4817.499999999999</v>
      </c>
      <c r="R53" s="665">
        <f t="shared" si="11"/>
        <v>9</v>
      </c>
      <c r="S53" s="663">
        <f t="shared" si="11"/>
        <v>599.8</v>
      </c>
      <c r="T53" s="665">
        <f t="shared" si="11"/>
        <v>12</v>
      </c>
      <c r="U53" s="663">
        <f t="shared" si="11"/>
        <v>1905.4</v>
      </c>
      <c r="V53" s="665">
        <f t="shared" si="11"/>
        <v>5</v>
      </c>
      <c r="W53" s="663">
        <f t="shared" si="11"/>
        <v>231.7</v>
      </c>
      <c r="X53" s="665">
        <f t="shared" si="11"/>
        <v>34</v>
      </c>
      <c r="Y53" s="663">
        <f t="shared" si="11"/>
        <v>6274.7</v>
      </c>
      <c r="Z53" s="665">
        <f t="shared" si="11"/>
        <v>122</v>
      </c>
      <c r="AA53" s="663">
        <f t="shared" si="11"/>
        <v>34039.1</v>
      </c>
      <c r="AB53" s="665">
        <f t="shared" si="11"/>
        <v>96</v>
      </c>
      <c r="AC53" s="663">
        <f t="shared" si="11"/>
        <v>38361.8</v>
      </c>
      <c r="AD53" s="665">
        <f t="shared" si="11"/>
        <v>8</v>
      </c>
      <c r="AE53" s="663">
        <f t="shared" si="11"/>
        <v>10187.9</v>
      </c>
      <c r="AF53" s="665">
        <f t="shared" si="11"/>
        <v>54</v>
      </c>
      <c r="AG53" s="663">
        <f t="shared" si="11"/>
        <v>4359.9</v>
      </c>
      <c r="AH53" s="665">
        <f t="shared" si="11"/>
        <v>71</v>
      </c>
      <c r="AI53" s="663">
        <f t="shared" si="11"/>
        <v>6859.8</v>
      </c>
      <c r="AJ53" s="665">
        <f t="shared" si="11"/>
        <v>94</v>
      </c>
      <c r="AK53" s="663">
        <f t="shared" si="11"/>
        <v>10629.4</v>
      </c>
      <c r="AL53" s="665">
        <f t="shared" si="11"/>
        <v>12</v>
      </c>
      <c r="AM53" s="663">
        <f t="shared" si="11"/>
        <v>1161.6000000000001</v>
      </c>
      <c r="AN53" s="665">
        <f t="shared" si="11"/>
        <v>13</v>
      </c>
      <c r="AO53" s="663">
        <f t="shared" si="11"/>
        <v>16558.2</v>
      </c>
      <c r="AP53" s="665">
        <f t="shared" si="11"/>
        <v>1041</v>
      </c>
      <c r="AQ53" s="887">
        <f t="shared" si="11"/>
        <v>243572.29999999996</v>
      </c>
    </row>
    <row r="54" spans="1:43" s="131" customFormat="1" ht="20.25" customHeight="1">
      <c r="A54" s="8" t="s">
        <v>239</v>
      </c>
      <c r="B54" s="25"/>
      <c r="C54" s="423"/>
      <c r="D54" s="26"/>
      <c r="E54" s="423"/>
      <c r="F54" s="31"/>
      <c r="G54" s="426"/>
      <c r="H54" s="24"/>
      <c r="I54" s="423"/>
      <c r="J54" s="25"/>
      <c r="K54" s="423"/>
      <c r="L54" s="24"/>
      <c r="M54" s="423"/>
      <c r="N54" s="32"/>
      <c r="O54" s="349"/>
      <c r="P54" s="62"/>
      <c r="Q54" s="708"/>
      <c r="R54" s="62"/>
      <c r="S54" s="708"/>
      <c r="T54" s="62"/>
      <c r="U54" s="708"/>
      <c r="W54" s="709"/>
      <c r="Y54" s="709"/>
      <c r="AA54" s="709"/>
      <c r="AC54" s="709"/>
      <c r="AE54" s="709"/>
      <c r="AG54" s="709"/>
      <c r="AI54" s="709"/>
      <c r="AK54" s="709"/>
      <c r="AO54" s="709"/>
      <c r="AQ54" s="888"/>
    </row>
    <row r="55" spans="3:43" ht="24.75" customHeight="1">
      <c r="C55" s="293"/>
      <c r="E55" s="293"/>
      <c r="G55" s="293"/>
      <c r="I55" s="1025"/>
      <c r="M55" s="1025"/>
      <c r="O55" s="1025"/>
      <c r="Q55" s="1025"/>
      <c r="S55" s="1025"/>
      <c r="U55" s="1025"/>
      <c r="W55" s="1025"/>
      <c r="Y55" s="1025"/>
      <c r="AA55" s="1025"/>
      <c r="AC55" s="1025"/>
      <c r="AE55" s="1025"/>
      <c r="AG55" s="1025"/>
      <c r="AI55" s="1025"/>
      <c r="AK55" s="1025"/>
      <c r="AL55" s="293"/>
      <c r="AM55" s="293"/>
      <c r="AO55" s="1025"/>
      <c r="AQ55" s="408"/>
    </row>
    <row r="56" spans="3:43" ht="24" customHeight="1">
      <c r="C56" s="293"/>
      <c r="E56" s="293"/>
      <c r="G56" s="293"/>
      <c r="I56" s="1025"/>
      <c r="M56" s="1025"/>
      <c r="O56" s="1025"/>
      <c r="Q56" s="1025"/>
      <c r="S56" s="1025"/>
      <c r="U56" s="1025"/>
      <c r="W56" s="1025"/>
      <c r="Y56" s="1025"/>
      <c r="AA56" s="1025"/>
      <c r="AC56" s="1025"/>
      <c r="AE56" s="1025"/>
      <c r="AG56" s="1025"/>
      <c r="AI56" s="1025"/>
      <c r="AK56" s="1025"/>
      <c r="AL56" s="293"/>
      <c r="AM56" s="293"/>
      <c r="AO56" s="1025"/>
      <c r="AQ56" s="408"/>
    </row>
    <row r="57" spans="3:43" ht="23.25" customHeight="1">
      <c r="C57" s="385"/>
      <c r="E57" s="293"/>
      <c r="G57" s="293"/>
      <c r="I57" s="424"/>
      <c r="M57" s="1025"/>
      <c r="O57" s="1025"/>
      <c r="Q57" s="1025"/>
      <c r="S57" s="1025"/>
      <c r="U57" s="1025"/>
      <c r="W57" s="1025"/>
      <c r="Y57" s="1025"/>
      <c r="AA57" s="1025"/>
      <c r="AC57" s="1025"/>
      <c r="AE57" s="1025"/>
      <c r="AG57" s="1025"/>
      <c r="AI57" s="1025"/>
      <c r="AK57" s="1025"/>
      <c r="AL57" s="293"/>
      <c r="AM57" s="293"/>
      <c r="AO57" s="1025"/>
      <c r="AQ57" s="408"/>
    </row>
    <row r="58" spans="1:43" ht="21.75" customHeight="1">
      <c r="A58" t="s">
        <v>107</v>
      </c>
      <c r="C58" s="293"/>
      <c r="E58" s="293"/>
      <c r="G58" s="293"/>
      <c r="I58" s="1025"/>
      <c r="M58" s="1025"/>
      <c r="O58" s="1025"/>
      <c r="Q58" s="1025"/>
      <c r="S58" s="1025"/>
      <c r="U58" s="1025"/>
      <c r="W58" s="1025"/>
      <c r="Y58" s="1025"/>
      <c r="AA58" s="1025"/>
      <c r="AC58" s="1025"/>
      <c r="AE58" s="1025"/>
      <c r="AG58" s="1025"/>
      <c r="AI58" s="1025"/>
      <c r="AK58" s="1025"/>
      <c r="AL58" s="293"/>
      <c r="AM58" s="293"/>
      <c r="AO58" s="1025"/>
      <c r="AQ58" s="408"/>
    </row>
    <row r="59" spans="3:43" ht="21.75" customHeight="1">
      <c r="C59" s="293"/>
      <c r="E59" s="293"/>
      <c r="G59" s="293"/>
      <c r="I59" s="1025"/>
      <c r="M59" s="1025"/>
      <c r="O59" s="1025"/>
      <c r="Q59" s="1025"/>
      <c r="S59" s="1025"/>
      <c r="U59" s="1025"/>
      <c r="W59" s="1025"/>
      <c r="Y59" s="1025"/>
      <c r="AA59" s="1025"/>
      <c r="AC59" s="1025"/>
      <c r="AE59" s="1025"/>
      <c r="AG59" s="1025"/>
      <c r="AI59" s="1025"/>
      <c r="AK59" s="1025"/>
      <c r="AL59" s="293"/>
      <c r="AM59" s="293"/>
      <c r="AO59" s="1025"/>
      <c r="AQ59" s="408"/>
    </row>
    <row r="60" spans="3:43" ht="26.25" customHeight="1">
      <c r="C60" s="293"/>
      <c r="E60" s="293"/>
      <c r="G60" s="293"/>
      <c r="I60" s="1025"/>
      <c r="M60" s="1025"/>
      <c r="O60" s="1025"/>
      <c r="Q60" s="1025"/>
      <c r="S60" s="1025"/>
      <c r="U60" s="1025"/>
      <c r="W60" s="1025"/>
      <c r="Y60" s="1025"/>
      <c r="AA60" s="1025"/>
      <c r="AC60" s="1025"/>
      <c r="AE60" s="1025"/>
      <c r="AG60" s="1025"/>
      <c r="AI60" s="1025"/>
      <c r="AK60" s="1025"/>
      <c r="AL60" s="293"/>
      <c r="AM60" s="293"/>
      <c r="AO60" s="1025"/>
      <c r="AQ60" s="408"/>
    </row>
    <row r="61" spans="3:43" ht="23.25" customHeight="1">
      <c r="C61" s="293"/>
      <c r="E61" s="293"/>
      <c r="G61" s="293"/>
      <c r="I61" s="1025"/>
      <c r="M61" s="1025"/>
      <c r="O61" s="1025"/>
      <c r="Q61" s="1025"/>
      <c r="S61" s="1025"/>
      <c r="U61" s="1025"/>
      <c r="W61" s="1025"/>
      <c r="Y61" s="1025"/>
      <c r="AA61" s="1025"/>
      <c r="AC61" s="1025"/>
      <c r="AE61" s="1025"/>
      <c r="AG61" s="1025"/>
      <c r="AI61" s="1025"/>
      <c r="AK61" s="1025"/>
      <c r="AL61" s="293"/>
      <c r="AM61" s="293"/>
      <c r="AO61" s="1025"/>
      <c r="AQ61" s="408"/>
    </row>
    <row r="62" spans="3:43" ht="23.25" customHeight="1">
      <c r="C62" s="293"/>
      <c r="E62" s="293"/>
      <c r="G62" s="293"/>
      <c r="I62" s="1025"/>
      <c r="M62" s="1025"/>
      <c r="O62" s="1025"/>
      <c r="Q62" s="1025"/>
      <c r="S62" s="1025"/>
      <c r="U62" s="1025"/>
      <c r="W62" s="1025"/>
      <c r="Y62" s="1025"/>
      <c r="AA62" s="1025"/>
      <c r="AC62" s="1025"/>
      <c r="AE62" s="1025"/>
      <c r="AG62" s="1025"/>
      <c r="AI62" s="1025"/>
      <c r="AK62" s="1025"/>
      <c r="AL62" s="293"/>
      <c r="AM62" s="293"/>
      <c r="AO62" s="1025"/>
      <c r="AQ62" s="408"/>
    </row>
    <row r="63" spans="3:43" ht="23.25" customHeight="1">
      <c r="C63" s="293"/>
      <c r="E63" s="293"/>
      <c r="G63" s="293"/>
      <c r="I63" s="1025"/>
      <c r="M63" s="1025"/>
      <c r="O63" s="1025"/>
      <c r="Q63" s="1025"/>
      <c r="S63" s="1025"/>
      <c r="U63" s="1025"/>
      <c r="W63" s="1025"/>
      <c r="Y63" s="1025"/>
      <c r="AA63" s="1025"/>
      <c r="AC63" s="1025"/>
      <c r="AE63" s="1025"/>
      <c r="AG63" s="1025"/>
      <c r="AI63" s="1025"/>
      <c r="AK63" s="1025"/>
      <c r="AL63" s="293"/>
      <c r="AM63" s="293"/>
      <c r="AO63" s="1025"/>
      <c r="AQ63" s="408"/>
    </row>
    <row r="64" spans="3:43" ht="22.5" customHeight="1">
      <c r="C64" s="293"/>
      <c r="E64" s="293"/>
      <c r="G64" s="293"/>
      <c r="I64" s="1025"/>
      <c r="M64" s="1025"/>
      <c r="O64" s="1025"/>
      <c r="Q64" s="1025"/>
      <c r="S64" s="1025"/>
      <c r="U64" s="1025"/>
      <c r="W64" s="1025"/>
      <c r="Y64" s="1025"/>
      <c r="AA64" s="1025"/>
      <c r="AC64" s="1025"/>
      <c r="AE64" s="1025"/>
      <c r="AG64" s="1025"/>
      <c r="AI64" s="1025"/>
      <c r="AK64" s="1025"/>
      <c r="AL64" s="293"/>
      <c r="AM64" s="293"/>
      <c r="AO64" s="1025"/>
      <c r="AQ64" s="408"/>
    </row>
    <row r="65" spans="3:43" ht="24.75" customHeight="1">
      <c r="C65" s="293"/>
      <c r="E65" s="293"/>
      <c r="G65" s="293"/>
      <c r="I65" s="1025"/>
      <c r="M65" s="1025"/>
      <c r="O65" s="1025"/>
      <c r="Q65" s="1025"/>
      <c r="S65" s="1025"/>
      <c r="U65" s="1025"/>
      <c r="W65" s="1025"/>
      <c r="Y65" s="1025"/>
      <c r="AA65" s="1025"/>
      <c r="AC65" s="1025"/>
      <c r="AE65" s="1025"/>
      <c r="AG65" s="1025"/>
      <c r="AI65" s="1025"/>
      <c r="AK65" s="1025"/>
      <c r="AL65" s="293"/>
      <c r="AM65" s="293"/>
      <c r="AO65" s="1025"/>
      <c r="AQ65" s="408"/>
    </row>
    <row r="66" spans="3:43" ht="23.25" customHeight="1">
      <c r="C66" s="293"/>
      <c r="E66" s="293"/>
      <c r="G66" s="293"/>
      <c r="I66" s="1025"/>
      <c r="M66" s="1025"/>
      <c r="O66" s="1025"/>
      <c r="Q66" s="1025"/>
      <c r="S66" s="1025"/>
      <c r="U66" s="1025"/>
      <c r="W66" s="1025"/>
      <c r="Y66" s="1025"/>
      <c r="AA66" s="1025"/>
      <c r="AC66" s="1025"/>
      <c r="AE66" s="1025"/>
      <c r="AG66" s="1025"/>
      <c r="AI66" s="1025"/>
      <c r="AK66" s="1025"/>
      <c r="AL66" s="293"/>
      <c r="AM66" s="293"/>
      <c r="AO66" s="1025"/>
      <c r="AQ66" s="408"/>
    </row>
    <row r="67" spans="3:43" ht="23.25" customHeight="1">
      <c r="C67" s="293"/>
      <c r="E67" s="293"/>
      <c r="G67" s="293"/>
      <c r="I67" s="1025"/>
      <c r="M67" s="1025"/>
      <c r="O67" s="1025"/>
      <c r="Q67" s="1025"/>
      <c r="S67" s="1025"/>
      <c r="U67" s="1025"/>
      <c r="W67" s="1025"/>
      <c r="Y67" s="1025"/>
      <c r="AA67" s="1025"/>
      <c r="AC67" s="1025"/>
      <c r="AE67" s="1025"/>
      <c r="AG67" s="1025"/>
      <c r="AI67" s="1025"/>
      <c r="AK67" s="1025"/>
      <c r="AL67" s="293"/>
      <c r="AM67" s="293"/>
      <c r="AO67" s="1025"/>
      <c r="AQ67" s="408"/>
    </row>
    <row r="68" spans="3:43" ht="23.25" customHeight="1">
      <c r="C68" s="293"/>
      <c r="E68" s="293"/>
      <c r="G68" s="293"/>
      <c r="I68" s="1025"/>
      <c r="M68" s="1025"/>
      <c r="O68" s="1025"/>
      <c r="Q68" s="1025"/>
      <c r="S68" s="1025"/>
      <c r="U68" s="1025"/>
      <c r="W68" s="1025"/>
      <c r="Y68" s="1025"/>
      <c r="AA68" s="1025"/>
      <c r="AC68" s="1025"/>
      <c r="AE68" s="1025"/>
      <c r="AG68" s="1025"/>
      <c r="AI68" s="1025"/>
      <c r="AK68" s="1025"/>
      <c r="AL68" s="293"/>
      <c r="AM68" s="293"/>
      <c r="AO68" s="1025"/>
      <c r="AQ68" s="408"/>
    </row>
    <row r="69" spans="3:43" ht="23.25" customHeight="1">
      <c r="C69" s="293"/>
      <c r="E69" s="293"/>
      <c r="G69" s="293"/>
      <c r="I69" s="1025"/>
      <c r="M69" s="1025"/>
      <c r="O69" s="1025"/>
      <c r="Q69" s="1025"/>
      <c r="S69" s="1025"/>
      <c r="U69" s="1025"/>
      <c r="W69" s="1025"/>
      <c r="Y69" s="1025"/>
      <c r="AA69" s="1025"/>
      <c r="AC69" s="1025"/>
      <c r="AE69" s="1025"/>
      <c r="AG69" s="1025"/>
      <c r="AI69" s="1025"/>
      <c r="AK69" s="1025"/>
      <c r="AL69" s="293"/>
      <c r="AM69" s="293"/>
      <c r="AO69" s="1025"/>
      <c r="AQ69" s="408"/>
    </row>
    <row r="70" spans="3:43" ht="24.75" customHeight="1">
      <c r="C70" s="293"/>
      <c r="E70" s="293"/>
      <c r="G70" s="293"/>
      <c r="I70" s="1025"/>
      <c r="M70" s="1025"/>
      <c r="O70" s="1025"/>
      <c r="Q70" s="1025"/>
      <c r="S70" s="1025"/>
      <c r="U70" s="1025"/>
      <c r="W70" s="1025"/>
      <c r="Y70" s="1025"/>
      <c r="AA70" s="1025"/>
      <c r="AC70" s="1025"/>
      <c r="AE70" s="1025"/>
      <c r="AG70" s="1025"/>
      <c r="AI70" s="1025"/>
      <c r="AK70" s="1025"/>
      <c r="AL70" s="293"/>
      <c r="AM70" s="293"/>
      <c r="AO70" s="1025"/>
      <c r="AQ70" s="408"/>
    </row>
    <row r="71" spans="3:43" ht="24.75" customHeight="1">
      <c r="C71" s="293"/>
      <c r="E71" s="293"/>
      <c r="G71" s="293"/>
      <c r="I71" s="1025"/>
      <c r="M71" s="1025"/>
      <c r="O71" s="1025"/>
      <c r="Q71" s="1025"/>
      <c r="S71" s="1025"/>
      <c r="U71" s="1025"/>
      <c r="W71" s="1025"/>
      <c r="Y71" s="1025"/>
      <c r="AA71" s="1025"/>
      <c r="AC71" s="1025"/>
      <c r="AE71" s="1025"/>
      <c r="AG71" s="1025"/>
      <c r="AI71" s="1025"/>
      <c r="AK71" s="1025"/>
      <c r="AL71" s="293"/>
      <c r="AM71" s="293"/>
      <c r="AO71" s="1025"/>
      <c r="AQ71" s="408"/>
    </row>
    <row r="72" spans="3:43" ht="23.25" customHeight="1">
      <c r="C72" s="293"/>
      <c r="E72" s="293"/>
      <c r="G72" s="293"/>
      <c r="I72" s="1025"/>
      <c r="M72" s="1025"/>
      <c r="O72" s="1025"/>
      <c r="Q72" s="1025"/>
      <c r="S72" s="1025"/>
      <c r="U72" s="1025"/>
      <c r="W72" s="1025"/>
      <c r="Y72" s="1025"/>
      <c r="AA72" s="1025"/>
      <c r="AC72" s="1025"/>
      <c r="AE72" s="1025"/>
      <c r="AG72" s="1025"/>
      <c r="AI72" s="1025"/>
      <c r="AK72" s="1025"/>
      <c r="AL72" s="293"/>
      <c r="AM72" s="293"/>
      <c r="AO72" s="1025"/>
      <c r="AQ72" s="408"/>
    </row>
    <row r="73" spans="3:43" ht="23.25" customHeight="1">
      <c r="C73" s="293"/>
      <c r="E73" s="293"/>
      <c r="G73" s="293"/>
      <c r="I73" s="1025"/>
      <c r="M73" s="1025"/>
      <c r="O73" s="1025"/>
      <c r="Q73" s="1025"/>
      <c r="S73" s="1025"/>
      <c r="U73" s="1025"/>
      <c r="W73" s="1025"/>
      <c r="Y73" s="1025"/>
      <c r="AA73" s="1025"/>
      <c r="AC73" s="1025"/>
      <c r="AE73" s="1025"/>
      <c r="AG73" s="1025"/>
      <c r="AI73" s="1025"/>
      <c r="AK73" s="1025"/>
      <c r="AL73" s="293"/>
      <c r="AM73" s="293"/>
      <c r="AO73" s="1025"/>
      <c r="AQ73" s="408"/>
    </row>
    <row r="74" spans="3:43" ht="26.25" customHeight="1">
      <c r="C74" s="293"/>
      <c r="E74" s="293"/>
      <c r="G74" s="293"/>
      <c r="I74" s="1025"/>
      <c r="M74" s="1025"/>
      <c r="O74" s="1025"/>
      <c r="Q74" s="1025"/>
      <c r="S74" s="1025"/>
      <c r="U74" s="1025"/>
      <c r="W74" s="1025"/>
      <c r="Y74" s="1025"/>
      <c r="AA74" s="1025"/>
      <c r="AC74" s="1025"/>
      <c r="AE74" s="1025"/>
      <c r="AG74" s="1025"/>
      <c r="AI74" s="1025"/>
      <c r="AK74" s="1025"/>
      <c r="AL74" s="293"/>
      <c r="AM74" s="293"/>
      <c r="AO74" s="1025"/>
      <c r="AQ74" s="408"/>
    </row>
    <row r="75" spans="3:43" ht="23.25" customHeight="1">
      <c r="C75" s="293"/>
      <c r="E75" s="293"/>
      <c r="G75" s="293"/>
      <c r="I75" s="1025"/>
      <c r="M75" s="1025"/>
      <c r="O75" s="1025"/>
      <c r="Q75" s="1025"/>
      <c r="S75" s="1025"/>
      <c r="U75" s="1025"/>
      <c r="W75" s="1025"/>
      <c r="Y75" s="1025"/>
      <c r="AA75" s="1025"/>
      <c r="AC75" s="1025"/>
      <c r="AE75" s="1025"/>
      <c r="AG75" s="1025"/>
      <c r="AI75" s="1025"/>
      <c r="AK75" s="1025"/>
      <c r="AL75" s="293"/>
      <c r="AM75" s="293"/>
      <c r="AO75" s="1025"/>
      <c r="AQ75" s="408"/>
    </row>
    <row r="76" spans="3:43" ht="12.75">
      <c r="C76" s="293"/>
      <c r="E76" s="293"/>
      <c r="G76" s="293"/>
      <c r="I76" s="1025"/>
      <c r="M76" s="1025"/>
      <c r="O76" s="1025"/>
      <c r="Q76" s="1025"/>
      <c r="S76" s="1025"/>
      <c r="U76" s="1025"/>
      <c r="W76" s="1025"/>
      <c r="Y76" s="1025"/>
      <c r="AA76" s="1025"/>
      <c r="AC76" s="1025"/>
      <c r="AE76" s="1025"/>
      <c r="AG76" s="1025"/>
      <c r="AI76" s="1025"/>
      <c r="AK76" s="1025"/>
      <c r="AL76" s="293"/>
      <c r="AM76" s="293"/>
      <c r="AO76" s="1025"/>
      <c r="AQ76" s="408"/>
    </row>
    <row r="77" spans="3:43" ht="12.75">
      <c r="C77" s="293"/>
      <c r="E77" s="293"/>
      <c r="G77" s="293"/>
      <c r="I77" s="1025"/>
      <c r="M77" s="1025"/>
      <c r="O77" s="1025"/>
      <c r="Q77" s="1025"/>
      <c r="S77" s="1025"/>
      <c r="U77" s="1025"/>
      <c r="W77" s="1025"/>
      <c r="Y77" s="1025"/>
      <c r="AA77" s="1025"/>
      <c r="AC77" s="1025"/>
      <c r="AE77" s="1025"/>
      <c r="AG77" s="1025"/>
      <c r="AI77" s="1025"/>
      <c r="AK77" s="1025"/>
      <c r="AL77" s="293"/>
      <c r="AM77" s="293"/>
      <c r="AO77" s="1025"/>
      <c r="AQ77" s="408"/>
    </row>
    <row r="78" spans="3:43" ht="69" customHeight="1">
      <c r="C78" s="293"/>
      <c r="E78" s="293"/>
      <c r="G78" s="293"/>
      <c r="I78" s="1025"/>
      <c r="M78" s="1025"/>
      <c r="O78" s="1025"/>
      <c r="Q78" s="1025"/>
      <c r="S78" s="1025"/>
      <c r="U78" s="1025"/>
      <c r="W78" s="1025"/>
      <c r="Y78" s="1025"/>
      <c r="AA78" s="1025"/>
      <c r="AC78" s="1025"/>
      <c r="AE78" s="1025"/>
      <c r="AG78" s="1025"/>
      <c r="AI78" s="1025"/>
      <c r="AK78" s="1025"/>
      <c r="AL78" s="293"/>
      <c r="AM78" s="293"/>
      <c r="AO78" s="1025"/>
      <c r="AQ78" s="408"/>
    </row>
    <row r="79" spans="3:43" ht="21.75" customHeight="1">
      <c r="C79" s="293"/>
      <c r="E79" s="293"/>
      <c r="G79" s="293"/>
      <c r="I79" s="1025"/>
      <c r="M79" s="1025"/>
      <c r="O79" s="1025"/>
      <c r="Q79" s="1025"/>
      <c r="S79" s="1025"/>
      <c r="U79" s="1025"/>
      <c r="W79" s="1025"/>
      <c r="Y79" s="1025"/>
      <c r="AA79" s="1025"/>
      <c r="AC79" s="1025"/>
      <c r="AE79" s="1025"/>
      <c r="AG79" s="1025"/>
      <c r="AI79" s="1025"/>
      <c r="AK79" s="1025"/>
      <c r="AL79" s="293"/>
      <c r="AM79" s="293"/>
      <c r="AO79" s="1025"/>
      <c r="AQ79" s="408"/>
    </row>
    <row r="80" spans="3:43" ht="26.25" customHeight="1">
      <c r="C80" s="293"/>
      <c r="E80" s="293"/>
      <c r="G80" s="293"/>
      <c r="I80" s="1025"/>
      <c r="M80" s="1025"/>
      <c r="O80" s="1025"/>
      <c r="Q80" s="1025"/>
      <c r="S80" s="1025"/>
      <c r="U80" s="1025"/>
      <c r="W80" s="1025"/>
      <c r="Y80" s="1025"/>
      <c r="AA80" s="1025"/>
      <c r="AC80" s="1025"/>
      <c r="AE80" s="1025"/>
      <c r="AG80" s="1025"/>
      <c r="AI80" s="1025"/>
      <c r="AK80" s="1025"/>
      <c r="AL80" s="293"/>
      <c r="AM80" s="293"/>
      <c r="AO80" s="1025"/>
      <c r="AQ80" s="408"/>
    </row>
    <row r="81" spans="3:43" ht="20.25" customHeight="1">
      <c r="C81" s="293"/>
      <c r="E81" s="293"/>
      <c r="G81" s="293"/>
      <c r="I81" s="1025"/>
      <c r="M81" s="1025"/>
      <c r="O81" s="1025"/>
      <c r="Q81" s="1025"/>
      <c r="S81" s="1025"/>
      <c r="U81" s="1025"/>
      <c r="W81" s="1025"/>
      <c r="Y81" s="1025"/>
      <c r="AA81" s="1025"/>
      <c r="AC81" s="1025"/>
      <c r="AE81" s="1025"/>
      <c r="AG81" s="1025"/>
      <c r="AI81" s="1025"/>
      <c r="AK81" s="1025"/>
      <c r="AL81" s="293"/>
      <c r="AM81" s="293"/>
      <c r="AO81" s="1025"/>
      <c r="AQ81" s="408"/>
    </row>
    <row r="82" spans="3:43" ht="20.25" customHeight="1">
      <c r="C82" s="293"/>
      <c r="E82" s="293"/>
      <c r="G82" s="293"/>
      <c r="I82" s="1025"/>
      <c r="M82" s="1025"/>
      <c r="O82" s="1025"/>
      <c r="Q82" s="1025"/>
      <c r="S82" s="1025"/>
      <c r="U82" s="1025"/>
      <c r="W82" s="1025"/>
      <c r="Y82" s="1025"/>
      <c r="AA82" s="1025"/>
      <c r="AC82" s="1025"/>
      <c r="AE82" s="1025"/>
      <c r="AG82" s="1025"/>
      <c r="AI82" s="1025"/>
      <c r="AK82" s="1025"/>
      <c r="AL82" s="293"/>
      <c r="AM82" s="293"/>
      <c r="AO82" s="1025"/>
      <c r="AQ82" s="408"/>
    </row>
    <row r="83" spans="3:43" ht="20.25" customHeight="1">
      <c r="C83" s="293"/>
      <c r="E83" s="293"/>
      <c r="G83" s="293"/>
      <c r="I83" s="1025"/>
      <c r="M83" s="1025"/>
      <c r="O83" s="1025"/>
      <c r="Q83" s="1025"/>
      <c r="S83" s="1025"/>
      <c r="U83" s="1025"/>
      <c r="W83" s="1025"/>
      <c r="Y83" s="1025"/>
      <c r="AA83" s="1025"/>
      <c r="AC83" s="1025"/>
      <c r="AE83" s="1025"/>
      <c r="AG83" s="1025"/>
      <c r="AI83" s="1025"/>
      <c r="AK83" s="1025"/>
      <c r="AL83" s="293"/>
      <c r="AM83" s="293"/>
      <c r="AO83" s="1025"/>
      <c r="AQ83" s="408"/>
    </row>
    <row r="84" spans="3:43" ht="20.25" customHeight="1">
      <c r="C84" s="293"/>
      <c r="E84" s="293"/>
      <c r="G84" s="293"/>
      <c r="I84" s="1025"/>
      <c r="M84" s="1025"/>
      <c r="O84" s="1025"/>
      <c r="Q84" s="1025"/>
      <c r="S84" s="1025"/>
      <c r="U84" s="1025"/>
      <c r="W84" s="1025"/>
      <c r="Y84" s="1025"/>
      <c r="AA84" s="1025"/>
      <c r="AC84" s="1025"/>
      <c r="AE84" s="1025"/>
      <c r="AG84" s="1025"/>
      <c r="AI84" s="1025"/>
      <c r="AK84" s="1025"/>
      <c r="AL84" s="293"/>
      <c r="AM84" s="293"/>
      <c r="AO84" s="1025"/>
      <c r="AQ84" s="408"/>
    </row>
    <row r="85" spans="3:43" ht="20.25" customHeight="1">
      <c r="C85" s="293"/>
      <c r="E85" s="293"/>
      <c r="G85" s="293"/>
      <c r="I85" s="1025"/>
      <c r="M85" s="1025"/>
      <c r="O85" s="1025"/>
      <c r="Q85" s="1025"/>
      <c r="S85" s="1025"/>
      <c r="U85" s="1025"/>
      <c r="W85" s="1025"/>
      <c r="Y85" s="1025"/>
      <c r="AA85" s="1025"/>
      <c r="AC85" s="1025"/>
      <c r="AE85" s="1025"/>
      <c r="AG85" s="1025"/>
      <c r="AI85" s="1025"/>
      <c r="AK85" s="1025"/>
      <c r="AL85" s="293"/>
      <c r="AM85" s="293"/>
      <c r="AO85" s="1025"/>
      <c r="AQ85" s="408"/>
    </row>
    <row r="86" spans="3:43" ht="20.25" customHeight="1">
      <c r="C86" s="293"/>
      <c r="E86" s="293"/>
      <c r="G86" s="293"/>
      <c r="I86" s="1025"/>
      <c r="M86" s="1025"/>
      <c r="O86" s="1025"/>
      <c r="Q86" s="1025"/>
      <c r="S86" s="1025"/>
      <c r="U86" s="1025"/>
      <c r="W86" s="1025"/>
      <c r="Y86" s="1025"/>
      <c r="AA86" s="1025"/>
      <c r="AC86" s="1025"/>
      <c r="AE86" s="1025"/>
      <c r="AG86" s="1025"/>
      <c r="AI86" s="1025"/>
      <c r="AK86" s="1025"/>
      <c r="AL86" s="293"/>
      <c r="AM86" s="293"/>
      <c r="AO86" s="1025"/>
      <c r="AQ86" s="408"/>
    </row>
    <row r="87" spans="3:43" ht="21.75" customHeight="1">
      <c r="C87" s="293"/>
      <c r="E87" s="293"/>
      <c r="G87" s="293"/>
      <c r="I87" s="1025"/>
      <c r="M87" s="1025"/>
      <c r="O87" s="1025"/>
      <c r="Q87" s="1025"/>
      <c r="S87" s="1025"/>
      <c r="U87" s="1025"/>
      <c r="W87" s="1025"/>
      <c r="Y87" s="1025"/>
      <c r="AA87" s="1025"/>
      <c r="AC87" s="1025"/>
      <c r="AE87" s="1025"/>
      <c r="AG87" s="1025"/>
      <c r="AI87" s="1025"/>
      <c r="AK87" s="1025"/>
      <c r="AL87" s="293"/>
      <c r="AM87" s="293"/>
      <c r="AO87" s="1025"/>
      <c r="AQ87" s="408"/>
    </row>
    <row r="88" spans="3:43" ht="24" customHeight="1">
      <c r="C88" s="293"/>
      <c r="E88" s="293"/>
      <c r="G88" s="293"/>
      <c r="I88" s="1025"/>
      <c r="M88" s="1025"/>
      <c r="O88" s="1025"/>
      <c r="Q88" s="1025"/>
      <c r="S88" s="1025"/>
      <c r="U88" s="1025"/>
      <c r="W88" s="1025"/>
      <c r="Y88" s="1025"/>
      <c r="AA88" s="1025"/>
      <c r="AC88" s="1025"/>
      <c r="AE88" s="1025"/>
      <c r="AG88" s="1025"/>
      <c r="AI88" s="1025"/>
      <c r="AK88" s="1025"/>
      <c r="AL88" s="293"/>
      <c r="AM88" s="293"/>
      <c r="AO88" s="1025"/>
      <c r="AQ88" s="408"/>
    </row>
    <row r="89" spans="3:43" ht="12.75">
      <c r="C89" s="293"/>
      <c r="E89" s="293"/>
      <c r="G89" s="293"/>
      <c r="I89" s="1025"/>
      <c r="M89" s="1025"/>
      <c r="O89" s="1025"/>
      <c r="Q89" s="1025"/>
      <c r="S89" s="1025"/>
      <c r="U89" s="1025"/>
      <c r="W89" s="1025"/>
      <c r="Y89" s="1025"/>
      <c r="AA89" s="1025"/>
      <c r="AC89" s="1025"/>
      <c r="AE89" s="1025"/>
      <c r="AG89" s="1025"/>
      <c r="AI89" s="1025"/>
      <c r="AK89" s="1025"/>
      <c r="AL89" s="293"/>
      <c r="AM89" s="293"/>
      <c r="AO89" s="1025"/>
      <c r="AQ89" s="408"/>
    </row>
    <row r="90" spans="3:43" ht="27" customHeight="1">
      <c r="C90" s="293"/>
      <c r="E90" s="293"/>
      <c r="G90" s="293"/>
      <c r="I90" s="1025"/>
      <c r="M90" s="1025"/>
      <c r="O90" s="1025"/>
      <c r="Q90" s="1025"/>
      <c r="S90" s="1025"/>
      <c r="U90" s="1025"/>
      <c r="W90" s="1025"/>
      <c r="Y90" s="1025"/>
      <c r="AA90" s="1025"/>
      <c r="AC90" s="1025"/>
      <c r="AE90" s="1025"/>
      <c r="AG90" s="1025"/>
      <c r="AI90" s="1025"/>
      <c r="AK90" s="1025"/>
      <c r="AL90" s="293"/>
      <c r="AM90" s="293"/>
      <c r="AO90" s="1025"/>
      <c r="AQ90" s="408"/>
    </row>
    <row r="91" spans="3:43" ht="69" customHeight="1">
      <c r="C91" s="293"/>
      <c r="E91" s="293"/>
      <c r="G91" s="293"/>
      <c r="I91" s="1025"/>
      <c r="M91" s="1025"/>
      <c r="O91" s="1025"/>
      <c r="Q91" s="1025"/>
      <c r="S91" s="1025"/>
      <c r="U91" s="1025"/>
      <c r="W91" s="1025"/>
      <c r="Y91" s="1025"/>
      <c r="AA91" s="1025"/>
      <c r="AC91" s="1025"/>
      <c r="AE91" s="1025"/>
      <c r="AG91" s="1025"/>
      <c r="AI91" s="1025"/>
      <c r="AK91" s="1025"/>
      <c r="AL91" s="293"/>
      <c r="AM91" s="293"/>
      <c r="AO91" s="1025"/>
      <c r="AQ91" s="408"/>
    </row>
    <row r="92" spans="3:43" ht="21.75" customHeight="1">
      <c r="C92" s="293"/>
      <c r="E92" s="293"/>
      <c r="G92" s="293"/>
      <c r="I92" s="1025"/>
      <c r="M92" s="1025"/>
      <c r="O92" s="1025"/>
      <c r="Q92" s="1025"/>
      <c r="S92" s="1025"/>
      <c r="U92" s="1025"/>
      <c r="W92" s="1025"/>
      <c r="Y92" s="1025"/>
      <c r="AA92" s="1025"/>
      <c r="AC92" s="1025"/>
      <c r="AE92" s="1025"/>
      <c r="AG92" s="1025"/>
      <c r="AI92" s="1025"/>
      <c r="AK92" s="1025"/>
      <c r="AL92" s="293"/>
      <c r="AM92" s="293"/>
      <c r="AO92" s="1025"/>
      <c r="AQ92" s="408"/>
    </row>
    <row r="93" spans="3:43" ht="26.25" customHeight="1">
      <c r="C93" s="293"/>
      <c r="E93" s="293"/>
      <c r="G93" s="293"/>
      <c r="I93" s="1025"/>
      <c r="M93" s="1025"/>
      <c r="O93" s="1025"/>
      <c r="Q93" s="1025"/>
      <c r="S93" s="1025"/>
      <c r="U93" s="1025"/>
      <c r="W93" s="1025"/>
      <c r="Y93" s="1025"/>
      <c r="AA93" s="1025"/>
      <c r="AC93" s="1025"/>
      <c r="AE93" s="1025"/>
      <c r="AG93" s="1025"/>
      <c r="AI93" s="1025"/>
      <c r="AK93" s="1025"/>
      <c r="AL93" s="293"/>
      <c r="AM93" s="293"/>
      <c r="AO93" s="1025"/>
      <c r="AQ93" s="408"/>
    </row>
    <row r="94" spans="3:43" ht="20.25" customHeight="1">
      <c r="C94" s="293"/>
      <c r="E94" s="293"/>
      <c r="G94" s="293"/>
      <c r="I94" s="1025"/>
      <c r="M94" s="1025"/>
      <c r="O94" s="1025"/>
      <c r="Q94" s="1025"/>
      <c r="S94" s="1025"/>
      <c r="U94" s="1025"/>
      <c r="W94" s="1025"/>
      <c r="Y94" s="1025"/>
      <c r="AA94" s="1025"/>
      <c r="AC94" s="1025"/>
      <c r="AE94" s="1025"/>
      <c r="AG94" s="1025"/>
      <c r="AI94" s="1025"/>
      <c r="AK94" s="1025"/>
      <c r="AL94" s="293"/>
      <c r="AM94" s="293"/>
      <c r="AO94" s="1025"/>
      <c r="AQ94" s="408"/>
    </row>
    <row r="95" spans="3:43" ht="20.25" customHeight="1">
      <c r="C95" s="293"/>
      <c r="E95" s="293"/>
      <c r="G95" s="293"/>
      <c r="I95" s="1025"/>
      <c r="M95" s="1025"/>
      <c r="O95" s="1025"/>
      <c r="Q95" s="1025"/>
      <c r="S95" s="1025"/>
      <c r="U95" s="1025"/>
      <c r="W95" s="1025"/>
      <c r="Y95" s="1025"/>
      <c r="AA95" s="1025"/>
      <c r="AC95" s="1025"/>
      <c r="AE95" s="1025"/>
      <c r="AG95" s="1025"/>
      <c r="AI95" s="1025"/>
      <c r="AK95" s="1025"/>
      <c r="AL95" s="293"/>
      <c r="AM95" s="293"/>
      <c r="AO95" s="1025"/>
      <c r="AQ95" s="408"/>
    </row>
    <row r="96" spans="3:43" s="130" customFormat="1" ht="20.25" customHeight="1">
      <c r="C96" s="328"/>
      <c r="E96" s="328"/>
      <c r="G96" s="328"/>
      <c r="I96" s="1047"/>
      <c r="M96" s="1047"/>
      <c r="O96" s="1047"/>
      <c r="Q96" s="1047"/>
      <c r="S96" s="1047"/>
      <c r="U96" s="1047"/>
      <c r="W96" s="1047"/>
      <c r="Y96" s="1047"/>
      <c r="AA96" s="1047"/>
      <c r="AC96" s="1047"/>
      <c r="AE96" s="1047"/>
      <c r="AG96" s="1047"/>
      <c r="AI96" s="1047"/>
      <c r="AK96" s="1047"/>
      <c r="AL96" s="328"/>
      <c r="AM96" s="328"/>
      <c r="AO96" s="1047"/>
      <c r="AQ96" s="889"/>
    </row>
    <row r="97" spans="3:43" s="130" customFormat="1" ht="20.25" customHeight="1">
      <c r="C97" s="328"/>
      <c r="E97" s="328"/>
      <c r="G97" s="328"/>
      <c r="I97" s="1047"/>
      <c r="M97" s="1047"/>
      <c r="O97" s="1047"/>
      <c r="Q97" s="1047"/>
      <c r="S97" s="1047"/>
      <c r="U97" s="1047"/>
      <c r="W97" s="1047"/>
      <c r="Y97" s="1047"/>
      <c r="AA97" s="1047"/>
      <c r="AC97" s="1047"/>
      <c r="AE97" s="1047"/>
      <c r="AG97" s="1047"/>
      <c r="AI97" s="1047"/>
      <c r="AK97" s="1047"/>
      <c r="AL97" s="328"/>
      <c r="AM97" s="328"/>
      <c r="AO97" s="1047"/>
      <c r="AQ97" s="889"/>
    </row>
    <row r="98" spans="3:43" s="130" customFormat="1" ht="20.25" customHeight="1">
      <c r="C98" s="328"/>
      <c r="E98" s="328"/>
      <c r="G98" s="328"/>
      <c r="I98" s="1047"/>
      <c r="M98" s="1047"/>
      <c r="O98" s="1047"/>
      <c r="Q98" s="1047"/>
      <c r="S98" s="1047"/>
      <c r="U98" s="1047"/>
      <c r="W98" s="1047"/>
      <c r="Y98" s="1047"/>
      <c r="AA98" s="1047"/>
      <c r="AC98" s="1047"/>
      <c r="AE98" s="1047"/>
      <c r="AG98" s="1047"/>
      <c r="AI98" s="1047"/>
      <c r="AK98" s="1047"/>
      <c r="AL98" s="328"/>
      <c r="AM98" s="328"/>
      <c r="AO98" s="1047"/>
      <c r="AQ98" s="889"/>
    </row>
    <row r="99" spans="3:43" s="130" customFormat="1" ht="20.25" customHeight="1">
      <c r="C99" s="328"/>
      <c r="E99" s="328"/>
      <c r="G99" s="328"/>
      <c r="I99" s="1047"/>
      <c r="M99" s="1047"/>
      <c r="O99" s="1047"/>
      <c r="Q99" s="1047"/>
      <c r="S99" s="1047"/>
      <c r="U99" s="1047"/>
      <c r="W99" s="1047"/>
      <c r="Y99" s="1047"/>
      <c r="AA99" s="1047"/>
      <c r="AC99" s="1047"/>
      <c r="AE99" s="1047"/>
      <c r="AG99" s="1047"/>
      <c r="AI99" s="1047"/>
      <c r="AK99" s="1047"/>
      <c r="AL99" s="328"/>
      <c r="AM99" s="328"/>
      <c r="AO99" s="1047"/>
      <c r="AQ99" s="889"/>
    </row>
    <row r="100" spans="3:43" s="130" customFormat="1" ht="20.25" customHeight="1">
      <c r="C100" s="328"/>
      <c r="E100" s="328"/>
      <c r="G100" s="328"/>
      <c r="I100" s="1047"/>
      <c r="M100" s="1047"/>
      <c r="O100" s="1047"/>
      <c r="Q100" s="1047"/>
      <c r="S100" s="1047"/>
      <c r="U100" s="1047"/>
      <c r="W100" s="1047"/>
      <c r="Y100" s="1047"/>
      <c r="AA100" s="1047"/>
      <c r="AC100" s="1047"/>
      <c r="AE100" s="1047"/>
      <c r="AG100" s="1047"/>
      <c r="AI100" s="1047"/>
      <c r="AK100" s="1047"/>
      <c r="AL100" s="328"/>
      <c r="AM100" s="328"/>
      <c r="AO100" s="1047"/>
      <c r="AQ100" s="889"/>
    </row>
    <row r="101" spans="3:43" s="130" customFormat="1" ht="24" customHeight="1">
      <c r="C101" s="328"/>
      <c r="E101" s="328"/>
      <c r="G101" s="328"/>
      <c r="I101" s="1047"/>
      <c r="M101" s="1047"/>
      <c r="O101" s="1047"/>
      <c r="Q101" s="1047"/>
      <c r="S101" s="1047"/>
      <c r="U101" s="1047"/>
      <c r="W101" s="1047"/>
      <c r="Y101" s="1047"/>
      <c r="AA101" s="1047"/>
      <c r="AC101" s="1047"/>
      <c r="AE101" s="1047"/>
      <c r="AG101" s="1047"/>
      <c r="AI101" s="1047"/>
      <c r="AK101" s="1047"/>
      <c r="AL101" s="328"/>
      <c r="AM101" s="328"/>
      <c r="AO101" s="1047"/>
      <c r="AQ101" s="889"/>
    </row>
    <row r="102" spans="3:43" s="130" customFormat="1" ht="12.75">
      <c r="C102" s="328"/>
      <c r="E102" s="328"/>
      <c r="G102" s="328"/>
      <c r="I102" s="1047"/>
      <c r="M102" s="1047"/>
      <c r="O102" s="1047"/>
      <c r="Q102" s="1047"/>
      <c r="S102" s="1047"/>
      <c r="U102" s="1047"/>
      <c r="W102" s="1047"/>
      <c r="Y102" s="1047"/>
      <c r="AA102" s="1047"/>
      <c r="AC102" s="1047"/>
      <c r="AE102" s="1047"/>
      <c r="AG102" s="1047"/>
      <c r="AI102" s="1047"/>
      <c r="AK102" s="1047"/>
      <c r="AL102" s="328"/>
      <c r="AM102" s="328"/>
      <c r="AO102" s="1047"/>
      <c r="AQ102" s="889"/>
    </row>
    <row r="103" spans="3:43" s="130" customFormat="1" ht="12.75">
      <c r="C103" s="328"/>
      <c r="E103" s="328"/>
      <c r="G103" s="328"/>
      <c r="I103" s="1047"/>
      <c r="M103" s="1047"/>
      <c r="O103" s="1047"/>
      <c r="Q103" s="1047"/>
      <c r="S103" s="1047"/>
      <c r="U103" s="1047"/>
      <c r="W103" s="1047"/>
      <c r="Y103" s="1047"/>
      <c r="AA103" s="1047"/>
      <c r="AC103" s="1047"/>
      <c r="AE103" s="1047"/>
      <c r="AG103" s="1047"/>
      <c r="AI103" s="1047"/>
      <c r="AK103" s="1047"/>
      <c r="AL103" s="328"/>
      <c r="AM103" s="328"/>
      <c r="AO103" s="1047"/>
      <c r="AQ103" s="889"/>
    </row>
    <row r="104" spans="3:43" s="130" customFormat="1" ht="69" customHeight="1">
      <c r="C104" s="328"/>
      <c r="E104" s="328"/>
      <c r="G104" s="328"/>
      <c r="I104" s="1047"/>
      <c r="M104" s="1047"/>
      <c r="O104" s="1047"/>
      <c r="Q104" s="1047"/>
      <c r="S104" s="1047"/>
      <c r="U104" s="1047"/>
      <c r="W104" s="1047"/>
      <c r="Y104" s="1047"/>
      <c r="AA104" s="1047"/>
      <c r="AC104" s="1047"/>
      <c r="AE104" s="1047"/>
      <c r="AG104" s="1047"/>
      <c r="AI104" s="1047"/>
      <c r="AK104" s="1047"/>
      <c r="AL104" s="328"/>
      <c r="AM104" s="328"/>
      <c r="AO104" s="1047"/>
      <c r="AQ104" s="889"/>
    </row>
    <row r="105" spans="3:43" s="130" customFormat="1" ht="21.75" customHeight="1">
      <c r="C105" s="328"/>
      <c r="E105" s="328"/>
      <c r="G105" s="328"/>
      <c r="I105" s="1047"/>
      <c r="M105" s="1047"/>
      <c r="O105" s="1047"/>
      <c r="Q105" s="1047"/>
      <c r="S105" s="1047"/>
      <c r="U105" s="1047"/>
      <c r="W105" s="1047"/>
      <c r="Y105" s="1047"/>
      <c r="AA105" s="1047"/>
      <c r="AC105" s="1047"/>
      <c r="AE105" s="1047"/>
      <c r="AG105" s="1047"/>
      <c r="AI105" s="1047"/>
      <c r="AK105" s="1047"/>
      <c r="AL105" s="328"/>
      <c r="AM105" s="328"/>
      <c r="AO105" s="1047"/>
      <c r="AQ105" s="889"/>
    </row>
    <row r="106" spans="3:43" s="130" customFormat="1" ht="27" customHeight="1">
      <c r="C106" s="328"/>
      <c r="E106" s="328"/>
      <c r="G106" s="328"/>
      <c r="I106" s="1047"/>
      <c r="M106" s="1047"/>
      <c r="O106" s="1047"/>
      <c r="Q106" s="1047"/>
      <c r="S106" s="1047"/>
      <c r="U106" s="1047"/>
      <c r="W106" s="1047"/>
      <c r="Y106" s="1047"/>
      <c r="AA106" s="1047"/>
      <c r="AC106" s="1047"/>
      <c r="AE106" s="1047"/>
      <c r="AG106" s="1047"/>
      <c r="AI106" s="1047"/>
      <c r="AK106" s="1047"/>
      <c r="AL106" s="328"/>
      <c r="AM106" s="328"/>
      <c r="AO106" s="1047"/>
      <c r="AQ106" s="889"/>
    </row>
    <row r="107" spans="3:43" s="130" customFormat="1" ht="21" customHeight="1">
      <c r="C107" s="328"/>
      <c r="E107" s="328"/>
      <c r="G107" s="328"/>
      <c r="I107" s="1047"/>
      <c r="M107" s="1047"/>
      <c r="O107" s="1047"/>
      <c r="Q107" s="1047"/>
      <c r="S107" s="1047"/>
      <c r="U107" s="1047"/>
      <c r="W107" s="1047"/>
      <c r="Y107" s="1047"/>
      <c r="AA107" s="1047"/>
      <c r="AC107" s="1047"/>
      <c r="AE107" s="1047"/>
      <c r="AG107" s="1047"/>
      <c r="AI107" s="1047"/>
      <c r="AK107" s="1047"/>
      <c r="AL107" s="328"/>
      <c r="AM107" s="328"/>
      <c r="AO107" s="1047"/>
      <c r="AQ107" s="889"/>
    </row>
    <row r="108" spans="3:43" s="130" customFormat="1" ht="20.25" customHeight="1">
      <c r="C108" s="328"/>
      <c r="E108" s="328"/>
      <c r="G108" s="328"/>
      <c r="I108" s="1047"/>
      <c r="M108" s="1047"/>
      <c r="O108" s="1047"/>
      <c r="Q108" s="1047"/>
      <c r="S108" s="1047"/>
      <c r="U108" s="1047"/>
      <c r="W108" s="1047"/>
      <c r="Y108" s="1047"/>
      <c r="AA108" s="1047"/>
      <c r="AC108" s="1047"/>
      <c r="AE108" s="1047"/>
      <c r="AG108" s="1047"/>
      <c r="AI108" s="1047"/>
      <c r="AK108" s="1047"/>
      <c r="AL108" s="328"/>
      <c r="AM108" s="328"/>
      <c r="AO108" s="1047"/>
      <c r="AQ108" s="889"/>
    </row>
    <row r="109" spans="3:43" s="130" customFormat="1" ht="20.25" customHeight="1">
      <c r="C109" s="328"/>
      <c r="E109" s="328"/>
      <c r="G109" s="328"/>
      <c r="I109" s="1047"/>
      <c r="M109" s="1047"/>
      <c r="O109" s="1047"/>
      <c r="Q109" s="1047"/>
      <c r="S109" s="1047"/>
      <c r="U109" s="1047"/>
      <c r="W109" s="1047"/>
      <c r="Y109" s="1047"/>
      <c r="AA109" s="1047"/>
      <c r="AC109" s="1047"/>
      <c r="AE109" s="1047"/>
      <c r="AG109" s="1047"/>
      <c r="AI109" s="1047"/>
      <c r="AK109" s="1047"/>
      <c r="AL109" s="328"/>
      <c r="AM109" s="328"/>
      <c r="AO109" s="1047"/>
      <c r="AQ109" s="889"/>
    </row>
    <row r="110" spans="3:43" s="130" customFormat="1" ht="20.25" customHeight="1">
      <c r="C110" s="328"/>
      <c r="E110" s="328"/>
      <c r="G110" s="328"/>
      <c r="I110" s="1047"/>
      <c r="M110" s="1047"/>
      <c r="O110" s="1047"/>
      <c r="Q110" s="1047"/>
      <c r="S110" s="1047"/>
      <c r="U110" s="1047"/>
      <c r="W110" s="1047"/>
      <c r="Y110" s="1047"/>
      <c r="AA110" s="1047"/>
      <c r="AC110" s="1047"/>
      <c r="AE110" s="1047"/>
      <c r="AG110" s="1047"/>
      <c r="AI110" s="1047"/>
      <c r="AK110" s="1047"/>
      <c r="AL110" s="328"/>
      <c r="AM110" s="328"/>
      <c r="AO110" s="1047"/>
      <c r="AQ110" s="889"/>
    </row>
    <row r="111" spans="3:43" s="130" customFormat="1" ht="20.25" customHeight="1">
      <c r="C111" s="328"/>
      <c r="E111" s="328"/>
      <c r="G111" s="328"/>
      <c r="I111" s="1047"/>
      <c r="M111" s="1047"/>
      <c r="O111" s="1047"/>
      <c r="Q111" s="1047"/>
      <c r="S111" s="1047"/>
      <c r="U111" s="1047"/>
      <c r="W111" s="1047"/>
      <c r="Y111" s="1047"/>
      <c r="AA111" s="1047"/>
      <c r="AC111" s="1047"/>
      <c r="AE111" s="1047"/>
      <c r="AG111" s="1047"/>
      <c r="AI111" s="1047"/>
      <c r="AK111" s="1047"/>
      <c r="AL111" s="328"/>
      <c r="AM111" s="328"/>
      <c r="AO111" s="1047"/>
      <c r="AQ111" s="889"/>
    </row>
    <row r="112" spans="3:43" s="130" customFormat="1" ht="21.75" customHeight="1">
      <c r="C112" s="328"/>
      <c r="E112" s="328"/>
      <c r="G112" s="328"/>
      <c r="I112" s="1047"/>
      <c r="M112" s="1047"/>
      <c r="O112" s="1047"/>
      <c r="Q112" s="1047"/>
      <c r="S112" s="1047"/>
      <c r="U112" s="1047"/>
      <c r="W112" s="1047"/>
      <c r="Y112" s="1047"/>
      <c r="AA112" s="1047"/>
      <c r="AC112" s="1047"/>
      <c r="AE112" s="1047"/>
      <c r="AG112" s="1047"/>
      <c r="AI112" s="1047"/>
      <c r="AK112" s="1047"/>
      <c r="AL112" s="328"/>
      <c r="AM112" s="328"/>
      <c r="AO112" s="1047"/>
      <c r="AQ112" s="889"/>
    </row>
    <row r="113" spans="3:43" s="130" customFormat="1" ht="20.25" customHeight="1">
      <c r="C113" s="328"/>
      <c r="E113" s="328"/>
      <c r="G113" s="328"/>
      <c r="I113" s="1047"/>
      <c r="M113" s="1047"/>
      <c r="O113" s="1047"/>
      <c r="Q113" s="1047"/>
      <c r="S113" s="1047"/>
      <c r="U113" s="1047"/>
      <c r="W113" s="1047"/>
      <c r="Y113" s="1047"/>
      <c r="AA113" s="1047"/>
      <c r="AC113" s="1047"/>
      <c r="AE113" s="1047"/>
      <c r="AG113" s="1047"/>
      <c r="AI113" s="1047"/>
      <c r="AK113" s="1047"/>
      <c r="AL113" s="328"/>
      <c r="AM113" s="328"/>
      <c r="AO113" s="1047"/>
      <c r="AQ113" s="889"/>
    </row>
    <row r="114" spans="3:43" s="130" customFormat="1" ht="24" customHeight="1">
      <c r="C114" s="328"/>
      <c r="E114" s="328"/>
      <c r="G114" s="328"/>
      <c r="I114" s="1047"/>
      <c r="M114" s="1047"/>
      <c r="O114" s="1047"/>
      <c r="Q114" s="1047"/>
      <c r="S114" s="1047"/>
      <c r="U114" s="1047"/>
      <c r="W114" s="1047"/>
      <c r="Y114" s="1047"/>
      <c r="AA114" s="1047"/>
      <c r="AC114" s="1047"/>
      <c r="AE114" s="1047"/>
      <c r="AG114" s="1047"/>
      <c r="AI114" s="1047"/>
      <c r="AK114" s="1047"/>
      <c r="AL114" s="328"/>
      <c r="AM114" s="328"/>
      <c r="AO114" s="1047"/>
      <c r="AQ114" s="889"/>
    </row>
    <row r="115" spans="3:43" s="130" customFormat="1" ht="12.75">
      <c r="C115" s="328"/>
      <c r="E115" s="328"/>
      <c r="G115" s="328"/>
      <c r="I115" s="1047"/>
      <c r="M115" s="1047"/>
      <c r="O115" s="1047"/>
      <c r="Q115" s="1047"/>
      <c r="S115" s="1047"/>
      <c r="U115" s="1047"/>
      <c r="W115" s="1047"/>
      <c r="Y115" s="1047"/>
      <c r="AA115" s="1047"/>
      <c r="AC115" s="1047"/>
      <c r="AE115" s="1047"/>
      <c r="AG115" s="1047"/>
      <c r="AI115" s="1047"/>
      <c r="AK115" s="1047"/>
      <c r="AL115" s="328"/>
      <c r="AM115" s="328"/>
      <c r="AO115" s="1047"/>
      <c r="AQ115" s="889"/>
    </row>
    <row r="116" spans="3:43" s="130" customFormat="1" ht="12.75">
      <c r="C116" s="328"/>
      <c r="E116" s="328"/>
      <c r="G116" s="328"/>
      <c r="I116" s="1047"/>
      <c r="M116" s="1047"/>
      <c r="O116" s="1047"/>
      <c r="Q116" s="1047"/>
      <c r="S116" s="1047"/>
      <c r="U116" s="1047"/>
      <c r="W116" s="1047"/>
      <c r="Y116" s="1047"/>
      <c r="AA116" s="1047"/>
      <c r="AC116" s="1047"/>
      <c r="AE116" s="1047"/>
      <c r="AG116" s="1047"/>
      <c r="AI116" s="1047"/>
      <c r="AK116" s="1047"/>
      <c r="AL116" s="328"/>
      <c r="AM116" s="328"/>
      <c r="AO116" s="1047"/>
      <c r="AQ116" s="889"/>
    </row>
  </sheetData>
  <sheetProtection/>
  <mergeCells count="22">
    <mergeCell ref="AP2:AQ2"/>
    <mergeCell ref="AH2:AI2"/>
    <mergeCell ref="AF2:AG2"/>
    <mergeCell ref="AJ2:AK2"/>
    <mergeCell ref="AD2:AE2"/>
    <mergeCell ref="X2:Y2"/>
    <mergeCell ref="AL2:AM2"/>
    <mergeCell ref="T2:U2"/>
    <mergeCell ref="V2:W2"/>
    <mergeCell ref="L2:M2"/>
    <mergeCell ref="AN2:AO2"/>
    <mergeCell ref="AB2:AC2"/>
    <mergeCell ref="P2:Q2"/>
    <mergeCell ref="Z2:AA2"/>
    <mergeCell ref="R2:S2"/>
    <mergeCell ref="F2:G2"/>
    <mergeCell ref="H2:I2"/>
    <mergeCell ref="J2:K2"/>
    <mergeCell ref="N2:O2"/>
    <mergeCell ref="A2:A3"/>
    <mergeCell ref="B2:C2"/>
    <mergeCell ref="D2:E2"/>
  </mergeCells>
  <printOptions/>
  <pageMargins left="0" right="0" top="0.7874015748031497" bottom="0.2362204724409449" header="0.5511811023622047" footer="0.5118110236220472"/>
  <pageSetup horizontalDpi="600" verticalDpi="600" orientation="landscape" paperSize="9" scale="95" r:id="rId1"/>
  <headerFooter alignWithMargins="0">
    <oddHeader>&amp;L&amp;"Arial,Bold"&amp;9Appendix IV : Fellowship (IR) under Bilateral Programme (TICP FY2014)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L105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8" sqref="C8"/>
    </sheetView>
  </sheetViews>
  <sheetFormatPr defaultColWidth="9.140625" defaultRowHeight="12.75"/>
  <cols>
    <col min="1" max="1" width="20.8515625" style="275" customWidth="1"/>
    <col min="2" max="2" width="3.140625" style="244" customWidth="1"/>
    <col min="3" max="3" width="53.57421875" style="275" customWidth="1"/>
    <col min="4" max="4" width="5.00390625" style="576" customWidth="1"/>
    <col min="5" max="5" width="9.140625" style="563" customWidth="1"/>
    <col min="6" max="6" width="4.421875" style="576" customWidth="1"/>
    <col min="7" max="7" width="9.140625" style="563" customWidth="1"/>
    <col min="8" max="8" width="4.8515625" style="577" customWidth="1"/>
    <col min="9" max="9" width="9.00390625" style="563" customWidth="1"/>
    <col min="10" max="10" width="9.140625" style="563" customWidth="1"/>
    <col min="11" max="11" width="9.57421875" style="563" customWidth="1"/>
    <col min="12" max="12" width="10.00390625" style="563" customWidth="1"/>
    <col min="13" max="16384" width="9.140625" style="275" customWidth="1"/>
  </cols>
  <sheetData>
    <row r="1" spans="1:11" ht="23.25" thickBot="1">
      <c r="A1" s="538" t="s">
        <v>321</v>
      </c>
      <c r="B1" s="595"/>
      <c r="C1" s="561"/>
      <c r="D1" s="528"/>
      <c r="E1" s="527"/>
      <c r="F1" s="528"/>
      <c r="G1" s="527"/>
      <c r="H1" s="562"/>
      <c r="K1" s="419" t="s">
        <v>95</v>
      </c>
    </row>
    <row r="2" spans="1:12" s="578" customFormat="1" ht="22.5" thickBot="1">
      <c r="A2" s="1195" t="s">
        <v>1</v>
      </c>
      <c r="B2" s="1197"/>
      <c r="C2" s="1195" t="s">
        <v>96</v>
      </c>
      <c r="D2" s="1190" t="s">
        <v>110</v>
      </c>
      <c r="E2" s="1190"/>
      <c r="F2" s="1190" t="s">
        <v>62</v>
      </c>
      <c r="G2" s="1190"/>
      <c r="H2" s="1190" t="s">
        <v>63</v>
      </c>
      <c r="I2" s="1190"/>
      <c r="J2" s="1191" t="s">
        <v>59</v>
      </c>
      <c r="K2" s="1193" t="s">
        <v>60</v>
      </c>
      <c r="L2" s="1193" t="s">
        <v>61</v>
      </c>
    </row>
    <row r="3" spans="1:12" s="578" customFormat="1" ht="27" customHeight="1" thickBot="1">
      <c r="A3" s="1196"/>
      <c r="B3" s="1198"/>
      <c r="C3" s="1199"/>
      <c r="D3" s="539" t="s">
        <v>10</v>
      </c>
      <c r="E3" s="540" t="s">
        <v>9</v>
      </c>
      <c r="F3" s="719" t="s">
        <v>10</v>
      </c>
      <c r="G3" s="902" t="s">
        <v>9</v>
      </c>
      <c r="H3" s="719" t="s">
        <v>10</v>
      </c>
      <c r="I3" s="902" t="s">
        <v>9</v>
      </c>
      <c r="J3" s="1192"/>
      <c r="K3" s="1194"/>
      <c r="L3" s="1194"/>
    </row>
    <row r="4" spans="1:12" s="578" customFormat="1" ht="26.25" customHeight="1">
      <c r="A4" s="529" t="s">
        <v>285</v>
      </c>
      <c r="B4" s="596"/>
      <c r="C4" s="550" t="s">
        <v>99</v>
      </c>
      <c r="D4" s="541"/>
      <c r="E4" s="542"/>
      <c r="F4" s="928"/>
      <c r="G4" s="929"/>
      <c r="H4" s="928"/>
      <c r="I4" s="929"/>
      <c r="J4" s="930"/>
      <c r="K4" s="931"/>
      <c r="L4" s="931"/>
    </row>
    <row r="5" spans="1:12" s="578" customFormat="1" ht="22.5" customHeight="1">
      <c r="A5" s="557" t="s">
        <v>286</v>
      </c>
      <c r="B5" s="596">
        <v>1</v>
      </c>
      <c r="C5" s="912" t="s">
        <v>409</v>
      </c>
      <c r="D5" s="982">
        <v>2</v>
      </c>
      <c r="E5" s="913">
        <v>87.1</v>
      </c>
      <c r="F5" s="983"/>
      <c r="G5" s="984"/>
      <c r="H5" s="985"/>
      <c r="I5" s="986"/>
      <c r="J5" s="932"/>
      <c r="K5" s="935"/>
      <c r="L5" s="932">
        <f>SUM(E5+G5+I5+J5)</f>
        <v>87.1</v>
      </c>
    </row>
    <row r="6" spans="1:12" s="578" customFormat="1" ht="23.25" customHeight="1">
      <c r="A6" s="579"/>
      <c r="B6" s="597"/>
      <c r="C6" s="546" t="s">
        <v>100</v>
      </c>
      <c r="D6" s="548">
        <f>SUM(D5)</f>
        <v>2</v>
      </c>
      <c r="E6" s="927">
        <f aca="true" t="shared" si="0" ref="E6:K6">SUM(E5)</f>
        <v>87.1</v>
      </c>
      <c r="F6" s="548">
        <f t="shared" si="0"/>
        <v>0</v>
      </c>
      <c r="G6" s="548">
        <f t="shared" si="0"/>
        <v>0</v>
      </c>
      <c r="H6" s="548">
        <f t="shared" si="0"/>
        <v>0</v>
      </c>
      <c r="I6" s="548">
        <f t="shared" si="0"/>
        <v>0</v>
      </c>
      <c r="J6" s="548">
        <f t="shared" si="0"/>
        <v>0</v>
      </c>
      <c r="K6" s="548">
        <f t="shared" si="0"/>
        <v>0</v>
      </c>
      <c r="L6" s="927">
        <f>SUM(L5:L5)</f>
        <v>87.1</v>
      </c>
    </row>
    <row r="7" spans="1:12" s="578" customFormat="1" ht="26.25" customHeight="1">
      <c r="A7" s="529" t="s">
        <v>284</v>
      </c>
      <c r="B7" s="596"/>
      <c r="C7" s="550" t="s">
        <v>99</v>
      </c>
      <c r="D7" s="541"/>
      <c r="E7" s="542"/>
      <c r="F7" s="928"/>
      <c r="G7" s="929"/>
      <c r="H7" s="928"/>
      <c r="I7" s="929"/>
      <c r="J7" s="930"/>
      <c r="K7" s="931"/>
      <c r="L7" s="931"/>
    </row>
    <row r="8" spans="1:12" s="578" customFormat="1" ht="39.75" customHeight="1">
      <c r="A8" s="530" t="s">
        <v>150</v>
      </c>
      <c r="B8" s="596">
        <v>2</v>
      </c>
      <c r="C8" s="912" t="s">
        <v>414</v>
      </c>
      <c r="D8" s="982">
        <v>2</v>
      </c>
      <c r="E8" s="913">
        <v>1083.1</v>
      </c>
      <c r="F8" s="933"/>
      <c r="G8" s="934"/>
      <c r="H8" s="985"/>
      <c r="I8" s="986"/>
      <c r="J8" s="913"/>
      <c r="K8" s="934"/>
      <c r="L8" s="932">
        <f>SUM(E8+G8+I8+J8)</f>
        <v>1083.1</v>
      </c>
    </row>
    <row r="9" spans="1:12" s="578" customFormat="1" ht="40.5">
      <c r="A9" s="530" t="s">
        <v>176</v>
      </c>
      <c r="B9" s="596">
        <v>3</v>
      </c>
      <c r="C9" s="912" t="s">
        <v>410</v>
      </c>
      <c r="D9" s="1087"/>
      <c r="E9" s="1088"/>
      <c r="F9" s="933"/>
      <c r="G9" s="934"/>
      <c r="H9" s="985">
        <v>3</v>
      </c>
      <c r="I9" s="986">
        <f>17.6</f>
        <v>17.6</v>
      </c>
      <c r="J9" s="913"/>
      <c r="K9" s="934"/>
      <c r="L9" s="932">
        <f>SUM(E9+G9+I9+J9)</f>
        <v>17.6</v>
      </c>
    </row>
    <row r="10" spans="1:12" s="578" customFormat="1" ht="23.25" customHeight="1">
      <c r="A10" s="579"/>
      <c r="B10" s="597"/>
      <c r="C10" s="546" t="s">
        <v>100</v>
      </c>
      <c r="D10" s="548">
        <f>SUM(D8:D9)</f>
        <v>2</v>
      </c>
      <c r="E10" s="927">
        <f aca="true" t="shared" si="1" ref="E10:K10">SUM(E8:E9)</f>
        <v>1083.1</v>
      </c>
      <c r="F10" s="548">
        <f t="shared" si="1"/>
        <v>0</v>
      </c>
      <c r="G10" s="548">
        <f t="shared" si="1"/>
        <v>0</v>
      </c>
      <c r="H10" s="548">
        <f t="shared" si="1"/>
        <v>3</v>
      </c>
      <c r="I10" s="927">
        <f t="shared" si="1"/>
        <v>17.6</v>
      </c>
      <c r="J10" s="548">
        <f t="shared" si="1"/>
        <v>0</v>
      </c>
      <c r="K10" s="548">
        <f t="shared" si="1"/>
        <v>0</v>
      </c>
      <c r="L10" s="927">
        <f>SUM(L8:L9)</f>
        <v>1100.6999999999998</v>
      </c>
    </row>
    <row r="11" spans="1:12" s="578" customFormat="1" ht="21.75">
      <c r="A11" s="529" t="s">
        <v>155</v>
      </c>
      <c r="B11" s="598"/>
      <c r="C11" s="550" t="s">
        <v>98</v>
      </c>
      <c r="D11" s="580"/>
      <c r="E11" s="551"/>
      <c r="F11" s="580"/>
      <c r="G11" s="551"/>
      <c r="H11" s="581"/>
      <c r="I11" s="551"/>
      <c r="J11" s="551"/>
      <c r="K11" s="551"/>
      <c r="L11" s="551"/>
    </row>
    <row r="12" spans="1:12" s="578" customFormat="1" ht="24.75" customHeight="1">
      <c r="A12" s="530" t="s">
        <v>420</v>
      </c>
      <c r="B12" s="596">
        <v>4</v>
      </c>
      <c r="C12" s="914" t="s">
        <v>421</v>
      </c>
      <c r="D12" s="982">
        <v>20</v>
      </c>
      <c r="E12" s="913">
        <f>697.851*1.1</f>
        <v>767.6361</v>
      </c>
      <c r="F12" s="541"/>
      <c r="G12" s="542"/>
      <c r="H12" s="543"/>
      <c r="I12" s="542"/>
      <c r="J12" s="542"/>
      <c r="K12" s="542"/>
      <c r="L12" s="1040">
        <f>SUM(E12,G12,I12,J12,K12)</f>
        <v>767.6361</v>
      </c>
    </row>
    <row r="13" spans="1:12" s="578" customFormat="1" ht="21.75">
      <c r="A13" s="550"/>
      <c r="B13" s="596"/>
      <c r="C13" s="550" t="s">
        <v>99</v>
      </c>
      <c r="D13" s="541"/>
      <c r="E13" s="542"/>
      <c r="F13" s="541"/>
      <c r="G13" s="542"/>
      <c r="H13" s="543"/>
      <c r="I13" s="542"/>
      <c r="J13" s="542"/>
      <c r="K13" s="542"/>
      <c r="L13" s="542"/>
    </row>
    <row r="14" spans="1:12" s="578" customFormat="1" ht="25.5" customHeight="1">
      <c r="A14" s="530" t="s">
        <v>400</v>
      </c>
      <c r="B14" s="596">
        <v>5</v>
      </c>
      <c r="C14" s="1090" t="s">
        <v>401</v>
      </c>
      <c r="D14" s="989">
        <v>5</v>
      </c>
      <c r="E14" s="987">
        <f>128.275*1.1</f>
        <v>141.10250000000002</v>
      </c>
      <c r="F14" s="989"/>
      <c r="G14" s="987"/>
      <c r="H14" s="990"/>
      <c r="I14" s="987"/>
      <c r="J14" s="542"/>
      <c r="K14" s="542"/>
      <c r="L14" s="1040">
        <f>SUM(E14,G14,I14,J14,K14)</f>
        <v>141.10250000000002</v>
      </c>
    </row>
    <row r="15" spans="1:12" s="564" customFormat="1" ht="39.75" customHeight="1">
      <c r="A15" s="530" t="s">
        <v>205</v>
      </c>
      <c r="B15" s="552">
        <v>6</v>
      </c>
      <c r="C15" s="653" t="s">
        <v>204</v>
      </c>
      <c r="D15" s="982"/>
      <c r="E15" s="913"/>
      <c r="F15" s="982">
        <v>0</v>
      </c>
      <c r="G15" s="913">
        <v>255.9</v>
      </c>
      <c r="H15" s="988"/>
      <c r="I15" s="920"/>
      <c r="J15" s="566"/>
      <c r="K15" s="545"/>
      <c r="L15" s="1040">
        <f>SUM(E15,G15,I15,J15,K15)</f>
        <v>255.9</v>
      </c>
    </row>
    <row r="16" spans="1:12" s="564" customFormat="1" ht="25.5" customHeight="1">
      <c r="A16" s="530" t="s">
        <v>282</v>
      </c>
      <c r="B16" s="552">
        <v>7</v>
      </c>
      <c r="C16" s="653" t="s">
        <v>206</v>
      </c>
      <c r="D16" s="982">
        <v>10</v>
      </c>
      <c r="E16" s="913">
        <v>2379.5</v>
      </c>
      <c r="F16" s="982"/>
      <c r="G16" s="913"/>
      <c r="H16" s="988"/>
      <c r="I16" s="920"/>
      <c r="J16" s="566"/>
      <c r="K16" s="545"/>
      <c r="L16" s="1040">
        <f>SUM(E16,G16,I16,J16,K16)</f>
        <v>2379.5</v>
      </c>
    </row>
    <row r="17" spans="1:12" s="564" customFormat="1" ht="42">
      <c r="A17" s="837"/>
      <c r="B17" s="552">
        <v>8</v>
      </c>
      <c r="C17" s="1084" t="s">
        <v>415</v>
      </c>
      <c r="D17" s="989"/>
      <c r="E17" s="987"/>
      <c r="F17" s="989"/>
      <c r="G17" s="987"/>
      <c r="H17" s="977">
        <v>1</v>
      </c>
      <c r="I17" s="913">
        <f>23.6*1.1</f>
        <v>25.960000000000004</v>
      </c>
      <c r="J17" s="570"/>
      <c r="K17" s="570"/>
      <c r="L17" s="1040">
        <f>SUM(E17,G17,I17,J17,K17)</f>
        <v>25.960000000000004</v>
      </c>
    </row>
    <row r="18" spans="1:12" s="578" customFormat="1" ht="24" customHeight="1">
      <c r="A18" s="579"/>
      <c r="B18" s="597"/>
      <c r="C18" s="546" t="s">
        <v>100</v>
      </c>
      <c r="D18" s="548">
        <f>SUM(D12:D17)</f>
        <v>35</v>
      </c>
      <c r="E18" s="927">
        <f aca="true" t="shared" si="2" ref="E18:K18">SUM(E12:E17)</f>
        <v>3288.2386</v>
      </c>
      <c r="F18" s="548">
        <f t="shared" si="2"/>
        <v>0</v>
      </c>
      <c r="G18" s="927">
        <f t="shared" si="2"/>
        <v>255.9</v>
      </c>
      <c r="H18" s="548">
        <f t="shared" si="2"/>
        <v>1</v>
      </c>
      <c r="I18" s="927">
        <f t="shared" si="2"/>
        <v>25.960000000000004</v>
      </c>
      <c r="J18" s="548">
        <f t="shared" si="2"/>
        <v>0</v>
      </c>
      <c r="K18" s="548">
        <f t="shared" si="2"/>
        <v>0</v>
      </c>
      <c r="L18" s="927">
        <f>SUM(L12:L17)</f>
        <v>3570.0986000000003</v>
      </c>
    </row>
    <row r="19" spans="1:12" s="578" customFormat="1" ht="21.75">
      <c r="A19" s="529" t="s">
        <v>97</v>
      </c>
      <c r="B19" s="598"/>
      <c r="C19" s="529" t="s">
        <v>98</v>
      </c>
      <c r="D19" s="582"/>
      <c r="E19" s="583"/>
      <c r="F19" s="582"/>
      <c r="G19" s="583"/>
      <c r="H19" s="584"/>
      <c r="I19" s="583"/>
      <c r="J19" s="583"/>
      <c r="K19" s="583"/>
      <c r="L19" s="555"/>
    </row>
    <row r="20" spans="1:12" s="567" customFormat="1" ht="60.75">
      <c r="A20" s="531" t="s">
        <v>149</v>
      </c>
      <c r="B20" s="544">
        <v>9</v>
      </c>
      <c r="C20" s="530" t="s">
        <v>296</v>
      </c>
      <c r="D20" s="982"/>
      <c r="E20" s="913"/>
      <c r="F20" s="982">
        <v>2</v>
      </c>
      <c r="G20" s="913">
        <v>166</v>
      </c>
      <c r="H20" s="977"/>
      <c r="I20" s="913"/>
      <c r="J20" s="913"/>
      <c r="K20" s="913">
        <v>30000</v>
      </c>
      <c r="L20" s="1040">
        <f>SUM(E20,G20,I20,J20,K20)</f>
        <v>30166</v>
      </c>
    </row>
    <row r="21" spans="1:12" s="567" customFormat="1" ht="21.75">
      <c r="A21" s="530" t="s">
        <v>150</v>
      </c>
      <c r="B21" s="567">
        <v>10</v>
      </c>
      <c r="C21" s="567" t="s">
        <v>220</v>
      </c>
      <c r="D21" s="991"/>
      <c r="E21" s="991"/>
      <c r="F21" s="991"/>
      <c r="G21" s="991"/>
      <c r="H21" s="991"/>
      <c r="I21" s="991"/>
      <c r="J21" s="991"/>
      <c r="K21" s="992">
        <v>29000</v>
      </c>
      <c r="L21" s="1040">
        <f>SUM(E21,G21,I21,J21,K21)</f>
        <v>29000</v>
      </c>
    </row>
    <row r="22" spans="1:12" s="280" customFormat="1" ht="21.75">
      <c r="A22" s="530"/>
      <c r="B22" s="585"/>
      <c r="C22" s="550" t="s">
        <v>99</v>
      </c>
      <c r="D22" s="993"/>
      <c r="E22" s="920"/>
      <c r="F22" s="993"/>
      <c r="G22" s="920"/>
      <c r="H22" s="988"/>
      <c r="I22" s="920"/>
      <c r="J22" s="920"/>
      <c r="K22" s="920"/>
      <c r="L22" s="1040"/>
    </row>
    <row r="23" spans="1:12" s="280" customFormat="1" ht="42">
      <c r="A23" s="557" t="s">
        <v>315</v>
      </c>
      <c r="B23" s="585">
        <v>11</v>
      </c>
      <c r="C23" s="914" t="s">
        <v>388</v>
      </c>
      <c r="D23" s="993">
        <v>40</v>
      </c>
      <c r="E23" s="920">
        <f>3402.768*1.1</f>
        <v>3743.0448</v>
      </c>
      <c r="F23" s="993"/>
      <c r="G23" s="920"/>
      <c r="H23" s="988">
        <v>6</v>
      </c>
      <c r="I23" s="920">
        <v>4.8</v>
      </c>
      <c r="J23" s="920"/>
      <c r="K23" s="920"/>
      <c r="L23" s="1040">
        <f>SUM(E23,G23,I23,J23,K23)</f>
        <v>3747.8448000000003</v>
      </c>
    </row>
    <row r="24" spans="1:12" s="280" customFormat="1" ht="42">
      <c r="A24" s="557"/>
      <c r="B24" s="585">
        <v>12</v>
      </c>
      <c r="C24" s="914" t="s">
        <v>390</v>
      </c>
      <c r="D24" s="993"/>
      <c r="E24" s="920"/>
      <c r="F24" s="993"/>
      <c r="G24" s="920"/>
      <c r="H24" s="988">
        <v>10</v>
      </c>
      <c r="I24" s="920">
        <v>237.3</v>
      </c>
      <c r="J24" s="920"/>
      <c r="K24" s="920"/>
      <c r="L24" s="1040">
        <v>237.3</v>
      </c>
    </row>
    <row r="25" spans="1:12" s="280" customFormat="1" ht="21.75">
      <c r="A25" s="531" t="s">
        <v>222</v>
      </c>
      <c r="B25" s="544">
        <v>13</v>
      </c>
      <c r="C25" s="535" t="s">
        <v>187</v>
      </c>
      <c r="D25" s="982"/>
      <c r="E25" s="913"/>
      <c r="F25" s="982"/>
      <c r="G25" s="913">
        <v>596.3</v>
      </c>
      <c r="H25" s="977">
        <v>5</v>
      </c>
      <c r="I25" s="913">
        <f>1000.6+62.4</f>
        <v>1063</v>
      </c>
      <c r="J25" s="913">
        <v>290.4</v>
      </c>
      <c r="K25" s="913"/>
      <c r="L25" s="1040">
        <f>SUM(E25,G25,I25,J25,K25)</f>
        <v>1949.6999999999998</v>
      </c>
    </row>
    <row r="26" spans="1:12" s="280" customFormat="1" ht="21.75">
      <c r="A26" s="568"/>
      <c r="B26" s="544">
        <v>14</v>
      </c>
      <c r="C26" s="914" t="s">
        <v>389</v>
      </c>
      <c r="D26" s="982"/>
      <c r="E26" s="913"/>
      <c r="F26" s="982">
        <v>1</v>
      </c>
      <c r="G26" s="913">
        <v>64</v>
      </c>
      <c r="H26" s="977"/>
      <c r="I26" s="913"/>
      <c r="J26" s="913"/>
      <c r="K26" s="913"/>
      <c r="L26" s="1040">
        <f>SUM(E26,G26,I26,J26,K26)</f>
        <v>64</v>
      </c>
    </row>
    <row r="27" spans="1:12" s="280" customFormat="1" ht="42">
      <c r="A27" s="1085" t="s">
        <v>387</v>
      </c>
      <c r="B27" s="585">
        <v>15</v>
      </c>
      <c r="C27" s="919" t="s">
        <v>262</v>
      </c>
      <c r="D27" s="993"/>
      <c r="E27" s="920"/>
      <c r="F27" s="993"/>
      <c r="G27" s="920"/>
      <c r="H27" s="988">
        <v>6</v>
      </c>
      <c r="I27" s="920">
        <v>385.1</v>
      </c>
      <c r="J27" s="920"/>
      <c r="K27" s="920"/>
      <c r="L27" s="1040">
        <f>SUM(E27,G27,I27,J27,K27)</f>
        <v>385.1</v>
      </c>
    </row>
    <row r="28" spans="1:12" s="578" customFormat="1" ht="21.75">
      <c r="A28" s="579"/>
      <c r="B28" s="597"/>
      <c r="C28" s="546" t="s">
        <v>100</v>
      </c>
      <c r="D28" s="549">
        <f>SUM(D20:D27)</f>
        <v>40</v>
      </c>
      <c r="E28" s="547">
        <f aca="true" t="shared" si="3" ref="E28:K28">SUM(E20:E27)</f>
        <v>3743.0448</v>
      </c>
      <c r="F28" s="549">
        <f t="shared" si="3"/>
        <v>3</v>
      </c>
      <c r="G28" s="547">
        <f t="shared" si="3"/>
        <v>826.3</v>
      </c>
      <c r="H28" s="549">
        <f t="shared" si="3"/>
        <v>27</v>
      </c>
      <c r="I28" s="547">
        <f t="shared" si="3"/>
        <v>1690.1999999999998</v>
      </c>
      <c r="J28" s="547">
        <f t="shared" si="3"/>
        <v>290.4</v>
      </c>
      <c r="K28" s="547">
        <f t="shared" si="3"/>
        <v>59000</v>
      </c>
      <c r="L28" s="547">
        <f>SUM(L20:L27)</f>
        <v>65549.9448</v>
      </c>
    </row>
    <row r="29" spans="1:12" s="578" customFormat="1" ht="21.75">
      <c r="A29" s="550" t="s">
        <v>406</v>
      </c>
      <c r="B29" s="596"/>
      <c r="C29" s="550" t="s">
        <v>99</v>
      </c>
      <c r="D29" s="541"/>
      <c r="E29" s="542"/>
      <c r="F29" s="541"/>
      <c r="G29" s="542"/>
      <c r="H29" s="543"/>
      <c r="I29" s="542"/>
      <c r="J29" s="542"/>
      <c r="K29" s="542"/>
      <c r="L29" s="551"/>
    </row>
    <row r="30" spans="1:12" s="564" customFormat="1" ht="22.5" customHeight="1">
      <c r="A30" s="530" t="s">
        <v>407</v>
      </c>
      <c r="B30" s="544">
        <v>16</v>
      </c>
      <c r="C30" s="1089" t="s">
        <v>408</v>
      </c>
      <c r="D30" s="553">
        <v>3</v>
      </c>
      <c r="E30" s="554">
        <v>149</v>
      </c>
      <c r="F30" s="553"/>
      <c r="G30" s="553"/>
      <c r="H30" s="556"/>
      <c r="I30" s="553"/>
      <c r="J30" s="920"/>
      <c r="K30" s="545"/>
      <c r="L30" s="1040">
        <f>SUM(E30,G30,I30,J30,K30)</f>
        <v>149</v>
      </c>
    </row>
    <row r="31" spans="1:12" s="578" customFormat="1" ht="21.75">
      <c r="A31" s="579"/>
      <c r="B31" s="597"/>
      <c r="C31" s="546" t="s">
        <v>100</v>
      </c>
      <c r="D31" s="549">
        <f>SUM(D30)</f>
        <v>3</v>
      </c>
      <c r="E31" s="547">
        <f aca="true" t="shared" si="4" ref="E31:K31">SUM(E30)</f>
        <v>149</v>
      </c>
      <c r="F31" s="549">
        <f t="shared" si="4"/>
        <v>0</v>
      </c>
      <c r="G31" s="549">
        <f t="shared" si="4"/>
        <v>0</v>
      </c>
      <c r="H31" s="549">
        <f t="shared" si="4"/>
        <v>0</v>
      </c>
      <c r="I31" s="549">
        <f t="shared" si="4"/>
        <v>0</v>
      </c>
      <c r="J31" s="549">
        <f t="shared" si="4"/>
        <v>0</v>
      </c>
      <c r="K31" s="549">
        <f t="shared" si="4"/>
        <v>0</v>
      </c>
      <c r="L31" s="547">
        <f>SUM(L30)</f>
        <v>149</v>
      </c>
    </row>
    <row r="32" spans="1:12" s="578" customFormat="1" ht="21.75">
      <c r="A32" s="926" t="s">
        <v>402</v>
      </c>
      <c r="B32" s="598"/>
      <c r="C32" s="550" t="s">
        <v>99</v>
      </c>
      <c r="D32" s="580"/>
      <c r="E32" s="551"/>
      <c r="F32" s="580"/>
      <c r="G32" s="551"/>
      <c r="H32" s="581"/>
      <c r="I32" s="551"/>
      <c r="J32" s="551"/>
      <c r="K32" s="551"/>
      <c r="L32" s="551"/>
    </row>
    <row r="33" spans="1:12" s="564" customFormat="1" ht="40.5">
      <c r="A33" s="557" t="s">
        <v>403</v>
      </c>
      <c r="B33" s="552">
        <v>17</v>
      </c>
      <c r="C33" s="914" t="s">
        <v>404</v>
      </c>
      <c r="D33" s="592">
        <v>8</v>
      </c>
      <c r="E33" s="591">
        <v>30.4</v>
      </c>
      <c r="F33" s="592"/>
      <c r="G33" s="591"/>
      <c r="H33" s="593"/>
      <c r="I33" s="917"/>
      <c r="J33" s="594"/>
      <c r="K33" s="594"/>
      <c r="L33" s="1040">
        <f>SUM(E33,G33,I33,J33,K33)</f>
        <v>30.4</v>
      </c>
    </row>
    <row r="34" spans="1:12" s="578" customFormat="1" ht="21.75">
      <c r="A34" s="782"/>
      <c r="B34" s="783"/>
      <c r="C34" s="546" t="s">
        <v>100</v>
      </c>
      <c r="D34" s="785">
        <f>SUM(D33)</f>
        <v>8</v>
      </c>
      <c r="E34" s="786">
        <f aca="true" t="shared" si="5" ref="E34:K34">SUM(E33)</f>
        <v>30.4</v>
      </c>
      <c r="F34" s="785">
        <f t="shared" si="5"/>
        <v>0</v>
      </c>
      <c r="G34" s="785">
        <f t="shared" si="5"/>
        <v>0</v>
      </c>
      <c r="H34" s="785">
        <f t="shared" si="5"/>
        <v>0</v>
      </c>
      <c r="I34" s="785">
        <f t="shared" si="5"/>
        <v>0</v>
      </c>
      <c r="J34" s="785">
        <f t="shared" si="5"/>
        <v>0</v>
      </c>
      <c r="K34" s="785">
        <f t="shared" si="5"/>
        <v>0</v>
      </c>
      <c r="L34" s="978">
        <f>SUM(L33)</f>
        <v>30.4</v>
      </c>
    </row>
    <row r="35" spans="1:12" s="578" customFormat="1" ht="21.75">
      <c r="A35" s="529" t="s">
        <v>101</v>
      </c>
      <c r="B35" s="598"/>
      <c r="C35" s="529" t="s">
        <v>98</v>
      </c>
      <c r="D35" s="580"/>
      <c r="E35" s="551"/>
      <c r="F35" s="580"/>
      <c r="G35" s="551"/>
      <c r="H35" s="581"/>
      <c r="I35" s="551"/>
      <c r="J35" s="551"/>
      <c r="K35" s="551"/>
      <c r="L35" s="551"/>
    </row>
    <row r="36" spans="1:12" s="564" customFormat="1" ht="60.75">
      <c r="A36" s="530" t="s">
        <v>150</v>
      </c>
      <c r="B36" s="552">
        <v>18</v>
      </c>
      <c r="C36" s="530" t="s">
        <v>168</v>
      </c>
      <c r="D36" s="910">
        <v>64</v>
      </c>
      <c r="E36" s="911">
        <v>356.4</v>
      </c>
      <c r="F36" s="910"/>
      <c r="G36" s="911"/>
      <c r="H36" s="909"/>
      <c r="I36" s="917"/>
      <c r="J36" s="917"/>
      <c r="K36" s="917"/>
      <c r="L36" s="1040">
        <f>SUM(E36,G36,I36,J36,K36)</f>
        <v>356.4</v>
      </c>
    </row>
    <row r="37" spans="2:12" s="578" customFormat="1" ht="21.75">
      <c r="B37" s="590"/>
      <c r="C37" s="550" t="s">
        <v>99</v>
      </c>
      <c r="D37" s="994"/>
      <c r="E37" s="995"/>
      <c r="F37" s="994"/>
      <c r="G37" s="995"/>
      <c r="H37" s="996"/>
      <c r="I37" s="997"/>
      <c r="J37" s="997"/>
      <c r="K37" s="997"/>
      <c r="L37" s="995"/>
    </row>
    <row r="38" spans="1:12" s="564" customFormat="1" ht="21">
      <c r="A38" s="530" t="s">
        <v>151</v>
      </c>
      <c r="B38" s="552">
        <v>19</v>
      </c>
      <c r="C38" s="575" t="s">
        <v>174</v>
      </c>
      <c r="D38" s="910"/>
      <c r="E38" s="911"/>
      <c r="F38" s="910">
        <v>2</v>
      </c>
      <c r="G38" s="911">
        <v>817.5</v>
      </c>
      <c r="H38" s="909"/>
      <c r="I38" s="917"/>
      <c r="J38" s="917"/>
      <c r="K38" s="917"/>
      <c r="L38" s="920">
        <f>SUM(E38,G38,I38,J38,K38)</f>
        <v>817.5</v>
      </c>
    </row>
    <row r="39" spans="1:12" s="564" customFormat="1" ht="21">
      <c r="A39" s="532"/>
      <c r="B39" s="552">
        <v>20</v>
      </c>
      <c r="C39" s="575" t="s">
        <v>210</v>
      </c>
      <c r="D39" s="910"/>
      <c r="E39" s="911"/>
      <c r="F39" s="910"/>
      <c r="G39" s="911"/>
      <c r="H39" s="909"/>
      <c r="I39" s="917"/>
      <c r="J39" s="917"/>
      <c r="K39" s="917"/>
      <c r="L39" s="920"/>
    </row>
    <row r="40" spans="1:12" s="564" customFormat="1" ht="42">
      <c r="A40" s="532"/>
      <c r="B40" s="552"/>
      <c r="C40" s="720" t="s">
        <v>211</v>
      </c>
      <c r="D40" s="910"/>
      <c r="E40" s="911"/>
      <c r="F40" s="910">
        <v>0</v>
      </c>
      <c r="G40" s="911">
        <v>325.8</v>
      </c>
      <c r="H40" s="909"/>
      <c r="I40" s="917"/>
      <c r="J40" s="917"/>
      <c r="K40" s="917"/>
      <c r="L40" s="920">
        <f aca="true" t="shared" si="6" ref="L40:L64">SUM(E40,G40,I40,J40,K40)</f>
        <v>325.8</v>
      </c>
    </row>
    <row r="41" spans="1:12" s="564" customFormat="1" ht="21">
      <c r="A41" s="532"/>
      <c r="B41" s="552"/>
      <c r="C41" s="720" t="s">
        <v>212</v>
      </c>
      <c r="D41" s="910"/>
      <c r="E41" s="911"/>
      <c r="F41" s="910">
        <v>0</v>
      </c>
      <c r="G41" s="911">
        <v>158.3</v>
      </c>
      <c r="H41" s="909"/>
      <c r="I41" s="917"/>
      <c r="J41" s="917"/>
      <c r="K41" s="917"/>
      <c r="L41" s="920">
        <f t="shared" si="6"/>
        <v>158.3</v>
      </c>
    </row>
    <row r="42" spans="1:12" s="564" customFormat="1" ht="21">
      <c r="A42" s="532"/>
      <c r="B42" s="552">
        <v>21</v>
      </c>
      <c r="C42" s="535" t="s">
        <v>217</v>
      </c>
      <c r="D42" s="910"/>
      <c r="E42" s="911"/>
      <c r="F42" s="910">
        <v>0</v>
      </c>
      <c r="G42" s="911">
        <v>30.1</v>
      </c>
      <c r="H42" s="909">
        <v>1</v>
      </c>
      <c r="I42" s="917">
        <v>3.7</v>
      </c>
      <c r="J42" s="917"/>
      <c r="K42" s="917"/>
      <c r="L42" s="920">
        <f t="shared" si="6"/>
        <v>33.800000000000004</v>
      </c>
    </row>
    <row r="43" spans="1:12" s="564" customFormat="1" ht="23.25" customHeight="1">
      <c r="A43" s="530" t="s">
        <v>384</v>
      </c>
      <c r="B43" s="552">
        <v>22</v>
      </c>
      <c r="C43" s="912" t="s">
        <v>413</v>
      </c>
      <c r="D43" s="910"/>
      <c r="E43" s="913"/>
      <c r="F43" s="910">
        <v>2</v>
      </c>
      <c r="G43" s="911">
        <v>288.7</v>
      </c>
      <c r="H43" s="909"/>
      <c r="I43" s="917"/>
      <c r="J43" s="917"/>
      <c r="K43" s="917"/>
      <c r="L43" s="920">
        <f>SUM(E43,G43,I43,J43,K43)</f>
        <v>288.7</v>
      </c>
    </row>
    <row r="44" spans="1:12" s="564" customFormat="1" ht="42">
      <c r="A44" s="531" t="s">
        <v>149</v>
      </c>
      <c r="B44" s="552">
        <v>23</v>
      </c>
      <c r="C44" s="535" t="s">
        <v>167</v>
      </c>
      <c r="D44" s="910"/>
      <c r="E44" s="987"/>
      <c r="F44" s="910">
        <v>2</v>
      </c>
      <c r="G44" s="911">
        <v>242.6</v>
      </c>
      <c r="H44" s="910"/>
      <c r="I44" s="917"/>
      <c r="J44" s="917"/>
      <c r="K44" s="917"/>
      <c r="L44" s="920">
        <f t="shared" si="6"/>
        <v>242.6</v>
      </c>
    </row>
    <row r="45" spans="1:12" s="564" customFormat="1" ht="22.5" customHeight="1">
      <c r="A45" s="532"/>
      <c r="B45" s="552">
        <v>24</v>
      </c>
      <c r="C45" s="535" t="s">
        <v>175</v>
      </c>
      <c r="D45" s="910"/>
      <c r="E45" s="911"/>
      <c r="F45" s="910">
        <v>0</v>
      </c>
      <c r="G45" s="911">
        <f>158.1+5.5</f>
        <v>163.6</v>
      </c>
      <c r="H45" s="909"/>
      <c r="I45" s="917"/>
      <c r="J45" s="917"/>
      <c r="K45" s="917"/>
      <c r="L45" s="920">
        <f t="shared" si="6"/>
        <v>163.6</v>
      </c>
    </row>
    <row r="46" spans="1:12" s="564" customFormat="1" ht="22.5" customHeight="1">
      <c r="A46" s="532"/>
      <c r="B46" s="552">
        <v>25</v>
      </c>
      <c r="C46" s="564" t="s">
        <v>213</v>
      </c>
      <c r="D46" s="910"/>
      <c r="E46" s="987"/>
      <c r="F46" s="910">
        <v>0</v>
      </c>
      <c r="G46" s="911">
        <v>966.2</v>
      </c>
      <c r="H46" s="909"/>
      <c r="I46" s="917"/>
      <c r="J46" s="917"/>
      <c r="K46" s="917">
        <v>82.4</v>
      </c>
      <c r="L46" s="920">
        <f t="shared" si="6"/>
        <v>1048.6000000000001</v>
      </c>
    </row>
    <row r="47" spans="1:12" s="564" customFormat="1" ht="22.5" customHeight="1">
      <c r="A47" s="532"/>
      <c r="B47" s="552">
        <v>26</v>
      </c>
      <c r="C47" s="564" t="s">
        <v>214</v>
      </c>
      <c r="D47" s="910"/>
      <c r="E47" s="987"/>
      <c r="F47" s="910">
        <v>0</v>
      </c>
      <c r="G47" s="911">
        <v>652.8</v>
      </c>
      <c r="H47" s="909"/>
      <c r="I47" s="917"/>
      <c r="J47" s="917"/>
      <c r="K47" s="917"/>
      <c r="L47" s="920">
        <f t="shared" si="6"/>
        <v>652.8</v>
      </c>
    </row>
    <row r="48" spans="1:12" s="564" customFormat="1" ht="22.5" customHeight="1">
      <c r="A48" s="532"/>
      <c r="B48" s="552">
        <v>27</v>
      </c>
      <c r="C48" s="564" t="s">
        <v>215</v>
      </c>
      <c r="D48" s="910"/>
      <c r="E48" s="987"/>
      <c r="F48" s="910">
        <v>0</v>
      </c>
      <c r="G48" s="911">
        <v>256.2</v>
      </c>
      <c r="H48" s="909">
        <v>4</v>
      </c>
      <c r="I48" s="917">
        <v>89.5</v>
      </c>
      <c r="J48" s="917"/>
      <c r="K48" s="917"/>
      <c r="L48" s="920">
        <f>SUM(E48,G48,I48,J48,K48)</f>
        <v>345.7</v>
      </c>
    </row>
    <row r="49" spans="1:12" s="564" customFormat="1" ht="22.5" customHeight="1">
      <c r="A49" s="532"/>
      <c r="B49" s="552">
        <v>28</v>
      </c>
      <c r="C49" s="564" t="s">
        <v>216</v>
      </c>
      <c r="D49" s="910"/>
      <c r="E49" s="987"/>
      <c r="F49" s="910">
        <v>10</v>
      </c>
      <c r="G49" s="911">
        <v>2943.2</v>
      </c>
      <c r="H49" s="909">
        <v>8</v>
      </c>
      <c r="I49" s="917">
        <v>275.7</v>
      </c>
      <c r="J49" s="917">
        <f>70.6</f>
        <v>70.6</v>
      </c>
      <c r="K49" s="917"/>
      <c r="L49" s="920">
        <f t="shared" si="6"/>
        <v>3289.4999999999995</v>
      </c>
    </row>
    <row r="50" spans="1:12" s="564" customFormat="1" ht="39" customHeight="1">
      <c r="A50" s="532"/>
      <c r="B50" s="552">
        <v>29</v>
      </c>
      <c r="C50" s="1084" t="s">
        <v>260</v>
      </c>
      <c r="D50" s="910">
        <v>8</v>
      </c>
      <c r="E50" s="913">
        <v>109.7</v>
      </c>
      <c r="F50" s="910">
        <v>0</v>
      </c>
      <c r="G50" s="911">
        <v>478.2</v>
      </c>
      <c r="H50" s="909">
        <f>8+5</f>
        <v>13</v>
      </c>
      <c r="I50" s="917">
        <v>358.5</v>
      </c>
      <c r="J50" s="917">
        <f>8500+19</f>
        <v>8519</v>
      </c>
      <c r="K50" s="917"/>
      <c r="L50" s="920">
        <f t="shared" si="6"/>
        <v>9465.4</v>
      </c>
    </row>
    <row r="51" spans="1:12" s="564" customFormat="1" ht="22.5" customHeight="1">
      <c r="A51" s="532"/>
      <c r="B51" s="552">
        <v>30</v>
      </c>
      <c r="C51" s="1084" t="s">
        <v>377</v>
      </c>
      <c r="D51" s="910"/>
      <c r="E51" s="913"/>
      <c r="F51" s="910"/>
      <c r="G51" s="911"/>
      <c r="H51" s="909">
        <v>2</v>
      </c>
      <c r="I51" s="917">
        <v>96</v>
      </c>
      <c r="J51" s="917"/>
      <c r="K51" s="917"/>
      <c r="L51" s="920">
        <f t="shared" si="6"/>
        <v>96</v>
      </c>
    </row>
    <row r="52" spans="1:12" s="564" customFormat="1" ht="22.5" customHeight="1">
      <c r="A52" s="532"/>
      <c r="B52" s="552">
        <v>31</v>
      </c>
      <c r="C52" s="1084" t="s">
        <v>381</v>
      </c>
      <c r="D52" s="910">
        <f>5+2+15</f>
        <v>22</v>
      </c>
      <c r="E52" s="913">
        <v>1103.3</v>
      </c>
      <c r="F52" s="910"/>
      <c r="G52" s="911"/>
      <c r="H52" s="909">
        <v>7</v>
      </c>
      <c r="I52" s="917">
        <v>380.9</v>
      </c>
      <c r="J52" s="917"/>
      <c r="K52" s="917"/>
      <c r="L52" s="920">
        <f t="shared" si="6"/>
        <v>1484.1999999999998</v>
      </c>
    </row>
    <row r="53" spans="1:12" s="564" customFormat="1" ht="22.5" customHeight="1">
      <c r="A53" s="532"/>
      <c r="B53" s="552">
        <v>32</v>
      </c>
      <c r="C53" s="1084" t="s">
        <v>382</v>
      </c>
      <c r="D53" s="910"/>
      <c r="E53" s="913"/>
      <c r="F53" s="910"/>
      <c r="G53" s="911"/>
      <c r="H53" s="909">
        <v>1</v>
      </c>
      <c r="I53" s="917">
        <v>13.4</v>
      </c>
      <c r="J53" s="917"/>
      <c r="K53" s="917">
        <v>65</v>
      </c>
      <c r="L53" s="920">
        <f t="shared" si="6"/>
        <v>78.4</v>
      </c>
    </row>
    <row r="54" spans="1:12" s="564" customFormat="1" ht="22.5" customHeight="1">
      <c r="A54" s="532"/>
      <c r="B54" s="552">
        <v>33</v>
      </c>
      <c r="C54" s="1084" t="s">
        <v>383</v>
      </c>
      <c r="D54" s="910"/>
      <c r="E54" s="913"/>
      <c r="F54" s="910"/>
      <c r="G54" s="911"/>
      <c r="H54" s="909">
        <v>4</v>
      </c>
      <c r="I54" s="917">
        <v>56</v>
      </c>
      <c r="J54" s="917"/>
      <c r="K54" s="917"/>
      <c r="L54" s="920">
        <f t="shared" si="6"/>
        <v>56</v>
      </c>
    </row>
    <row r="55" spans="1:12" s="564" customFormat="1" ht="42">
      <c r="A55" s="532"/>
      <c r="B55" s="552">
        <v>34</v>
      </c>
      <c r="C55" s="1084" t="s">
        <v>385</v>
      </c>
      <c r="D55" s="910">
        <v>21</v>
      </c>
      <c r="E55" s="913">
        <v>1671.8</v>
      </c>
      <c r="F55" s="910"/>
      <c r="G55" s="911"/>
      <c r="H55" s="909"/>
      <c r="I55" s="917"/>
      <c r="J55" s="917"/>
      <c r="K55" s="917"/>
      <c r="L55" s="920">
        <f>SUM(E55,G55,I55,J55,K55)</f>
        <v>1671.8</v>
      </c>
    </row>
    <row r="56" spans="1:12" s="564" customFormat="1" ht="42.75" customHeight="1">
      <c r="A56" s="530" t="s">
        <v>379</v>
      </c>
      <c r="B56" s="552">
        <v>35</v>
      </c>
      <c r="C56" s="912" t="s">
        <v>380</v>
      </c>
      <c r="D56" s="910">
        <v>3</v>
      </c>
      <c r="E56" s="913">
        <v>65.8</v>
      </c>
      <c r="F56" s="910"/>
      <c r="G56" s="911"/>
      <c r="H56" s="909">
        <v>5</v>
      </c>
      <c r="I56" s="917">
        <v>103.9</v>
      </c>
      <c r="J56" s="917"/>
      <c r="K56" s="917"/>
      <c r="L56" s="920">
        <f>SUM(E56,G56,I56,J56,K56)</f>
        <v>169.7</v>
      </c>
    </row>
    <row r="57" spans="1:12" s="564" customFormat="1" ht="37.5" customHeight="1">
      <c r="A57" s="530" t="s">
        <v>205</v>
      </c>
      <c r="B57" s="552">
        <v>36</v>
      </c>
      <c r="C57" s="567" t="s">
        <v>218</v>
      </c>
      <c r="D57" s="910">
        <v>8</v>
      </c>
      <c r="E57" s="913">
        <v>246.1</v>
      </c>
      <c r="F57" s="910"/>
      <c r="G57" s="911"/>
      <c r="H57" s="909">
        <v>5</v>
      </c>
      <c r="I57" s="917">
        <f>1089.4+99.5</f>
        <v>1188.9</v>
      </c>
      <c r="J57" s="1077">
        <f>955.4+48</f>
        <v>1003.4</v>
      </c>
      <c r="K57" s="917"/>
      <c r="L57" s="920">
        <f t="shared" si="6"/>
        <v>2438.4</v>
      </c>
    </row>
    <row r="58" spans="1:12" s="564" customFormat="1" ht="21">
      <c r="A58" s="530"/>
      <c r="B58" s="552">
        <v>37</v>
      </c>
      <c r="C58" s="991" t="s">
        <v>386</v>
      </c>
      <c r="D58" s="910"/>
      <c r="E58" s="913"/>
      <c r="F58" s="910"/>
      <c r="G58" s="911"/>
      <c r="H58" s="909">
        <v>5</v>
      </c>
      <c r="I58" s="917">
        <v>96.1</v>
      </c>
      <c r="J58" s="1077"/>
      <c r="K58" s="917"/>
      <c r="L58" s="920">
        <f t="shared" si="6"/>
        <v>96.1</v>
      </c>
    </row>
    <row r="59" spans="1:12" s="564" customFormat="1" ht="43.5" customHeight="1">
      <c r="A59" s="530" t="s">
        <v>207</v>
      </c>
      <c r="B59" s="552">
        <v>38</v>
      </c>
      <c r="C59" s="568" t="s">
        <v>219</v>
      </c>
      <c r="D59" s="910"/>
      <c r="E59" s="913"/>
      <c r="F59" s="910"/>
      <c r="G59" s="911"/>
      <c r="H59" s="991">
        <v>4</v>
      </c>
      <c r="I59" s="918">
        <v>203</v>
      </c>
      <c r="J59" s="917"/>
      <c r="K59" s="917">
        <f>11157.2</f>
        <v>11157.2</v>
      </c>
      <c r="L59" s="920">
        <f t="shared" si="6"/>
        <v>11360.2</v>
      </c>
    </row>
    <row r="60" spans="1:12" s="564" customFormat="1" ht="23.25" customHeight="1">
      <c r="A60" s="530"/>
      <c r="B60" s="552">
        <v>39</v>
      </c>
      <c r="C60" s="912" t="s">
        <v>412</v>
      </c>
      <c r="D60" s="910"/>
      <c r="E60" s="913"/>
      <c r="F60" s="910"/>
      <c r="G60" s="911"/>
      <c r="H60" s="909"/>
      <c r="I60" s="917"/>
      <c r="J60" s="917">
        <v>366.9</v>
      </c>
      <c r="K60" s="917"/>
      <c r="L60" s="920">
        <f t="shared" si="6"/>
        <v>366.9</v>
      </c>
    </row>
    <row r="61" spans="1:12" s="564" customFormat="1" ht="24" customHeight="1">
      <c r="A61" s="532" t="s">
        <v>150</v>
      </c>
      <c r="B61" s="552">
        <v>40</v>
      </c>
      <c r="C61" s="575" t="s">
        <v>186</v>
      </c>
      <c r="D61" s="910"/>
      <c r="E61" s="911"/>
      <c r="F61" s="910">
        <v>0</v>
      </c>
      <c r="G61" s="911">
        <v>452.3</v>
      </c>
      <c r="H61" s="909"/>
      <c r="I61" s="917"/>
      <c r="J61" s="917"/>
      <c r="K61" s="917"/>
      <c r="L61" s="920">
        <f t="shared" si="6"/>
        <v>452.3</v>
      </c>
    </row>
    <row r="62" spans="1:12" s="916" customFormat="1" ht="24" customHeight="1">
      <c r="A62" s="532"/>
      <c r="B62" s="552">
        <v>41</v>
      </c>
      <c r="C62" s="1061" t="s">
        <v>376</v>
      </c>
      <c r="D62" s="910"/>
      <c r="E62" s="911"/>
      <c r="F62" s="910"/>
      <c r="G62" s="911"/>
      <c r="H62" s="909">
        <v>5</v>
      </c>
      <c r="I62" s="917">
        <f>33.9</f>
        <v>33.9</v>
      </c>
      <c r="J62" s="917">
        <v>640</v>
      </c>
      <c r="K62" s="917"/>
      <c r="L62" s="920">
        <f t="shared" si="6"/>
        <v>673.9</v>
      </c>
    </row>
    <row r="63" spans="1:12" s="278" customFormat="1" ht="21">
      <c r="A63" s="567"/>
      <c r="B63" s="552">
        <v>42</v>
      </c>
      <c r="C63" s="915" t="s">
        <v>378</v>
      </c>
      <c r="D63" s="982"/>
      <c r="E63" s="913"/>
      <c r="F63" s="982"/>
      <c r="G63" s="913"/>
      <c r="H63" s="977">
        <v>5</v>
      </c>
      <c r="I63" s="913">
        <v>154.1</v>
      </c>
      <c r="J63" s="913">
        <v>33.3</v>
      </c>
      <c r="K63" s="913"/>
      <c r="L63" s="920">
        <f>SUM(E63,G63,I63,J63,K63)</f>
        <v>187.39999999999998</v>
      </c>
    </row>
    <row r="64" spans="1:12" s="278" customFormat="1" ht="21">
      <c r="A64" s="567"/>
      <c r="B64" s="552">
        <v>43</v>
      </c>
      <c r="C64" s="915" t="s">
        <v>261</v>
      </c>
      <c r="D64" s="982"/>
      <c r="E64" s="913"/>
      <c r="F64" s="982"/>
      <c r="G64" s="913"/>
      <c r="H64" s="977">
        <v>6</v>
      </c>
      <c r="I64" s="913">
        <f>137.4+14.6+123.5</f>
        <v>275.5</v>
      </c>
      <c r="J64" s="913"/>
      <c r="K64" s="913"/>
      <c r="L64" s="920">
        <f t="shared" si="6"/>
        <v>275.5</v>
      </c>
    </row>
    <row r="65" spans="1:12" s="578" customFormat="1" ht="21.75">
      <c r="A65" s="579"/>
      <c r="B65" s="597"/>
      <c r="C65" s="546" t="s">
        <v>100</v>
      </c>
      <c r="D65" s="549">
        <f aca="true" t="shared" si="7" ref="D65:L65">SUM(D36:D64)</f>
        <v>126</v>
      </c>
      <c r="E65" s="547">
        <f t="shared" si="7"/>
        <v>3553.1</v>
      </c>
      <c r="F65" s="549">
        <f t="shared" si="7"/>
        <v>16</v>
      </c>
      <c r="G65" s="547">
        <f t="shared" si="7"/>
        <v>7775.499999999999</v>
      </c>
      <c r="H65" s="549">
        <f t="shared" si="7"/>
        <v>75</v>
      </c>
      <c r="I65" s="547">
        <f t="shared" si="7"/>
        <v>3329.1</v>
      </c>
      <c r="J65" s="547">
        <f t="shared" si="7"/>
        <v>10633.199999999999</v>
      </c>
      <c r="K65" s="547">
        <f t="shared" si="7"/>
        <v>11304.6</v>
      </c>
      <c r="L65" s="547">
        <f t="shared" si="7"/>
        <v>36595.50000000001</v>
      </c>
    </row>
    <row r="66" spans="1:12" s="586" customFormat="1" ht="21">
      <c r="A66" s="529" t="s">
        <v>279</v>
      </c>
      <c r="B66" s="599"/>
      <c r="C66" s="529" t="s">
        <v>99</v>
      </c>
      <c r="D66" s="587"/>
      <c r="E66" s="555"/>
      <c r="F66" s="587"/>
      <c r="G66" s="555"/>
      <c r="H66" s="588"/>
      <c r="I66" s="555"/>
      <c r="J66" s="555"/>
      <c r="K66" s="555"/>
      <c r="L66" s="551"/>
    </row>
    <row r="67" spans="1:12" s="564" customFormat="1" ht="21.75">
      <c r="A67" s="530" t="s">
        <v>151</v>
      </c>
      <c r="B67" s="544">
        <v>44</v>
      </c>
      <c r="C67" s="914" t="s">
        <v>280</v>
      </c>
      <c r="D67" s="572">
        <v>15</v>
      </c>
      <c r="E67" s="566">
        <v>3616.9</v>
      </c>
      <c r="F67" s="572"/>
      <c r="G67" s="566"/>
      <c r="H67" s="565">
        <f>2+2</f>
        <v>4</v>
      </c>
      <c r="I67" s="920">
        <v>232.2</v>
      </c>
      <c r="J67" s="545"/>
      <c r="K67" s="545"/>
      <c r="L67" s="1040">
        <f>SUM(E67,G67,I67,J67,K67)</f>
        <v>3849.1</v>
      </c>
    </row>
    <row r="68" spans="1:12" s="578" customFormat="1" ht="21.75">
      <c r="A68" s="579"/>
      <c r="B68" s="597"/>
      <c r="C68" s="546" t="s">
        <v>100</v>
      </c>
      <c r="D68" s="549">
        <f>SUM(D67)</f>
        <v>15</v>
      </c>
      <c r="E68" s="547">
        <f aca="true" t="shared" si="8" ref="E68:K68">SUM(E67)</f>
        <v>3616.9</v>
      </c>
      <c r="F68" s="549">
        <f t="shared" si="8"/>
        <v>0</v>
      </c>
      <c r="G68" s="549">
        <f t="shared" si="8"/>
        <v>0</v>
      </c>
      <c r="H68" s="549">
        <f t="shared" si="8"/>
        <v>4</v>
      </c>
      <c r="I68" s="547">
        <f t="shared" si="8"/>
        <v>232.2</v>
      </c>
      <c r="J68" s="549">
        <f t="shared" si="8"/>
        <v>0</v>
      </c>
      <c r="K68" s="549">
        <f t="shared" si="8"/>
        <v>0</v>
      </c>
      <c r="L68" s="927">
        <f>SUM(L67:L67)</f>
        <v>3849.1</v>
      </c>
    </row>
    <row r="69" spans="1:12" s="564" customFormat="1" ht="21.75">
      <c r="A69" s="529" t="s">
        <v>302</v>
      </c>
      <c r="B69" s="544"/>
      <c r="C69" s="529" t="s">
        <v>98</v>
      </c>
      <c r="D69" s="558"/>
      <c r="E69" s="559"/>
      <c r="F69" s="558"/>
      <c r="G69" s="559"/>
      <c r="H69" s="560"/>
      <c r="I69" s="559"/>
      <c r="J69" s="559"/>
      <c r="K69" s="559"/>
      <c r="L69" s="566"/>
    </row>
    <row r="70" spans="1:12" s="564" customFormat="1" ht="42" customHeight="1">
      <c r="A70" s="531" t="s">
        <v>104</v>
      </c>
      <c r="B70" s="544">
        <v>45</v>
      </c>
      <c r="C70" s="914" t="s">
        <v>418</v>
      </c>
      <c r="D70" s="982">
        <v>18</v>
      </c>
      <c r="E70" s="913">
        <f>533.434*1.1</f>
        <v>586.7774000000001</v>
      </c>
      <c r="F70" s="558"/>
      <c r="G70" s="559"/>
      <c r="H70" s="560"/>
      <c r="I70" s="559"/>
      <c r="J70" s="559"/>
      <c r="K70" s="559"/>
      <c r="L70" s="1040">
        <f aca="true" t="shared" si="9" ref="L70:L81">SUM(E70,G70,I70,J70,K70)</f>
        <v>586.7774000000001</v>
      </c>
    </row>
    <row r="71" spans="1:12" s="564" customFormat="1" ht="21.75">
      <c r="A71" s="550"/>
      <c r="B71" s="544"/>
      <c r="C71" s="550" t="s">
        <v>99</v>
      </c>
      <c r="D71" s="558"/>
      <c r="E71" s="559"/>
      <c r="F71" s="558"/>
      <c r="G71" s="559"/>
      <c r="H71" s="560"/>
      <c r="I71" s="559"/>
      <c r="J71" s="559"/>
      <c r="K71" s="559"/>
      <c r="L71" s="566"/>
    </row>
    <row r="72" spans="1:12" s="567" customFormat="1" ht="21.75">
      <c r="A72" s="530" t="s">
        <v>151</v>
      </c>
      <c r="B72" s="544">
        <v>46</v>
      </c>
      <c r="C72" s="914" t="s">
        <v>391</v>
      </c>
      <c r="D72" s="982">
        <v>5</v>
      </c>
      <c r="E72" s="913">
        <v>58.5</v>
      </c>
      <c r="F72" s="982"/>
      <c r="G72" s="913"/>
      <c r="H72" s="988">
        <f>1+5</f>
        <v>6</v>
      </c>
      <c r="I72" s="920">
        <v>190.9</v>
      </c>
      <c r="J72" s="913"/>
      <c r="K72" s="913"/>
      <c r="L72" s="1040">
        <f t="shared" si="9"/>
        <v>249.4</v>
      </c>
    </row>
    <row r="73" spans="1:12" s="567" customFormat="1" ht="21.75">
      <c r="A73" s="530"/>
      <c r="B73" s="544">
        <v>47</v>
      </c>
      <c r="C73" s="914" t="s">
        <v>392</v>
      </c>
      <c r="D73" s="982"/>
      <c r="E73" s="913"/>
      <c r="F73" s="982"/>
      <c r="G73" s="913"/>
      <c r="H73" s="988">
        <v>3</v>
      </c>
      <c r="I73" s="920">
        <v>554.8</v>
      </c>
      <c r="J73" s="913"/>
      <c r="K73" s="913"/>
      <c r="L73" s="1040">
        <f t="shared" si="9"/>
        <v>554.8</v>
      </c>
    </row>
    <row r="74" spans="1:12" s="567" customFormat="1" ht="21.75">
      <c r="A74" s="530"/>
      <c r="B74" s="544">
        <v>48</v>
      </c>
      <c r="C74" s="914" t="s">
        <v>393</v>
      </c>
      <c r="D74" s="982">
        <v>3</v>
      </c>
      <c r="E74" s="913">
        <v>476.5</v>
      </c>
      <c r="F74" s="982"/>
      <c r="G74" s="913"/>
      <c r="H74" s="988"/>
      <c r="I74" s="920"/>
      <c r="J74" s="913"/>
      <c r="K74" s="913"/>
      <c r="L74" s="1040">
        <f t="shared" si="9"/>
        <v>476.5</v>
      </c>
    </row>
    <row r="75" spans="1:12" s="564" customFormat="1" ht="42">
      <c r="A75" s="531" t="s">
        <v>104</v>
      </c>
      <c r="B75" s="544">
        <v>49</v>
      </c>
      <c r="C75" s="653" t="s">
        <v>169</v>
      </c>
      <c r="D75" s="982">
        <v>5</v>
      </c>
      <c r="E75" s="913">
        <v>118.6</v>
      </c>
      <c r="F75" s="982">
        <v>2</v>
      </c>
      <c r="G75" s="913">
        <v>923</v>
      </c>
      <c r="H75" s="977">
        <v>12</v>
      </c>
      <c r="I75" s="913">
        <f>(239564+245394+248206+243023+14240+170286+33442+128134)/1000*1.1</f>
        <v>1454.5179</v>
      </c>
      <c r="J75" s="913">
        <v>39.2</v>
      </c>
      <c r="K75" s="554"/>
      <c r="L75" s="1040">
        <f t="shared" si="9"/>
        <v>2535.3179</v>
      </c>
    </row>
    <row r="76" spans="1:12" s="564" customFormat="1" ht="21.75">
      <c r="A76" s="531" t="s">
        <v>263</v>
      </c>
      <c r="B76" s="544">
        <v>50</v>
      </c>
      <c r="C76" s="921" t="s">
        <v>264</v>
      </c>
      <c r="D76" s="982"/>
      <c r="E76" s="913"/>
      <c r="F76" s="982"/>
      <c r="G76" s="913"/>
      <c r="H76" s="977"/>
      <c r="I76" s="913"/>
      <c r="J76" s="913"/>
      <c r="K76" s="913"/>
      <c r="L76" s="1040"/>
    </row>
    <row r="77" spans="1:12" s="564" customFormat="1" ht="42">
      <c r="A77" s="531"/>
      <c r="B77" s="544"/>
      <c r="C77" s="921" t="s">
        <v>430</v>
      </c>
      <c r="D77" s="982"/>
      <c r="E77" s="913"/>
      <c r="F77" s="982"/>
      <c r="G77" s="913"/>
      <c r="H77" s="977">
        <v>7</v>
      </c>
      <c r="I77" s="913">
        <v>326.8</v>
      </c>
      <c r="J77" s="913"/>
      <c r="K77" s="913"/>
      <c r="L77" s="1040">
        <f t="shared" si="9"/>
        <v>326.8</v>
      </c>
    </row>
    <row r="78" spans="1:12" s="564" customFormat="1" ht="42">
      <c r="A78" s="531"/>
      <c r="B78" s="544"/>
      <c r="C78" s="921" t="s">
        <v>431</v>
      </c>
      <c r="D78" s="982"/>
      <c r="E78" s="913"/>
      <c r="F78" s="982"/>
      <c r="G78" s="913"/>
      <c r="H78" s="977">
        <v>5</v>
      </c>
      <c r="I78" s="913">
        <v>60.3</v>
      </c>
      <c r="J78" s="913"/>
      <c r="K78" s="913"/>
      <c r="L78" s="1040">
        <f t="shared" si="9"/>
        <v>60.3</v>
      </c>
    </row>
    <row r="79" spans="1:12" s="564" customFormat="1" ht="42">
      <c r="A79" s="531"/>
      <c r="B79" s="544"/>
      <c r="C79" s="921" t="s">
        <v>432</v>
      </c>
      <c r="D79" s="982"/>
      <c r="E79" s="913"/>
      <c r="F79" s="982"/>
      <c r="G79" s="913"/>
      <c r="H79" s="977">
        <v>7</v>
      </c>
      <c r="I79" s="913">
        <v>250.2</v>
      </c>
      <c r="J79" s="913"/>
      <c r="K79" s="913"/>
      <c r="L79" s="1040">
        <f t="shared" si="9"/>
        <v>250.2</v>
      </c>
    </row>
    <row r="80" spans="1:12" s="564" customFormat="1" ht="21.75">
      <c r="A80" s="557"/>
      <c r="B80" s="552"/>
      <c r="C80" s="921" t="s">
        <v>265</v>
      </c>
      <c r="D80" s="910"/>
      <c r="E80" s="911"/>
      <c r="F80" s="910"/>
      <c r="G80" s="911"/>
      <c r="H80" s="909">
        <v>6</v>
      </c>
      <c r="I80" s="917">
        <v>153.7</v>
      </c>
      <c r="J80" s="917"/>
      <c r="K80" s="917"/>
      <c r="L80" s="1040">
        <f t="shared" si="9"/>
        <v>153.7</v>
      </c>
    </row>
    <row r="81" spans="1:12" s="564" customFormat="1" ht="40.5">
      <c r="A81" s="530" t="s">
        <v>398</v>
      </c>
      <c r="B81" s="552">
        <v>51</v>
      </c>
      <c r="C81" s="921" t="s">
        <v>399</v>
      </c>
      <c r="D81" s="910"/>
      <c r="E81" s="911"/>
      <c r="F81" s="910">
        <v>5</v>
      </c>
      <c r="G81" s="911">
        <f>1727.3*1.1</f>
        <v>1900.0300000000002</v>
      </c>
      <c r="H81" s="909"/>
      <c r="I81" s="917"/>
      <c r="J81" s="917"/>
      <c r="K81" s="917"/>
      <c r="L81" s="1040">
        <f t="shared" si="9"/>
        <v>1900.0300000000002</v>
      </c>
    </row>
    <row r="82" spans="1:12" s="578" customFormat="1" ht="21.75">
      <c r="A82" s="589"/>
      <c r="B82" s="597"/>
      <c r="C82" s="546" t="s">
        <v>100</v>
      </c>
      <c r="D82" s="549">
        <f>SUM(D70:D81)</f>
        <v>31</v>
      </c>
      <c r="E82" s="547">
        <f aca="true" t="shared" si="10" ref="E82:K82">SUM(E70:E81)</f>
        <v>1240.3773999999999</v>
      </c>
      <c r="F82" s="549">
        <f t="shared" si="10"/>
        <v>7</v>
      </c>
      <c r="G82" s="547">
        <f t="shared" si="10"/>
        <v>2823.03</v>
      </c>
      <c r="H82" s="549">
        <f t="shared" si="10"/>
        <v>46</v>
      </c>
      <c r="I82" s="547">
        <f t="shared" si="10"/>
        <v>2991.2179</v>
      </c>
      <c r="J82" s="547">
        <f t="shared" si="10"/>
        <v>39.2</v>
      </c>
      <c r="K82" s="549">
        <f t="shared" si="10"/>
        <v>0</v>
      </c>
      <c r="L82" s="547">
        <f>SUM(L69:L81)</f>
        <v>7093.8253</v>
      </c>
    </row>
    <row r="83" spans="1:12" s="578" customFormat="1" ht="21.75">
      <c r="A83" s="550" t="s">
        <v>154</v>
      </c>
      <c r="B83" s="596"/>
      <c r="C83" s="550" t="s">
        <v>99</v>
      </c>
      <c r="D83" s="541"/>
      <c r="E83" s="542"/>
      <c r="F83" s="541"/>
      <c r="G83" s="542"/>
      <c r="H83" s="543"/>
      <c r="I83" s="542"/>
      <c r="J83" s="542"/>
      <c r="K83" s="542"/>
      <c r="L83" s="542"/>
    </row>
    <row r="84" spans="1:12" s="578" customFormat="1" ht="21.75">
      <c r="A84" s="530" t="s">
        <v>151</v>
      </c>
      <c r="B84" s="596">
        <v>52</v>
      </c>
      <c r="C84" s="914" t="s">
        <v>405</v>
      </c>
      <c r="D84" s="937">
        <v>2</v>
      </c>
      <c r="E84" s="936">
        <v>296.9</v>
      </c>
      <c r="F84" s="541"/>
      <c r="G84" s="542"/>
      <c r="H84" s="543"/>
      <c r="I84" s="542"/>
      <c r="J84" s="570">
        <v>842</v>
      </c>
      <c r="K84" s="542"/>
      <c r="L84" s="1040">
        <f>SUM(E84,G84,I84,J84,K84)</f>
        <v>1138.9</v>
      </c>
    </row>
    <row r="85" spans="1:12" s="578" customFormat="1" ht="21.75">
      <c r="A85" s="579"/>
      <c r="B85" s="597"/>
      <c r="C85" s="546" t="s">
        <v>100</v>
      </c>
      <c r="D85" s="549">
        <f>SUM(D84)</f>
        <v>2</v>
      </c>
      <c r="E85" s="547">
        <f aca="true" t="shared" si="11" ref="E85:K85">SUM(E84)</f>
        <v>296.9</v>
      </c>
      <c r="F85" s="549">
        <f t="shared" si="11"/>
        <v>0</v>
      </c>
      <c r="G85" s="549">
        <f t="shared" si="11"/>
        <v>0</v>
      </c>
      <c r="H85" s="549">
        <f t="shared" si="11"/>
        <v>0</v>
      </c>
      <c r="I85" s="549">
        <f t="shared" si="11"/>
        <v>0</v>
      </c>
      <c r="J85" s="547">
        <f t="shared" si="11"/>
        <v>842</v>
      </c>
      <c r="K85" s="549">
        <f t="shared" si="11"/>
        <v>0</v>
      </c>
      <c r="L85" s="547">
        <f>SUM(L84:L84)</f>
        <v>1138.9</v>
      </c>
    </row>
    <row r="86" spans="1:12" s="578" customFormat="1" ht="21.75">
      <c r="A86" s="529" t="s">
        <v>283</v>
      </c>
      <c r="B86" s="598"/>
      <c r="C86" s="533" t="s">
        <v>102</v>
      </c>
      <c r="D86" s="580"/>
      <c r="E86" s="551"/>
      <c r="F86" s="580"/>
      <c r="G86" s="551"/>
      <c r="H86" s="581"/>
      <c r="I86" s="551"/>
      <c r="J86" s="551"/>
      <c r="K86" s="551"/>
      <c r="L86" s="551"/>
    </row>
    <row r="87" spans="1:12" s="564" customFormat="1" ht="21.75">
      <c r="A87" s="530" t="s">
        <v>282</v>
      </c>
      <c r="B87" s="544">
        <v>53</v>
      </c>
      <c r="C87" s="914" t="s">
        <v>411</v>
      </c>
      <c r="D87" s="572"/>
      <c r="E87" s="566"/>
      <c r="F87" s="572"/>
      <c r="G87" s="566"/>
      <c r="H87" s="565"/>
      <c r="I87" s="920"/>
      <c r="J87" s="920">
        <v>86</v>
      </c>
      <c r="K87" s="545"/>
      <c r="L87" s="1040">
        <f>SUM(E87,G87,I87,J87,K87)</f>
        <v>86</v>
      </c>
    </row>
    <row r="88" spans="1:12" s="578" customFormat="1" ht="21.75">
      <c r="A88" s="579"/>
      <c r="B88" s="783"/>
      <c r="C88" s="546" t="s">
        <v>100</v>
      </c>
      <c r="D88" s="785"/>
      <c r="E88" s="786"/>
      <c r="F88" s="785"/>
      <c r="G88" s="786"/>
      <c r="H88" s="785"/>
      <c r="I88" s="786"/>
      <c r="J88" s="786">
        <f>SUM(J87)</f>
        <v>86</v>
      </c>
      <c r="K88" s="786"/>
      <c r="L88" s="786">
        <f>SUM(L87)</f>
        <v>86</v>
      </c>
    </row>
    <row r="89" spans="1:12" s="578" customFormat="1" ht="21.75">
      <c r="A89" s="550" t="s">
        <v>416</v>
      </c>
      <c r="B89" s="598"/>
      <c r="C89" s="529" t="s">
        <v>98</v>
      </c>
      <c r="D89" s="582"/>
      <c r="E89" s="583"/>
      <c r="F89" s="582"/>
      <c r="G89" s="583"/>
      <c r="H89" s="584"/>
      <c r="I89" s="583"/>
      <c r="J89" s="583"/>
      <c r="K89" s="583"/>
      <c r="L89" s="555"/>
    </row>
    <row r="90" spans="1:12" s="578" customFormat="1" ht="39" customHeight="1">
      <c r="A90" s="531" t="s">
        <v>104</v>
      </c>
      <c r="B90" s="596">
        <v>54</v>
      </c>
      <c r="C90" s="914" t="s">
        <v>419</v>
      </c>
      <c r="D90" s="982">
        <v>12</v>
      </c>
      <c r="E90" s="913">
        <f>4176*1.1</f>
        <v>4593.6</v>
      </c>
      <c r="F90" s="869"/>
      <c r="G90" s="870"/>
      <c r="H90" s="871"/>
      <c r="I90" s="870"/>
      <c r="J90" s="870"/>
      <c r="K90" s="870"/>
      <c r="L90" s="1040">
        <f>SUM(E90,G90,I90,J90,K90)</f>
        <v>4593.6</v>
      </c>
    </row>
    <row r="91" spans="1:12" s="578" customFormat="1" ht="21.75">
      <c r="A91" s="550"/>
      <c r="B91" s="596"/>
      <c r="C91" s="550" t="s">
        <v>99</v>
      </c>
      <c r="D91" s="869"/>
      <c r="E91" s="870"/>
      <c r="F91" s="869"/>
      <c r="G91" s="870"/>
      <c r="H91" s="871"/>
      <c r="I91" s="870"/>
      <c r="J91" s="870"/>
      <c r="K91" s="870"/>
      <c r="L91" s="872"/>
    </row>
    <row r="92" spans="1:12" s="564" customFormat="1" ht="23.25" customHeight="1">
      <c r="A92" s="531" t="s">
        <v>281</v>
      </c>
      <c r="B92" s="544">
        <v>55</v>
      </c>
      <c r="C92" s="914" t="s">
        <v>417</v>
      </c>
      <c r="D92" s="569"/>
      <c r="E92" s="570"/>
      <c r="F92" s="569"/>
      <c r="G92" s="570"/>
      <c r="H92" s="573">
        <v>4</v>
      </c>
      <c r="I92" s="536">
        <v>2349.8</v>
      </c>
      <c r="J92" s="536">
        <v>61.8</v>
      </c>
      <c r="K92" s="570"/>
      <c r="L92" s="1040">
        <f>SUM(E92,G92,I92,J92,K92)</f>
        <v>2411.6000000000004</v>
      </c>
    </row>
    <row r="93" spans="1:12" s="578" customFormat="1" ht="21.75">
      <c r="A93" s="579"/>
      <c r="B93" s="597"/>
      <c r="C93" s="546" t="s">
        <v>100</v>
      </c>
      <c r="D93" s="549">
        <f>SUM(D90:D92)</f>
        <v>12</v>
      </c>
      <c r="E93" s="547">
        <f aca="true" t="shared" si="12" ref="E93:K93">SUM(E90:E92)</f>
        <v>4593.6</v>
      </c>
      <c r="F93" s="549">
        <f t="shared" si="12"/>
        <v>0</v>
      </c>
      <c r="G93" s="549">
        <f t="shared" si="12"/>
        <v>0</v>
      </c>
      <c r="H93" s="549">
        <f t="shared" si="12"/>
        <v>4</v>
      </c>
      <c r="I93" s="547">
        <f t="shared" si="12"/>
        <v>2349.8</v>
      </c>
      <c r="J93" s="547">
        <f t="shared" si="12"/>
        <v>61.8</v>
      </c>
      <c r="K93" s="549">
        <f t="shared" si="12"/>
        <v>0</v>
      </c>
      <c r="L93" s="547">
        <f>SUM(L90:L92)</f>
        <v>7005.200000000001</v>
      </c>
    </row>
    <row r="94" spans="1:12" s="578" customFormat="1" ht="21.75">
      <c r="A94" s="550" t="s">
        <v>103</v>
      </c>
      <c r="B94" s="598"/>
      <c r="C94" s="550" t="s">
        <v>99</v>
      </c>
      <c r="D94" s="582"/>
      <c r="E94" s="583"/>
      <c r="F94" s="582"/>
      <c r="G94" s="583"/>
      <c r="H94" s="584"/>
      <c r="I94" s="583"/>
      <c r="J94" s="583"/>
      <c r="K94" s="583"/>
      <c r="L94" s="555"/>
    </row>
    <row r="95" spans="1:12" s="567" customFormat="1" ht="40.5" customHeight="1">
      <c r="A95" s="531" t="s">
        <v>104</v>
      </c>
      <c r="B95" s="544">
        <v>56</v>
      </c>
      <c r="C95" s="653" t="s">
        <v>158</v>
      </c>
      <c r="D95" s="573"/>
      <c r="E95" s="536"/>
      <c r="F95" s="573">
        <v>0</v>
      </c>
      <c r="G95" s="536">
        <v>250.9</v>
      </c>
      <c r="H95" s="574"/>
      <c r="I95" s="536"/>
      <c r="J95" s="536"/>
      <c r="K95" s="536"/>
      <c r="L95" s="1040">
        <f>SUM(E95,G95,I95,J95,K95)</f>
        <v>250.9</v>
      </c>
    </row>
    <row r="96" spans="1:12" s="564" customFormat="1" ht="21.75">
      <c r="A96" s="532"/>
      <c r="B96" s="544">
        <v>57</v>
      </c>
      <c r="C96" s="1086" t="s">
        <v>394</v>
      </c>
      <c r="D96" s="569"/>
      <c r="E96" s="570"/>
      <c r="F96" s="569">
        <v>1</v>
      </c>
      <c r="G96" s="570">
        <v>68.3</v>
      </c>
      <c r="H96" s="990">
        <f>1+2</f>
        <v>3</v>
      </c>
      <c r="I96" s="570">
        <v>792.1</v>
      </c>
      <c r="J96" s="570"/>
      <c r="K96" s="570"/>
      <c r="L96" s="1040">
        <f>SUM(E96,G96,I96,J96,K96)</f>
        <v>860.4</v>
      </c>
    </row>
    <row r="97" spans="1:12" s="564" customFormat="1" ht="21" customHeight="1">
      <c r="A97" s="1091"/>
      <c r="B97" s="1092"/>
      <c r="C97" s="1093" t="s">
        <v>395</v>
      </c>
      <c r="D97" s="1094"/>
      <c r="E97" s="1095"/>
      <c r="F97" s="1094"/>
      <c r="G97" s="1095"/>
      <c r="H97" s="1096">
        <v>5</v>
      </c>
      <c r="I97" s="1095">
        <v>210.8</v>
      </c>
      <c r="J97" s="1095"/>
      <c r="K97" s="1095"/>
      <c r="L97" s="1040">
        <f>SUM(E97,G97,I97,J97,K97)</f>
        <v>210.8</v>
      </c>
    </row>
    <row r="98" spans="1:12" s="564" customFormat="1" ht="21.75">
      <c r="A98" s="532"/>
      <c r="B98" s="544">
        <v>58</v>
      </c>
      <c r="C98" s="534" t="s">
        <v>105</v>
      </c>
      <c r="D98" s="569"/>
      <c r="E98" s="570"/>
      <c r="F98" s="569"/>
      <c r="G98" s="570"/>
      <c r="H98" s="571">
        <v>1</v>
      </c>
      <c r="I98" s="570">
        <v>5</v>
      </c>
      <c r="J98" s="570"/>
      <c r="K98" s="570"/>
      <c r="L98" s="1040">
        <f>SUM(E98,G98,I98,J98,K98)</f>
        <v>5</v>
      </c>
    </row>
    <row r="99" spans="1:12" s="564" customFormat="1" ht="21.75">
      <c r="A99" s="531" t="s">
        <v>396</v>
      </c>
      <c r="B99" s="544">
        <v>59</v>
      </c>
      <c r="C99" s="1086" t="s">
        <v>397</v>
      </c>
      <c r="D99" s="569"/>
      <c r="E99" s="570"/>
      <c r="F99" s="569"/>
      <c r="G99" s="570"/>
      <c r="H99" s="571">
        <v>1</v>
      </c>
      <c r="I99" s="570">
        <v>50.4</v>
      </c>
      <c r="J99" s="570"/>
      <c r="K99" s="570"/>
      <c r="L99" s="1040">
        <f>SUM(E99,G99,I99,J99,K99)</f>
        <v>50.4</v>
      </c>
    </row>
    <row r="100" spans="1:12" s="578" customFormat="1" ht="21.75">
      <c r="A100" s="579"/>
      <c r="B100" s="597"/>
      <c r="C100" s="546" t="s">
        <v>100</v>
      </c>
      <c r="D100" s="549"/>
      <c r="E100" s="547"/>
      <c r="F100" s="549">
        <f aca="true" t="shared" si="13" ref="F100:L100">SUM(F95:F99)</f>
        <v>1</v>
      </c>
      <c r="G100" s="547">
        <f t="shared" si="13"/>
        <v>319.2</v>
      </c>
      <c r="H100" s="549">
        <f t="shared" si="13"/>
        <v>10</v>
      </c>
      <c r="I100" s="547">
        <f t="shared" si="13"/>
        <v>1058.3000000000002</v>
      </c>
      <c r="J100" s="549">
        <f t="shared" si="13"/>
        <v>0</v>
      </c>
      <c r="K100" s="549">
        <f t="shared" si="13"/>
        <v>0</v>
      </c>
      <c r="L100" s="547">
        <f t="shared" si="13"/>
        <v>1377.5</v>
      </c>
    </row>
    <row r="101" spans="1:12" s="578" customFormat="1" ht="21.75">
      <c r="A101" s="550" t="s">
        <v>232</v>
      </c>
      <c r="B101" s="596"/>
      <c r="C101" s="550" t="s">
        <v>98</v>
      </c>
      <c r="D101" s="869"/>
      <c r="E101" s="870"/>
      <c r="F101" s="869"/>
      <c r="G101" s="870"/>
      <c r="H101" s="871"/>
      <c r="I101" s="870"/>
      <c r="J101" s="870"/>
      <c r="K101" s="870"/>
      <c r="L101" s="872"/>
    </row>
    <row r="102" spans="1:12" s="564" customFormat="1" ht="41.25" customHeight="1">
      <c r="A102" s="530" t="s">
        <v>104</v>
      </c>
      <c r="B102" s="544">
        <v>60</v>
      </c>
      <c r="C102" s="914" t="s">
        <v>297</v>
      </c>
      <c r="D102" s="569"/>
      <c r="E102" s="570"/>
      <c r="F102" s="569"/>
      <c r="G102" s="570"/>
      <c r="H102" s="573"/>
      <c r="I102" s="536"/>
      <c r="J102" s="570"/>
      <c r="K102" s="566">
        <f>3957.669+4622.336+6186.343</f>
        <v>14766.348000000002</v>
      </c>
      <c r="L102" s="1040">
        <f>SUM(E102,G102,I102,J102,K102)</f>
        <v>14766.348000000002</v>
      </c>
    </row>
    <row r="103" spans="1:12" s="578" customFormat="1" ht="22.5" thickBot="1">
      <c r="A103" s="782"/>
      <c r="B103" s="783"/>
      <c r="C103" s="784" t="s">
        <v>100</v>
      </c>
      <c r="D103" s="785"/>
      <c r="E103" s="786"/>
      <c r="F103" s="785"/>
      <c r="G103" s="786"/>
      <c r="H103" s="785"/>
      <c r="I103" s="786"/>
      <c r="J103" s="786"/>
      <c r="K103" s="786">
        <f>SUM(K102)</f>
        <v>14766.348000000002</v>
      </c>
      <c r="L103" s="786">
        <f>SUM(L102:L102)</f>
        <v>14766.348000000002</v>
      </c>
    </row>
    <row r="104" spans="1:12" s="578" customFormat="1" ht="20.25" customHeight="1" thickBot="1">
      <c r="A104" s="1189" t="s">
        <v>56</v>
      </c>
      <c r="B104" s="1189"/>
      <c r="C104" s="1189"/>
      <c r="D104" s="787">
        <f aca="true" t="shared" si="14" ref="D104:L104">SUM(D4:D103)/2</f>
        <v>276</v>
      </c>
      <c r="E104" s="788">
        <f t="shared" si="14"/>
        <v>21681.7608</v>
      </c>
      <c r="F104" s="787">
        <f t="shared" si="14"/>
        <v>27</v>
      </c>
      <c r="G104" s="788">
        <f t="shared" si="14"/>
        <v>11999.929999999998</v>
      </c>
      <c r="H104" s="787">
        <f t="shared" si="14"/>
        <v>170</v>
      </c>
      <c r="I104" s="788">
        <f t="shared" si="14"/>
        <v>11694.3779</v>
      </c>
      <c r="J104" s="788">
        <f t="shared" si="14"/>
        <v>11952.599999999999</v>
      </c>
      <c r="K104" s="788">
        <f t="shared" si="14"/>
        <v>85070.94799999999</v>
      </c>
      <c r="L104" s="788">
        <f t="shared" si="14"/>
        <v>142399.61669999998</v>
      </c>
    </row>
    <row r="105" ht="19.5" customHeight="1">
      <c r="A105" s="275" t="s">
        <v>179</v>
      </c>
    </row>
  </sheetData>
  <sheetProtection/>
  <mergeCells count="10">
    <mergeCell ref="A104:C104"/>
    <mergeCell ref="H2:I2"/>
    <mergeCell ref="J2:J3"/>
    <mergeCell ref="K2:K3"/>
    <mergeCell ref="L2:L3"/>
    <mergeCell ref="A2:A3"/>
    <mergeCell ref="B2:B3"/>
    <mergeCell ref="C2:C3"/>
    <mergeCell ref="F2:G2"/>
    <mergeCell ref="D2:E2"/>
  </mergeCells>
  <printOptions/>
  <pageMargins left="0" right="0" top="0.3937007874015748" bottom="0.2952755905511811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6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8.00390625" style="65" customWidth="1"/>
    <col min="2" max="2" width="7.28125" style="55" customWidth="1"/>
    <col min="3" max="3" width="8.7109375" style="413" customWidth="1"/>
    <col min="4" max="4" width="7.00390625" style="55" customWidth="1"/>
    <col min="5" max="5" width="10.00390625" style="413" customWidth="1"/>
    <col min="6" max="6" width="7.28125" style="55" customWidth="1"/>
    <col min="7" max="7" width="7.57421875" style="409" customWidth="1"/>
    <col min="8" max="8" width="7.28125" style="65" customWidth="1"/>
    <col min="9" max="9" width="9.57421875" style="409" customWidth="1"/>
    <col min="10" max="10" width="7.57421875" style="65" customWidth="1"/>
    <col min="11" max="11" width="9.00390625" style="409" customWidth="1"/>
    <col min="16" max="16384" width="9.140625" style="65" customWidth="1"/>
  </cols>
  <sheetData>
    <row r="1" spans="1:15" s="69" customFormat="1" ht="23.25" customHeight="1" thickBot="1">
      <c r="A1" s="175" t="s">
        <v>322</v>
      </c>
      <c r="B1" s="93"/>
      <c r="C1" s="410"/>
      <c r="D1" s="93"/>
      <c r="E1" s="410"/>
      <c r="F1" s="93"/>
      <c r="G1" s="410"/>
      <c r="H1" s="400" t="s">
        <v>0</v>
      </c>
      <c r="I1" s="410"/>
      <c r="J1" s="79"/>
      <c r="L1"/>
      <c r="M1"/>
      <c r="N1"/>
      <c r="O1"/>
    </row>
    <row r="2" spans="1:15" s="69" customFormat="1" ht="70.5" customHeight="1">
      <c r="A2" s="1185" t="s">
        <v>1</v>
      </c>
      <c r="B2" s="1201" t="s">
        <v>66</v>
      </c>
      <c r="C2" s="1201"/>
      <c r="D2" s="1201" t="s">
        <v>73</v>
      </c>
      <c r="E2" s="1201"/>
      <c r="F2" s="1201" t="s">
        <v>74</v>
      </c>
      <c r="G2" s="1201"/>
      <c r="H2" s="1202" t="s">
        <v>87</v>
      </c>
      <c r="I2" s="1202"/>
      <c r="J2" s="1200" t="s">
        <v>61</v>
      </c>
      <c r="K2" s="1200"/>
      <c r="L2"/>
      <c r="M2"/>
      <c r="N2"/>
      <c r="O2"/>
    </row>
    <row r="3" spans="1:15" s="69" customFormat="1" ht="19.5" customHeight="1" thickBot="1">
      <c r="A3" s="1186"/>
      <c r="B3" s="163" t="s">
        <v>10</v>
      </c>
      <c r="C3" s="401" t="s">
        <v>9</v>
      </c>
      <c r="D3" s="163" t="s">
        <v>10</v>
      </c>
      <c r="E3" s="401" t="s">
        <v>9</v>
      </c>
      <c r="F3" s="163" t="s">
        <v>10</v>
      </c>
      <c r="G3" s="401" t="s">
        <v>9</v>
      </c>
      <c r="H3" s="163" t="s">
        <v>10</v>
      </c>
      <c r="I3" s="401" t="s">
        <v>9</v>
      </c>
      <c r="J3" s="163" t="s">
        <v>10</v>
      </c>
      <c r="K3" s="401" t="s">
        <v>9</v>
      </c>
      <c r="L3"/>
      <c r="M3"/>
      <c r="N3"/>
      <c r="O3"/>
    </row>
    <row r="4" spans="1:15" s="63" customFormat="1" ht="18.75" customHeight="1">
      <c r="A4" s="501" t="s">
        <v>64</v>
      </c>
      <c r="B4" s="161"/>
      <c r="C4" s="403"/>
      <c r="D4" s="85"/>
      <c r="E4" s="403"/>
      <c r="F4" s="161"/>
      <c r="G4" s="403"/>
      <c r="H4" s="160"/>
      <c r="I4" s="403"/>
      <c r="J4" s="158"/>
      <c r="K4" s="416"/>
      <c r="L4"/>
      <c r="M4"/>
      <c r="N4"/>
      <c r="O4"/>
    </row>
    <row r="5" spans="1:15" s="63" customFormat="1" ht="18.75" customHeight="1">
      <c r="A5" s="44" t="s">
        <v>11</v>
      </c>
      <c r="B5" s="161"/>
      <c r="C5" s="403"/>
      <c r="D5" s="161"/>
      <c r="E5" s="403"/>
      <c r="F5" s="161">
        <v>1</v>
      </c>
      <c r="G5" s="403">
        <v>27.8</v>
      </c>
      <c r="H5" s="160"/>
      <c r="I5" s="403"/>
      <c r="J5" s="158">
        <f aca="true" t="shared" si="0" ref="J5:K8">B5+D5+F5+H5</f>
        <v>1</v>
      </c>
      <c r="K5" s="416">
        <f t="shared" si="0"/>
        <v>27.8</v>
      </c>
      <c r="L5"/>
      <c r="M5"/>
      <c r="N5"/>
      <c r="O5"/>
    </row>
    <row r="6" spans="1:15" s="63" customFormat="1" ht="18.75" customHeight="1">
      <c r="A6" s="44" t="s">
        <v>12</v>
      </c>
      <c r="B6" s="161"/>
      <c r="C6" s="403"/>
      <c r="D6" s="161"/>
      <c r="E6" s="403"/>
      <c r="F6" s="161">
        <v>1</v>
      </c>
      <c r="G6" s="403">
        <v>27.8</v>
      </c>
      <c r="H6" s="160"/>
      <c r="I6" s="403"/>
      <c r="J6" s="158">
        <f t="shared" si="0"/>
        <v>1</v>
      </c>
      <c r="K6" s="416">
        <f t="shared" si="0"/>
        <v>27.8</v>
      </c>
      <c r="L6"/>
      <c r="M6"/>
      <c r="N6"/>
      <c r="O6"/>
    </row>
    <row r="7" spans="1:15" s="63" customFormat="1" ht="18.75" customHeight="1">
      <c r="A7" s="44" t="s">
        <v>13</v>
      </c>
      <c r="B7" s="161"/>
      <c r="C7" s="403"/>
      <c r="D7" s="161"/>
      <c r="E7" s="403"/>
      <c r="F7" s="161">
        <v>1</v>
      </c>
      <c r="G7" s="403">
        <v>27.8</v>
      </c>
      <c r="H7" s="160"/>
      <c r="I7" s="403"/>
      <c r="J7" s="158">
        <f t="shared" si="0"/>
        <v>1</v>
      </c>
      <c r="K7" s="416">
        <f t="shared" si="0"/>
        <v>27.8</v>
      </c>
      <c r="L7"/>
      <c r="M7"/>
      <c r="N7"/>
      <c r="O7"/>
    </row>
    <row r="8" spans="1:15" s="252" customFormat="1" ht="18.75" customHeight="1">
      <c r="A8" s="46" t="s">
        <v>14</v>
      </c>
      <c r="B8" s="250"/>
      <c r="C8" s="411"/>
      <c r="D8" s="250"/>
      <c r="E8" s="414"/>
      <c r="F8" s="250">
        <v>1</v>
      </c>
      <c r="G8" s="411">
        <v>27.8</v>
      </c>
      <c r="H8" s="249"/>
      <c r="I8" s="411"/>
      <c r="J8" s="158">
        <f t="shared" si="0"/>
        <v>1</v>
      </c>
      <c r="K8" s="416">
        <f t="shared" si="0"/>
        <v>27.8</v>
      </c>
      <c r="L8" s="240"/>
      <c r="M8" s="240"/>
      <c r="N8" s="240"/>
      <c r="O8" s="240"/>
    </row>
    <row r="9" spans="1:15" s="69" customFormat="1" ht="21.75" thickBot="1">
      <c r="A9" s="102" t="s">
        <v>61</v>
      </c>
      <c r="B9" s="144"/>
      <c r="C9" s="404"/>
      <c r="D9" s="144"/>
      <c r="E9" s="404"/>
      <c r="F9" s="144">
        <f>SUM(F4:F8)</f>
        <v>4</v>
      </c>
      <c r="G9" s="404">
        <f>SUM(G4:G8)</f>
        <v>111.2</v>
      </c>
      <c r="H9" s="144"/>
      <c r="I9" s="404"/>
      <c r="J9" s="144">
        <f>SUM(J5:J8)</f>
        <v>4</v>
      </c>
      <c r="K9" s="1078">
        <f>SUM(K5:K8)</f>
        <v>111.2</v>
      </c>
      <c r="L9"/>
      <c r="M9"/>
      <c r="N9"/>
      <c r="O9"/>
    </row>
    <row r="10" spans="1:15" s="69" customFormat="1" ht="29.25" customHeight="1">
      <c r="A10" s="99"/>
      <c r="B10" s="99"/>
      <c r="C10" s="412"/>
      <c r="D10" s="99"/>
      <c r="E10" s="412"/>
      <c r="F10" s="99"/>
      <c r="G10" s="412"/>
      <c r="H10" s="100"/>
      <c r="I10" s="412"/>
      <c r="J10" s="101"/>
      <c r="K10" s="405"/>
      <c r="L10"/>
      <c r="M10"/>
      <c r="N10"/>
      <c r="O10"/>
    </row>
    <row r="11" spans="1:15" s="69" customFormat="1" ht="21.75" customHeight="1">
      <c r="A11" s="66"/>
      <c r="B11" s="103"/>
      <c r="C11" s="406"/>
      <c r="D11" s="103"/>
      <c r="E11" s="406"/>
      <c r="F11" s="103"/>
      <c r="G11" s="406"/>
      <c r="H11" s="103"/>
      <c r="I11" s="406"/>
      <c r="J11" s="103"/>
      <c r="K11" s="406"/>
      <c r="L11"/>
      <c r="M11"/>
      <c r="N11"/>
      <c r="O11"/>
    </row>
    <row r="12" spans="1:15" s="69" customFormat="1" ht="18" customHeight="1">
      <c r="A12" s="79"/>
      <c r="B12" s="97"/>
      <c r="C12" s="402"/>
      <c r="D12" s="61"/>
      <c r="E12" s="415"/>
      <c r="F12" s="97"/>
      <c r="G12" s="402"/>
      <c r="H12" s="97"/>
      <c r="I12" s="402"/>
      <c r="J12" s="48"/>
      <c r="K12" s="407"/>
      <c r="L12"/>
      <c r="M12"/>
      <c r="N12"/>
      <c r="O12"/>
    </row>
    <row r="13" spans="3:11" ht="17.25" customHeight="1">
      <c r="C13" s="408"/>
      <c r="E13" s="408"/>
      <c r="G13" s="408"/>
      <c r="I13" s="408"/>
      <c r="K13" s="408"/>
    </row>
    <row r="14" spans="1:15" s="69" customFormat="1" ht="23.25" customHeight="1">
      <c r="A14" s="175"/>
      <c r="B14" s="93"/>
      <c r="C14" s="410"/>
      <c r="D14" s="93"/>
      <c r="E14" s="410"/>
      <c r="F14" s="93"/>
      <c r="G14" s="410"/>
      <c r="H14" s="94"/>
      <c r="I14" s="410"/>
      <c r="J14" s="79"/>
      <c r="K14" s="400"/>
      <c r="L14"/>
      <c r="M14"/>
      <c r="N14"/>
      <c r="O14"/>
    </row>
    <row r="15" spans="3:11" ht="20.25" customHeight="1">
      <c r="C15" s="408"/>
      <c r="E15" s="408"/>
      <c r="G15" s="408"/>
      <c r="I15" s="408"/>
      <c r="K15" s="408"/>
    </row>
    <row r="16" spans="3:11" ht="20.25" customHeight="1">
      <c r="C16" s="408"/>
      <c r="E16" s="408"/>
      <c r="G16" s="408"/>
      <c r="I16" s="408"/>
      <c r="K16" s="408"/>
    </row>
    <row r="17" spans="3:11" ht="20.25" customHeight="1">
      <c r="C17" s="408"/>
      <c r="E17" s="408"/>
      <c r="G17" s="408"/>
      <c r="I17" s="408"/>
      <c r="K17" s="408"/>
    </row>
    <row r="18" spans="3:11" ht="20.25" customHeight="1">
      <c r="C18" s="408"/>
      <c r="E18" s="408"/>
      <c r="G18" s="408"/>
      <c r="I18" s="408"/>
      <c r="K18" s="408"/>
    </row>
    <row r="19" spans="3:11" ht="20.25" customHeight="1">
      <c r="C19" s="408"/>
      <c r="E19" s="408"/>
      <c r="G19" s="408"/>
      <c r="I19" s="408"/>
      <c r="K19" s="408"/>
    </row>
    <row r="20" spans="3:11" ht="20.25" customHeight="1">
      <c r="C20" s="408"/>
      <c r="E20" s="408"/>
      <c r="G20" s="408"/>
      <c r="I20" s="408"/>
      <c r="K20" s="408"/>
    </row>
    <row r="21" spans="3:11" ht="20.25" customHeight="1">
      <c r="C21" s="408"/>
      <c r="E21" s="408"/>
      <c r="G21" s="408"/>
      <c r="I21" s="408"/>
      <c r="K21" s="408"/>
    </row>
    <row r="22" spans="3:11" ht="20.25" customHeight="1">
      <c r="C22" s="408"/>
      <c r="E22" s="408"/>
      <c r="G22" s="408"/>
      <c r="I22" s="408"/>
      <c r="K22" s="408"/>
    </row>
    <row r="23" spans="3:11" ht="20.25" customHeight="1">
      <c r="C23" s="408"/>
      <c r="E23" s="408"/>
      <c r="G23" s="408"/>
      <c r="I23" s="408"/>
      <c r="K23" s="408"/>
    </row>
    <row r="24" spans="3:11" ht="20.25" customHeight="1">
      <c r="C24" s="408"/>
      <c r="E24" s="408"/>
      <c r="G24" s="408"/>
      <c r="I24" s="408"/>
      <c r="K24" s="408"/>
    </row>
    <row r="25" spans="3:11" ht="20.25" customHeight="1">
      <c r="C25" s="408"/>
      <c r="E25" s="408"/>
      <c r="G25" s="408"/>
      <c r="I25" s="408"/>
      <c r="K25" s="408"/>
    </row>
    <row r="26" spans="3:11" ht="20.25" customHeight="1">
      <c r="C26" s="408"/>
      <c r="E26" s="408"/>
      <c r="G26" s="408"/>
      <c r="I26" s="408"/>
      <c r="K26" s="408"/>
    </row>
    <row r="27" spans="3:11" ht="20.25" customHeight="1">
      <c r="C27" s="408"/>
      <c r="E27" s="408"/>
      <c r="G27" s="408"/>
      <c r="I27" s="408"/>
      <c r="K27" s="408"/>
    </row>
    <row r="28" spans="3:11" ht="20.25" customHeight="1">
      <c r="C28" s="408"/>
      <c r="E28" s="408"/>
      <c r="G28" s="408"/>
      <c r="I28" s="408"/>
      <c r="K28" s="408"/>
    </row>
    <row r="29" spans="3:11" ht="20.25" customHeight="1">
      <c r="C29" s="408"/>
      <c r="E29" s="408"/>
      <c r="G29" s="408"/>
      <c r="I29" s="408"/>
      <c r="K29" s="408"/>
    </row>
    <row r="30" spans="3:11" ht="20.25" customHeight="1">
      <c r="C30" s="408"/>
      <c r="E30" s="408"/>
      <c r="G30" s="408"/>
      <c r="I30" s="408"/>
      <c r="K30" s="408"/>
    </row>
    <row r="31" spans="3:11" ht="20.25" customHeight="1">
      <c r="C31" s="408"/>
      <c r="E31" s="408"/>
      <c r="G31" s="408"/>
      <c r="I31" s="408"/>
      <c r="K31" s="408"/>
    </row>
    <row r="32" spans="3:11" ht="20.25" customHeight="1">
      <c r="C32" s="408"/>
      <c r="E32" s="408"/>
      <c r="G32" s="408"/>
      <c r="I32" s="408"/>
      <c r="K32" s="408"/>
    </row>
    <row r="33" spans="3:11" ht="20.25" customHeight="1">
      <c r="C33" s="408"/>
      <c r="E33" s="408"/>
      <c r="G33" s="408"/>
      <c r="I33" s="408"/>
      <c r="K33" s="408"/>
    </row>
    <row r="34" spans="3:11" ht="20.25" customHeight="1">
      <c r="C34" s="408"/>
      <c r="E34" s="408"/>
      <c r="G34" s="408"/>
      <c r="I34" s="408"/>
      <c r="K34" s="408"/>
    </row>
    <row r="35" spans="3:11" ht="20.25" customHeight="1">
      <c r="C35" s="408"/>
      <c r="E35" s="408"/>
      <c r="G35" s="408"/>
      <c r="I35" s="408"/>
      <c r="K35" s="408"/>
    </row>
    <row r="36" spans="3:11" ht="20.25" customHeight="1">
      <c r="C36" s="408"/>
      <c r="E36" s="408"/>
      <c r="G36" s="408"/>
      <c r="I36" s="408"/>
      <c r="K36" s="408"/>
    </row>
    <row r="37" spans="3:11" ht="20.25" customHeight="1">
      <c r="C37" s="408"/>
      <c r="E37" s="408"/>
      <c r="G37" s="408"/>
      <c r="I37" s="408"/>
      <c r="K37" s="408"/>
    </row>
    <row r="38" spans="3:11" ht="20.25" customHeight="1">
      <c r="C38" s="408"/>
      <c r="E38" s="408"/>
      <c r="G38" s="408"/>
      <c r="I38" s="408"/>
      <c r="K38" s="408"/>
    </row>
    <row r="39" spans="3:11" ht="20.25" customHeight="1">
      <c r="C39" s="408"/>
      <c r="E39" s="408"/>
      <c r="G39" s="408"/>
      <c r="I39" s="408"/>
      <c r="K39" s="408"/>
    </row>
    <row r="40" spans="3:11" ht="20.25" customHeight="1">
      <c r="C40" s="408"/>
      <c r="E40" s="408"/>
      <c r="G40" s="408"/>
      <c r="I40" s="408"/>
      <c r="K40" s="408"/>
    </row>
    <row r="41" spans="3:11" ht="20.25" customHeight="1">
      <c r="C41" s="408"/>
      <c r="E41" s="408"/>
      <c r="G41" s="408"/>
      <c r="I41" s="408"/>
      <c r="K41" s="408"/>
    </row>
    <row r="42" spans="3:11" ht="20.25" customHeight="1">
      <c r="C42" s="408"/>
      <c r="E42" s="408"/>
      <c r="G42" s="408"/>
      <c r="I42" s="408"/>
      <c r="K42" s="408"/>
    </row>
    <row r="43" spans="3:11" ht="20.25" customHeight="1">
      <c r="C43" s="408"/>
      <c r="E43" s="408"/>
      <c r="G43" s="408"/>
      <c r="I43" s="408"/>
      <c r="K43" s="408"/>
    </row>
    <row r="44" spans="3:11" ht="20.25" customHeight="1">
      <c r="C44" s="408"/>
      <c r="E44" s="408"/>
      <c r="G44" s="408"/>
      <c r="I44" s="408"/>
      <c r="K44" s="408"/>
    </row>
    <row r="45" spans="3:11" ht="20.25" customHeight="1">
      <c r="C45" s="408"/>
      <c r="E45" s="408"/>
      <c r="G45" s="408"/>
      <c r="I45" s="408"/>
      <c r="K45" s="408"/>
    </row>
    <row r="46" spans="3:11" ht="20.25" customHeight="1">
      <c r="C46" s="408"/>
      <c r="E46" s="408"/>
      <c r="G46" s="408"/>
      <c r="I46" s="408"/>
      <c r="K46" s="408"/>
    </row>
    <row r="47" spans="3:11" ht="20.25" customHeight="1">
      <c r="C47" s="408"/>
      <c r="E47" s="408"/>
      <c r="G47" s="408"/>
      <c r="I47" s="408"/>
      <c r="K47" s="408"/>
    </row>
    <row r="48" spans="3:11" ht="20.25" customHeight="1">
      <c r="C48" s="408"/>
      <c r="E48" s="408"/>
      <c r="G48" s="408"/>
      <c r="I48" s="408"/>
      <c r="K48" s="408"/>
    </row>
    <row r="49" spans="3:11" ht="20.25" customHeight="1">
      <c r="C49" s="408"/>
      <c r="E49" s="408"/>
      <c r="G49" s="408"/>
      <c r="I49" s="408"/>
      <c r="K49" s="408"/>
    </row>
    <row r="50" spans="3:11" ht="20.25" customHeight="1">
      <c r="C50" s="408"/>
      <c r="E50" s="408"/>
      <c r="G50" s="408"/>
      <c r="I50" s="408"/>
      <c r="K50" s="408"/>
    </row>
    <row r="51" spans="3:11" ht="20.25" customHeight="1">
      <c r="C51" s="408"/>
      <c r="E51" s="408"/>
      <c r="G51" s="408"/>
      <c r="I51" s="408"/>
      <c r="K51" s="408"/>
    </row>
    <row r="52" spans="3:11" ht="20.25" customHeight="1">
      <c r="C52" s="408"/>
      <c r="E52" s="408"/>
      <c r="G52" s="408"/>
      <c r="I52" s="408"/>
      <c r="K52" s="408"/>
    </row>
    <row r="53" spans="3:11" ht="20.25" customHeight="1">
      <c r="C53" s="408"/>
      <c r="E53" s="408"/>
      <c r="G53" s="408"/>
      <c r="I53" s="408"/>
      <c r="K53" s="408"/>
    </row>
    <row r="54" spans="3:11" ht="20.25" customHeight="1">
      <c r="C54" s="408"/>
      <c r="E54" s="408"/>
      <c r="G54" s="408"/>
      <c r="I54" s="408"/>
      <c r="K54" s="408"/>
    </row>
    <row r="55" spans="3:11" ht="20.25" customHeight="1">
      <c r="C55" s="408"/>
      <c r="E55" s="408"/>
      <c r="G55" s="408"/>
      <c r="I55" s="408"/>
      <c r="K55" s="408"/>
    </row>
    <row r="56" spans="3:11" ht="20.25" customHeight="1">
      <c r="C56" s="408"/>
      <c r="E56" s="408"/>
      <c r="G56" s="408"/>
      <c r="I56" s="408"/>
      <c r="K56" s="408"/>
    </row>
    <row r="57" spans="3:11" ht="20.25" customHeight="1">
      <c r="C57" s="408"/>
      <c r="E57" s="408"/>
      <c r="G57" s="408"/>
      <c r="I57" s="408"/>
      <c r="K57" s="408"/>
    </row>
    <row r="58" spans="3:11" ht="20.25" customHeight="1">
      <c r="C58" s="408"/>
      <c r="E58" s="408"/>
      <c r="G58" s="408"/>
      <c r="I58" s="408"/>
      <c r="K58" s="408"/>
    </row>
    <row r="59" spans="3:11" ht="20.25" customHeight="1">
      <c r="C59" s="408"/>
      <c r="E59" s="408"/>
      <c r="G59" s="408"/>
      <c r="I59" s="408"/>
      <c r="K59" s="408"/>
    </row>
    <row r="60" spans="3:11" ht="20.25" customHeight="1">
      <c r="C60" s="408"/>
      <c r="E60" s="408"/>
      <c r="G60" s="408"/>
      <c r="I60" s="408"/>
      <c r="K60" s="408"/>
    </row>
  </sheetData>
  <sheetProtection/>
  <mergeCells count="6">
    <mergeCell ref="A2:A3"/>
    <mergeCell ref="J2:K2"/>
    <mergeCell ref="D2:E2"/>
    <mergeCell ref="B2:C2"/>
    <mergeCell ref="F2:G2"/>
    <mergeCell ref="H2:I2"/>
  </mergeCells>
  <printOptions horizontalCentered="1"/>
  <pageMargins left="0.25" right="0.354330708661417" top="1.04" bottom="0.31" header="0.31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L61"/>
  <sheetViews>
    <sheetView zoomScalePageLayoutView="0" workbookViewId="0" topLeftCell="A1">
      <pane xSplit="1" ySplit="3" topLeftCell="B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1" sqref="G31"/>
    </sheetView>
  </sheetViews>
  <sheetFormatPr defaultColWidth="9.140625" defaultRowHeight="12.75"/>
  <cols>
    <col min="1" max="1" width="13.57421875" style="108" customWidth="1"/>
    <col min="2" max="2" width="4.7109375" style="132" customWidth="1"/>
    <col min="3" max="3" width="8.140625" style="308" customWidth="1"/>
    <col min="4" max="4" width="4.421875" style="133" customWidth="1"/>
    <col min="5" max="5" width="7.421875" style="324" customWidth="1"/>
    <col min="6" max="6" width="4.7109375" style="108" bestFit="1" customWidth="1"/>
    <col min="7" max="7" width="8.28125" style="321" bestFit="1" customWidth="1"/>
    <col min="8" max="8" width="5.140625" style="134" customWidth="1"/>
    <col min="9" max="9" width="8.28125" style="108" customWidth="1"/>
    <col min="10" max="10" width="4.421875" style="108" customWidth="1"/>
    <col min="11" max="11" width="9.140625" style="263" customWidth="1"/>
    <col min="12" max="12" width="4.7109375" style="134" customWidth="1"/>
    <col min="13" max="13" width="8.421875" style="133" customWidth="1"/>
    <col min="14" max="14" width="5.421875" style="134" customWidth="1"/>
    <col min="15" max="15" width="9.00390625" style="108" customWidth="1"/>
    <col min="16" max="16" width="4.7109375" style="134" customWidth="1"/>
    <col min="17" max="17" width="6.7109375" style="108" customWidth="1"/>
    <col min="18" max="18" width="5.00390625" style="134" bestFit="1" customWidth="1"/>
    <col min="19" max="19" width="9.57421875" style="321" customWidth="1"/>
    <col min="20" max="20" width="7.8515625" style="0" customWidth="1"/>
    <col min="21" max="21" width="5.00390625" style="0" customWidth="1"/>
    <col min="23" max="23" width="5.00390625" style="0" customWidth="1"/>
    <col min="25" max="25" width="4.8515625" style="0" customWidth="1"/>
    <col min="27" max="27" width="4.8515625" style="0" customWidth="1"/>
    <col min="29" max="29" width="4.8515625" style="0" customWidth="1"/>
    <col min="31" max="31" width="4.7109375" style="0" customWidth="1"/>
    <col min="33" max="33" width="5.00390625" style="0" customWidth="1"/>
    <col min="35" max="35" width="5.140625" style="0" customWidth="1"/>
    <col min="37" max="37" width="4.8515625" style="0" customWidth="1"/>
    <col min="39" max="39" width="4.8515625" style="108" customWidth="1"/>
    <col min="40" max="40" width="9.140625" style="108" customWidth="1"/>
    <col min="41" max="41" width="4.7109375" style="108" customWidth="1"/>
    <col min="42" max="42" width="9.140625" style="108" customWidth="1"/>
    <col min="43" max="43" width="5.140625" style="108" customWidth="1"/>
    <col min="44" max="44" width="9.140625" style="108" customWidth="1"/>
    <col min="45" max="45" width="5.140625" style="108" customWidth="1"/>
    <col min="46" max="16384" width="9.140625" style="108" customWidth="1"/>
  </cols>
  <sheetData>
    <row r="1" spans="1:38" s="56" customFormat="1" ht="29.25" customHeight="1" thickBot="1">
      <c r="A1" s="176" t="s">
        <v>323</v>
      </c>
      <c r="B1" s="132"/>
      <c r="C1" s="308"/>
      <c r="D1" s="133"/>
      <c r="E1" s="324"/>
      <c r="F1" s="133"/>
      <c r="G1" s="324"/>
      <c r="H1" s="134"/>
      <c r="I1" s="133"/>
      <c r="J1" s="133"/>
      <c r="K1" s="308"/>
      <c r="N1" s="134"/>
      <c r="P1" s="71"/>
      <c r="Q1" s="71"/>
      <c r="R1" s="71"/>
      <c r="S1" s="315" t="s">
        <v>0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s="56" customFormat="1" ht="73.5" customHeight="1" thickBot="1">
      <c r="A2" s="1185" t="s">
        <v>1</v>
      </c>
      <c r="B2" s="1187" t="s">
        <v>66</v>
      </c>
      <c r="C2" s="1187"/>
      <c r="D2" s="1183" t="s">
        <v>68</v>
      </c>
      <c r="E2" s="1183"/>
      <c r="F2" s="1204" t="s">
        <v>79</v>
      </c>
      <c r="G2" s="1204"/>
      <c r="H2" s="1204" t="s">
        <v>72</v>
      </c>
      <c r="I2" s="1204"/>
      <c r="J2" s="1204" t="s">
        <v>73</v>
      </c>
      <c r="K2" s="1204"/>
      <c r="L2" s="1184" t="s">
        <v>74</v>
      </c>
      <c r="M2" s="1184"/>
      <c r="N2" s="1205" t="s">
        <v>76</v>
      </c>
      <c r="O2" s="1205"/>
      <c r="P2" s="1203" t="s">
        <v>287</v>
      </c>
      <c r="Q2" s="1203"/>
      <c r="R2" s="1188" t="s">
        <v>61</v>
      </c>
      <c r="S2" s="1188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56" customFormat="1" ht="23.25" customHeight="1" thickBot="1">
      <c r="A3" s="1186"/>
      <c r="B3" s="157" t="s">
        <v>10</v>
      </c>
      <c r="C3" s="309" t="s">
        <v>9</v>
      </c>
      <c r="D3" s="157" t="s">
        <v>10</v>
      </c>
      <c r="E3" s="316" t="s">
        <v>9</v>
      </c>
      <c r="F3" s="157" t="s">
        <v>10</v>
      </c>
      <c r="G3" s="316" t="s">
        <v>9</v>
      </c>
      <c r="H3" s="88" t="s">
        <v>10</v>
      </c>
      <c r="I3" s="152" t="s">
        <v>9</v>
      </c>
      <c r="J3" s="88" t="s">
        <v>10</v>
      </c>
      <c r="K3" s="309" t="s">
        <v>9</v>
      </c>
      <c r="L3" s="88" t="s">
        <v>10</v>
      </c>
      <c r="M3" s="152" t="s">
        <v>9</v>
      </c>
      <c r="N3" s="88" t="s">
        <v>10</v>
      </c>
      <c r="O3" s="152" t="s">
        <v>9</v>
      </c>
      <c r="P3" s="152" t="s">
        <v>10</v>
      </c>
      <c r="Q3" s="152" t="s">
        <v>9</v>
      </c>
      <c r="R3" s="152" t="s">
        <v>10</v>
      </c>
      <c r="S3" s="316" t="s">
        <v>9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56" customFormat="1" ht="21.75" customHeight="1">
      <c r="A4" s="72" t="s">
        <v>80</v>
      </c>
      <c r="B4" s="58"/>
      <c r="C4" s="310"/>
      <c r="D4" s="59"/>
      <c r="E4" s="317"/>
      <c r="F4" s="59"/>
      <c r="G4" s="317"/>
      <c r="H4" s="60"/>
      <c r="I4" s="59"/>
      <c r="J4" s="59"/>
      <c r="K4" s="310"/>
      <c r="L4" s="60"/>
      <c r="M4" s="59"/>
      <c r="N4" s="60"/>
      <c r="O4" s="59"/>
      <c r="P4" s="60"/>
      <c r="Q4" s="59"/>
      <c r="R4" s="60"/>
      <c r="S4" s="317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76" customFormat="1" ht="23.25" customHeight="1">
      <c r="A5" s="106" t="s">
        <v>81</v>
      </c>
      <c r="B5" s="838"/>
      <c r="C5" s="839"/>
      <c r="D5" s="838"/>
      <c r="E5" s="840"/>
      <c r="F5" s="838"/>
      <c r="G5" s="840">
        <v>243.8</v>
      </c>
      <c r="H5" s="838"/>
      <c r="I5" s="838"/>
      <c r="J5" s="841"/>
      <c r="K5" s="839"/>
      <c r="L5" s="838"/>
      <c r="M5" s="838"/>
      <c r="N5" s="838"/>
      <c r="O5" s="838"/>
      <c r="P5" s="838"/>
      <c r="Q5" s="838"/>
      <c r="R5" s="86">
        <f aca="true" t="shared" si="0" ref="R5:S8">SUM(B5,D5,F5,H5,J5,L5,N5,P5)</f>
        <v>0</v>
      </c>
      <c r="S5" s="319">
        <f t="shared" si="0"/>
        <v>243.8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76" customFormat="1" ht="23.25" customHeight="1">
      <c r="A6" s="106" t="s">
        <v>82</v>
      </c>
      <c r="B6" s="838"/>
      <c r="C6" s="839"/>
      <c r="D6" s="849"/>
      <c r="E6" s="840"/>
      <c r="F6" s="841"/>
      <c r="G6" s="840"/>
      <c r="H6" s="838"/>
      <c r="I6" s="838">
        <v>41.5</v>
      </c>
      <c r="J6" s="849"/>
      <c r="K6" s="839">
        <v>128.6</v>
      </c>
      <c r="L6" s="838"/>
      <c r="M6" s="840"/>
      <c r="N6" s="838"/>
      <c r="O6" s="840"/>
      <c r="P6" s="838"/>
      <c r="Q6" s="838"/>
      <c r="R6" s="86">
        <f t="shared" si="0"/>
        <v>0</v>
      </c>
      <c r="S6" s="319">
        <f t="shared" si="0"/>
        <v>170.1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76" customFormat="1" ht="23.25" customHeight="1">
      <c r="A7" s="106" t="s">
        <v>83</v>
      </c>
      <c r="B7" s="849"/>
      <c r="C7" s="849"/>
      <c r="D7" s="838"/>
      <c r="E7" s="840"/>
      <c r="F7" s="838"/>
      <c r="G7" s="840">
        <v>264.8</v>
      </c>
      <c r="H7" s="838"/>
      <c r="I7" s="838">
        <v>165.4</v>
      </c>
      <c r="J7" s="838"/>
      <c r="K7" s="839">
        <v>284.5</v>
      </c>
      <c r="L7" s="838"/>
      <c r="M7" s="838"/>
      <c r="N7" s="838"/>
      <c r="O7" s="838"/>
      <c r="P7" s="838"/>
      <c r="Q7" s="838"/>
      <c r="R7" s="86">
        <f t="shared" si="0"/>
        <v>0</v>
      </c>
      <c r="S7" s="319">
        <f t="shared" si="0"/>
        <v>714.7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76" customFormat="1" ht="23.25" customHeight="1">
      <c r="A8" s="106" t="s">
        <v>84</v>
      </c>
      <c r="B8" s="838"/>
      <c r="C8" s="839"/>
      <c r="D8" s="838"/>
      <c r="E8" s="840"/>
      <c r="F8" s="838"/>
      <c r="G8" s="840"/>
      <c r="H8" s="849"/>
      <c r="I8" s="865">
        <v>170.3</v>
      </c>
      <c r="J8" s="849"/>
      <c r="K8" s="839"/>
      <c r="L8" s="849"/>
      <c r="M8" s="838"/>
      <c r="N8" s="838"/>
      <c r="O8" s="838"/>
      <c r="P8" s="841"/>
      <c r="Q8" s="838"/>
      <c r="R8" s="86">
        <f t="shared" si="0"/>
        <v>0</v>
      </c>
      <c r="S8" s="319">
        <f t="shared" si="0"/>
        <v>170.3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198" customFormat="1" ht="24.75" customHeight="1">
      <c r="A9" s="77" t="s">
        <v>15</v>
      </c>
      <c r="B9" s="842"/>
      <c r="C9" s="843"/>
      <c r="D9" s="845"/>
      <c r="E9" s="846"/>
      <c r="F9" s="845"/>
      <c r="G9" s="846"/>
      <c r="H9" s="866"/>
      <c r="I9" s="866"/>
      <c r="J9" s="866"/>
      <c r="K9" s="847"/>
      <c r="L9" s="845"/>
      <c r="M9" s="848"/>
      <c r="N9" s="845"/>
      <c r="O9" s="845"/>
      <c r="P9" s="845"/>
      <c r="Q9" s="845"/>
      <c r="R9" s="84"/>
      <c r="S9" s="318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  <c r="AL9" s="326"/>
    </row>
    <row r="10" spans="1:38" s="40" customFormat="1" ht="24" customHeight="1">
      <c r="A10" s="106" t="s">
        <v>90</v>
      </c>
      <c r="B10" s="838"/>
      <c r="C10" s="839">
        <v>72.9</v>
      </c>
      <c r="D10" s="838"/>
      <c r="E10" s="840"/>
      <c r="F10" s="838"/>
      <c r="G10" s="840"/>
      <c r="H10" s="849"/>
      <c r="I10" s="849"/>
      <c r="J10" s="849"/>
      <c r="K10" s="839"/>
      <c r="L10" s="849"/>
      <c r="M10" s="838">
        <v>84.7</v>
      </c>
      <c r="N10" s="838"/>
      <c r="O10" s="838"/>
      <c r="P10" s="838"/>
      <c r="Q10" s="838"/>
      <c r="R10" s="86">
        <f>SUM(B10,D10,F10,H10,J10,L10,N10,P10)</f>
        <v>0</v>
      </c>
      <c r="S10" s="319">
        <f>SUM(C10,E10,G10,I10,K10,M10,O10,Q10)</f>
        <v>157.60000000000002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s="322" customFormat="1" ht="24" customHeight="1">
      <c r="A11" s="106" t="s">
        <v>91</v>
      </c>
      <c r="B11" s="838">
        <v>1</v>
      </c>
      <c r="C11" s="839">
        <v>103.8</v>
      </c>
      <c r="D11" s="838"/>
      <c r="E11" s="840"/>
      <c r="F11" s="838"/>
      <c r="G11" s="840"/>
      <c r="H11" s="838"/>
      <c r="I11" s="838"/>
      <c r="J11" s="838"/>
      <c r="K11" s="839"/>
      <c r="L11" s="838">
        <v>1</v>
      </c>
      <c r="M11" s="838">
        <v>167.9</v>
      </c>
      <c r="N11" s="841"/>
      <c r="O11" s="838"/>
      <c r="P11" s="838"/>
      <c r="Q11" s="838"/>
      <c r="R11" s="86">
        <f>SUM(B11,D11,F11,H11,J11,L11,N11,P11)</f>
        <v>2</v>
      </c>
      <c r="S11" s="319">
        <f>SUM(C11,E11,G11,I11,K11,M11,O11,Q11)</f>
        <v>271.7</v>
      </c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</row>
    <row r="12" spans="1:38" s="198" customFormat="1" ht="23.25" customHeight="1">
      <c r="A12" s="77" t="s">
        <v>356</v>
      </c>
      <c r="B12" s="842"/>
      <c r="C12" s="843"/>
      <c r="D12" s="845"/>
      <c r="E12" s="846"/>
      <c r="F12" s="848"/>
      <c r="G12" s="844"/>
      <c r="H12" s="845"/>
      <c r="I12" s="848"/>
      <c r="J12" s="848"/>
      <c r="K12" s="843"/>
      <c r="L12" s="845"/>
      <c r="M12" s="848"/>
      <c r="N12" s="845"/>
      <c r="O12" s="848"/>
      <c r="P12" s="845"/>
      <c r="Q12" s="848"/>
      <c r="R12" s="84"/>
      <c r="S12" s="318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6"/>
      <c r="AL12" s="326"/>
    </row>
    <row r="13" spans="1:38" s="40" customFormat="1" ht="23.25" customHeight="1">
      <c r="A13" s="106" t="s">
        <v>92</v>
      </c>
      <c r="B13" s="838"/>
      <c r="C13" s="839">
        <v>148</v>
      </c>
      <c r="D13" s="838"/>
      <c r="E13" s="840"/>
      <c r="F13" s="838"/>
      <c r="G13" s="840"/>
      <c r="H13" s="838"/>
      <c r="I13" s="838"/>
      <c r="J13" s="841"/>
      <c r="K13" s="839"/>
      <c r="L13" s="838">
        <v>1</v>
      </c>
      <c r="M13" s="838">
        <v>384.5</v>
      </c>
      <c r="N13" s="841"/>
      <c r="O13" s="838"/>
      <c r="P13" s="841"/>
      <c r="Q13" s="838"/>
      <c r="R13" s="86">
        <f aca="true" t="shared" si="1" ref="R13:S18">SUM(B13,D13,F13,H13,J13,L13,N13,P13)</f>
        <v>1</v>
      </c>
      <c r="S13" s="319">
        <f t="shared" si="1"/>
        <v>532.5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</row>
    <row r="14" spans="1:38" s="40" customFormat="1" ht="23.25" customHeight="1">
      <c r="A14" s="106" t="s">
        <v>88</v>
      </c>
      <c r="B14" s="849"/>
      <c r="C14" s="839">
        <v>80</v>
      </c>
      <c r="D14" s="838"/>
      <c r="E14" s="840"/>
      <c r="F14" s="849"/>
      <c r="G14" s="840"/>
      <c r="H14" s="841"/>
      <c r="I14" s="838"/>
      <c r="J14" s="838"/>
      <c r="K14" s="839"/>
      <c r="L14" s="838"/>
      <c r="M14" s="838"/>
      <c r="N14" s="838"/>
      <c r="O14" s="838"/>
      <c r="P14" s="849"/>
      <c r="Q14" s="838"/>
      <c r="R14" s="86">
        <f t="shared" si="1"/>
        <v>0</v>
      </c>
      <c r="S14" s="319">
        <f t="shared" si="1"/>
        <v>80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40" customFormat="1" ht="23.25" customHeight="1">
      <c r="A15" s="106" t="s">
        <v>116</v>
      </c>
      <c r="B15" s="838"/>
      <c r="C15" s="839"/>
      <c r="D15" s="838"/>
      <c r="E15" s="840"/>
      <c r="F15" s="841"/>
      <c r="G15" s="840"/>
      <c r="H15" s="841"/>
      <c r="I15" s="838"/>
      <c r="J15" s="849">
        <v>1</v>
      </c>
      <c r="K15" s="839">
        <v>196.5</v>
      </c>
      <c r="L15" s="838">
        <v>1</v>
      </c>
      <c r="M15" s="838">
        <v>256.2</v>
      </c>
      <c r="N15" s="849"/>
      <c r="O15" s="838"/>
      <c r="P15" s="849"/>
      <c r="Q15" s="838"/>
      <c r="R15" s="86">
        <f t="shared" si="1"/>
        <v>2</v>
      </c>
      <c r="S15" s="319">
        <f t="shared" si="1"/>
        <v>452.7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40" customFormat="1" ht="23.25" customHeight="1">
      <c r="A16" s="106" t="s">
        <v>93</v>
      </c>
      <c r="B16" s="838">
        <v>1</v>
      </c>
      <c r="C16" s="839">
        <v>51.4</v>
      </c>
      <c r="D16" s="838"/>
      <c r="E16" s="840"/>
      <c r="F16" s="841"/>
      <c r="G16" s="840"/>
      <c r="H16" s="838">
        <v>1</v>
      </c>
      <c r="I16" s="838">
        <v>105.2</v>
      </c>
      <c r="J16" s="849"/>
      <c r="K16" s="839"/>
      <c r="L16" s="838"/>
      <c r="M16" s="838"/>
      <c r="N16" s="849"/>
      <c r="O16" s="838"/>
      <c r="P16" s="838"/>
      <c r="Q16" s="838"/>
      <c r="R16" s="86">
        <f t="shared" si="1"/>
        <v>2</v>
      </c>
      <c r="S16" s="319">
        <f t="shared" si="1"/>
        <v>156.6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40" customFormat="1" ht="23.25" customHeight="1">
      <c r="A17" s="106" t="s">
        <v>117</v>
      </c>
      <c r="B17" s="838"/>
      <c r="C17" s="839"/>
      <c r="D17" s="838"/>
      <c r="E17" s="840"/>
      <c r="F17" s="838">
        <v>1</v>
      </c>
      <c r="G17" s="840">
        <v>255.5</v>
      </c>
      <c r="H17" s="838"/>
      <c r="I17" s="838"/>
      <c r="J17" s="838"/>
      <c r="K17" s="839"/>
      <c r="L17" s="838">
        <v>1</v>
      </c>
      <c r="M17" s="838">
        <v>677.1</v>
      </c>
      <c r="N17" s="838"/>
      <c r="O17" s="838"/>
      <c r="P17" s="838"/>
      <c r="Q17" s="838"/>
      <c r="R17" s="86">
        <f t="shared" si="1"/>
        <v>2</v>
      </c>
      <c r="S17" s="319">
        <f t="shared" si="1"/>
        <v>932.6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322" customFormat="1" ht="23.25" customHeight="1">
      <c r="A18" s="106" t="s">
        <v>94</v>
      </c>
      <c r="B18" s="838">
        <v>1</v>
      </c>
      <c r="C18" s="839">
        <v>159.8</v>
      </c>
      <c r="D18" s="838"/>
      <c r="E18" s="840"/>
      <c r="F18" s="838"/>
      <c r="G18" s="840"/>
      <c r="H18" s="838">
        <v>1</v>
      </c>
      <c r="I18" s="838">
        <v>93.3</v>
      </c>
      <c r="J18" s="849">
        <v>1</v>
      </c>
      <c r="K18" s="839">
        <v>52.3</v>
      </c>
      <c r="L18" s="838">
        <v>3</v>
      </c>
      <c r="M18" s="838">
        <v>321.8</v>
      </c>
      <c r="N18" s="838">
        <v>1</v>
      </c>
      <c r="O18" s="838">
        <v>114.8</v>
      </c>
      <c r="P18" s="838"/>
      <c r="Q18" s="838"/>
      <c r="R18" s="86">
        <f t="shared" si="1"/>
        <v>7</v>
      </c>
      <c r="S18" s="319">
        <f t="shared" si="1"/>
        <v>742</v>
      </c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</row>
    <row r="19" spans="1:38" s="327" customFormat="1" ht="23.25" customHeight="1">
      <c r="A19" s="14" t="s">
        <v>363</v>
      </c>
      <c r="B19" s="842"/>
      <c r="C19" s="850"/>
      <c r="D19" s="842"/>
      <c r="E19" s="851"/>
      <c r="F19" s="842"/>
      <c r="G19" s="851"/>
      <c r="H19" s="842"/>
      <c r="I19" s="852"/>
      <c r="J19" s="842"/>
      <c r="K19" s="850"/>
      <c r="L19" s="842"/>
      <c r="M19" s="852"/>
      <c r="N19" s="842"/>
      <c r="O19" s="852"/>
      <c r="P19" s="842"/>
      <c r="Q19" s="852"/>
      <c r="R19" s="84"/>
      <c r="S19" s="318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</row>
    <row r="20" spans="1:38" s="246" customFormat="1" ht="23.25" customHeight="1">
      <c r="A20" s="162" t="s">
        <v>145</v>
      </c>
      <c r="B20" s="853"/>
      <c r="C20" s="854"/>
      <c r="D20" s="853"/>
      <c r="E20" s="855"/>
      <c r="F20" s="853"/>
      <c r="G20" s="855"/>
      <c r="H20" s="853"/>
      <c r="I20" s="854"/>
      <c r="J20" s="853"/>
      <c r="K20" s="854">
        <v>94.2</v>
      </c>
      <c r="L20" s="853"/>
      <c r="M20" s="854">
        <v>114.5</v>
      </c>
      <c r="N20" s="853"/>
      <c r="O20" s="856"/>
      <c r="P20" s="853"/>
      <c r="Q20" s="856"/>
      <c r="R20" s="156">
        <f>SUM(B20,D20,F20,H20,J20,L20,N20,P20)</f>
        <v>0</v>
      </c>
      <c r="S20" s="347">
        <f>SUM(C20,E20,G20,I20,K20,M20,O20,Q20)</f>
        <v>208.7</v>
      </c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</row>
    <row r="21" spans="1:17" ht="21.75">
      <c r="A21" s="8" t="s">
        <v>358</v>
      </c>
      <c r="B21" s="857"/>
      <c r="C21" s="858"/>
      <c r="D21" s="860"/>
      <c r="E21" s="859"/>
      <c r="F21" s="861"/>
      <c r="G21" s="862"/>
      <c r="H21" s="863"/>
      <c r="I21" s="861"/>
      <c r="J21" s="861"/>
      <c r="K21" s="864"/>
      <c r="L21" s="863"/>
      <c r="M21" s="860"/>
      <c r="N21" s="863"/>
      <c r="O21" s="861"/>
      <c r="P21" s="863"/>
      <c r="Q21" s="861"/>
    </row>
    <row r="22" spans="1:19" ht="20.25" customHeight="1">
      <c r="A22" s="106" t="s">
        <v>203</v>
      </c>
      <c r="B22" s="857">
        <v>1</v>
      </c>
      <c r="C22" s="858">
        <v>263.1</v>
      </c>
      <c r="D22" s="860"/>
      <c r="E22" s="859"/>
      <c r="F22" s="861"/>
      <c r="G22" s="862"/>
      <c r="H22" s="863"/>
      <c r="I22" s="861"/>
      <c r="J22" s="861">
        <v>1</v>
      </c>
      <c r="K22" s="864">
        <v>221.6</v>
      </c>
      <c r="L22" s="863">
        <v>2</v>
      </c>
      <c r="M22" s="1081">
        <v>414.2</v>
      </c>
      <c r="N22" s="863"/>
      <c r="O22" s="861"/>
      <c r="P22" s="863"/>
      <c r="Q22" s="861"/>
      <c r="R22" s="86">
        <f aca="true" t="shared" si="2" ref="R22:S29">SUM(B22,D22,F22,H22,J22,L22,N22,P22)</f>
        <v>4</v>
      </c>
      <c r="S22" s="319">
        <f t="shared" si="2"/>
        <v>898.9000000000001</v>
      </c>
    </row>
    <row r="23" spans="1:19" ht="18.75" customHeight="1">
      <c r="A23" s="106" t="s">
        <v>227</v>
      </c>
      <c r="B23" s="857"/>
      <c r="C23" s="858"/>
      <c r="D23" s="860"/>
      <c r="E23" s="859"/>
      <c r="F23" s="861"/>
      <c r="G23" s="862"/>
      <c r="H23" s="863"/>
      <c r="I23" s="861"/>
      <c r="J23" s="861"/>
      <c r="K23" s="864"/>
      <c r="L23" s="863">
        <v>2</v>
      </c>
      <c r="M23" s="858">
        <v>597.7</v>
      </c>
      <c r="N23" s="863">
        <v>1</v>
      </c>
      <c r="O23" s="861">
        <v>183.8</v>
      </c>
      <c r="P23" s="863"/>
      <c r="Q23" s="861"/>
      <c r="R23" s="86">
        <f t="shared" si="2"/>
        <v>3</v>
      </c>
      <c r="S23" s="319">
        <f t="shared" si="2"/>
        <v>781.5</v>
      </c>
    </row>
    <row r="24" spans="1:19" ht="18.75" customHeight="1">
      <c r="A24" s="106" t="s">
        <v>362</v>
      </c>
      <c r="B24" s="857"/>
      <c r="C24" s="858"/>
      <c r="D24" s="860"/>
      <c r="E24" s="859"/>
      <c r="F24" s="861"/>
      <c r="G24" s="862"/>
      <c r="H24" s="863"/>
      <c r="I24" s="861"/>
      <c r="J24" s="861"/>
      <c r="K24" s="864"/>
      <c r="L24" s="863">
        <v>1</v>
      </c>
      <c r="M24" s="858">
        <v>185.2</v>
      </c>
      <c r="N24" s="863"/>
      <c r="O24" s="861"/>
      <c r="P24" s="863"/>
      <c r="Q24" s="861"/>
      <c r="R24" s="86">
        <f>SUM(B24,D24,F24,H24,J24,L24,N24,P24)</f>
        <v>1</v>
      </c>
      <c r="S24" s="319">
        <f>SUM(C24,E24,G24,I24,K24,M24,O24,Q24)</f>
        <v>185.2</v>
      </c>
    </row>
    <row r="25" spans="1:19" ht="18.75" customHeight="1">
      <c r="A25" s="106" t="s">
        <v>119</v>
      </c>
      <c r="B25" s="857"/>
      <c r="C25" s="858"/>
      <c r="D25" s="860"/>
      <c r="E25" s="859"/>
      <c r="F25" s="861"/>
      <c r="G25" s="862"/>
      <c r="H25" s="863"/>
      <c r="I25" s="861"/>
      <c r="J25" s="861"/>
      <c r="K25" s="864"/>
      <c r="L25" s="863">
        <v>1</v>
      </c>
      <c r="M25" s="858">
        <v>318.9</v>
      </c>
      <c r="N25" s="863"/>
      <c r="O25" s="861"/>
      <c r="P25" s="863"/>
      <c r="Q25" s="861"/>
      <c r="R25" s="86">
        <f t="shared" si="2"/>
        <v>1</v>
      </c>
      <c r="S25" s="319">
        <f t="shared" si="2"/>
        <v>318.9</v>
      </c>
    </row>
    <row r="26" spans="1:19" ht="18.75" customHeight="1">
      <c r="A26" s="106" t="s">
        <v>228</v>
      </c>
      <c r="B26" s="857">
        <v>1</v>
      </c>
      <c r="C26" s="858">
        <v>264.7</v>
      </c>
      <c r="D26" s="860"/>
      <c r="E26" s="859"/>
      <c r="F26" s="861">
        <v>1</v>
      </c>
      <c r="G26" s="862">
        <v>342.9</v>
      </c>
      <c r="H26" s="863">
        <v>3</v>
      </c>
      <c r="I26" s="861">
        <v>490.2</v>
      </c>
      <c r="J26" s="861"/>
      <c r="K26" s="864"/>
      <c r="L26" s="863">
        <v>3</v>
      </c>
      <c r="M26" s="858">
        <v>917.1</v>
      </c>
      <c r="N26" s="863"/>
      <c r="O26" s="861"/>
      <c r="P26" s="863"/>
      <c r="Q26" s="861"/>
      <c r="R26" s="86">
        <f t="shared" si="2"/>
        <v>8</v>
      </c>
      <c r="S26" s="319">
        <f t="shared" si="2"/>
        <v>2014.9</v>
      </c>
    </row>
    <row r="27" spans="1:19" ht="18.75" customHeight="1">
      <c r="A27" s="106" t="s">
        <v>121</v>
      </c>
      <c r="B27" s="857">
        <v>1</v>
      </c>
      <c r="C27" s="858">
        <v>147.6</v>
      </c>
      <c r="D27" s="860"/>
      <c r="E27" s="859"/>
      <c r="F27" s="861">
        <v>1</v>
      </c>
      <c r="G27" s="862">
        <v>83.6</v>
      </c>
      <c r="H27" s="863">
        <v>1</v>
      </c>
      <c r="I27" s="861">
        <v>296.5</v>
      </c>
      <c r="J27" s="861"/>
      <c r="K27" s="864"/>
      <c r="L27" s="863"/>
      <c r="M27" s="858"/>
      <c r="N27" s="863"/>
      <c r="O27" s="861"/>
      <c r="P27" s="863"/>
      <c r="Q27" s="861"/>
      <c r="R27" s="86">
        <f>SUM(B27,D27,F27,H27,J27,L27,N27,P27)</f>
        <v>3</v>
      </c>
      <c r="S27" s="319">
        <f>SUM(C27,E27,G27,I27,K27,M27,O27,Q27)</f>
        <v>527.7</v>
      </c>
    </row>
    <row r="28" spans="1:19" ht="18.75" customHeight="1">
      <c r="A28" s="106" t="s">
        <v>131</v>
      </c>
      <c r="B28" s="857">
        <v>3</v>
      </c>
      <c r="C28" s="858">
        <v>231.7</v>
      </c>
      <c r="D28" s="860"/>
      <c r="E28" s="859"/>
      <c r="F28" s="861">
        <v>2</v>
      </c>
      <c r="G28" s="862">
        <v>148.4</v>
      </c>
      <c r="H28" s="863">
        <v>2</v>
      </c>
      <c r="I28" s="861">
        <v>198.8</v>
      </c>
      <c r="J28" s="861"/>
      <c r="K28" s="864"/>
      <c r="L28" s="863">
        <v>2</v>
      </c>
      <c r="M28" s="858">
        <v>742.2</v>
      </c>
      <c r="N28" s="863">
        <v>1</v>
      </c>
      <c r="O28" s="861">
        <v>142.1</v>
      </c>
      <c r="P28" s="863"/>
      <c r="Q28" s="861"/>
      <c r="R28" s="86">
        <f>SUM(B28,D28,F28,H28,J28,L28,N28,P28)</f>
        <v>10</v>
      </c>
      <c r="S28" s="319">
        <f>SUM(C28,E28,G28,I28,K28,M28,O28,Q28)</f>
        <v>1463.2</v>
      </c>
    </row>
    <row r="29" spans="1:19" ht="18.75" customHeight="1">
      <c r="A29" s="106" t="s">
        <v>122</v>
      </c>
      <c r="B29" s="857">
        <v>2</v>
      </c>
      <c r="C29" s="858">
        <v>183.7</v>
      </c>
      <c r="D29" s="860"/>
      <c r="E29" s="859"/>
      <c r="F29" s="861"/>
      <c r="G29" s="862"/>
      <c r="H29" s="863">
        <v>1</v>
      </c>
      <c r="I29" s="861">
        <v>322.2</v>
      </c>
      <c r="J29" s="861"/>
      <c r="K29" s="864"/>
      <c r="L29" s="863"/>
      <c r="M29" s="858"/>
      <c r="N29" s="863"/>
      <c r="O29" s="861"/>
      <c r="P29" s="863"/>
      <c r="Q29" s="861"/>
      <c r="R29" s="86">
        <f t="shared" si="2"/>
        <v>3</v>
      </c>
      <c r="S29" s="319">
        <f t="shared" si="2"/>
        <v>505.9</v>
      </c>
    </row>
    <row r="30" spans="1:38" s="327" customFormat="1" ht="23.25" customHeight="1">
      <c r="A30" s="14" t="s">
        <v>459</v>
      </c>
      <c r="B30" s="842"/>
      <c r="C30" s="850"/>
      <c r="D30" s="842"/>
      <c r="E30" s="851"/>
      <c r="F30" s="842"/>
      <c r="G30" s="851"/>
      <c r="H30" s="842"/>
      <c r="I30" s="852"/>
      <c r="J30" s="842"/>
      <c r="K30" s="850"/>
      <c r="L30" s="842"/>
      <c r="M30" s="852"/>
      <c r="N30" s="842"/>
      <c r="O30" s="852"/>
      <c r="P30" s="842"/>
      <c r="Q30" s="852"/>
      <c r="R30" s="84"/>
      <c r="S30" s="318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</row>
    <row r="31" spans="1:38" s="246" customFormat="1" ht="23.25" customHeight="1" thickBot="1">
      <c r="A31" s="162" t="s">
        <v>361</v>
      </c>
      <c r="B31" s="853">
        <v>1</v>
      </c>
      <c r="C31" s="854">
        <v>113</v>
      </c>
      <c r="D31" s="853"/>
      <c r="E31" s="855"/>
      <c r="F31" s="853"/>
      <c r="G31" s="855"/>
      <c r="H31" s="853"/>
      <c r="I31" s="854"/>
      <c r="J31" s="853"/>
      <c r="K31" s="854"/>
      <c r="L31" s="853"/>
      <c r="M31" s="854"/>
      <c r="N31" s="853"/>
      <c r="O31" s="856"/>
      <c r="P31" s="853"/>
      <c r="Q31" s="856"/>
      <c r="R31" s="156">
        <f>SUM(B31,D31,F31,H31,J31,L31,N31,P31)</f>
        <v>1</v>
      </c>
      <c r="S31" s="347">
        <f>SUM(C31,E31,G31,I31,K31,M31,O31,Q31)</f>
        <v>113</v>
      </c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</row>
    <row r="32" spans="1:38" s="40" customFormat="1" ht="22.5" customHeight="1" thickBot="1">
      <c r="A32" s="245" t="s">
        <v>56</v>
      </c>
      <c r="B32" s="153">
        <f aca="true" t="shared" si="3" ref="B32:S32">SUM(B5:B31)</f>
        <v>12</v>
      </c>
      <c r="C32" s="311">
        <f t="shared" si="3"/>
        <v>1819.7</v>
      </c>
      <c r="D32" s="153">
        <f t="shared" si="3"/>
        <v>0</v>
      </c>
      <c r="E32" s="311">
        <f t="shared" si="3"/>
        <v>0</v>
      </c>
      <c r="F32" s="153">
        <f t="shared" si="3"/>
        <v>5</v>
      </c>
      <c r="G32" s="311">
        <f t="shared" si="3"/>
        <v>1339</v>
      </c>
      <c r="H32" s="153">
        <f t="shared" si="3"/>
        <v>9</v>
      </c>
      <c r="I32" s="311">
        <f t="shared" si="3"/>
        <v>1883.4</v>
      </c>
      <c r="J32" s="153">
        <f t="shared" si="3"/>
        <v>3</v>
      </c>
      <c r="K32" s="311">
        <f t="shared" si="3"/>
        <v>977.7</v>
      </c>
      <c r="L32" s="153">
        <f t="shared" si="3"/>
        <v>18</v>
      </c>
      <c r="M32" s="311">
        <f t="shared" si="3"/>
        <v>5182</v>
      </c>
      <c r="N32" s="153">
        <f t="shared" si="3"/>
        <v>3</v>
      </c>
      <c r="O32" s="311">
        <f t="shared" si="3"/>
        <v>440.70000000000005</v>
      </c>
      <c r="P32" s="153">
        <f t="shared" si="3"/>
        <v>0</v>
      </c>
      <c r="Q32" s="311">
        <f t="shared" si="3"/>
        <v>0</v>
      </c>
      <c r="R32" s="153">
        <f t="shared" si="3"/>
        <v>50</v>
      </c>
      <c r="S32" s="311">
        <f t="shared" si="3"/>
        <v>11642.5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56" customFormat="1" ht="18.75" customHeight="1">
      <c r="A33" s="69"/>
      <c r="B33" s="67"/>
      <c r="C33" s="314"/>
      <c r="D33" s="68"/>
      <c r="E33" s="325"/>
      <c r="G33" s="320"/>
      <c r="H33" s="31"/>
      <c r="K33" s="312"/>
      <c r="L33" s="31"/>
      <c r="M33" s="24"/>
      <c r="N33" s="31"/>
      <c r="P33" s="31"/>
      <c r="R33" s="31"/>
      <c r="S33" s="320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3:19" ht="18" customHeight="1">
      <c r="C34" s="313"/>
      <c r="E34" s="293"/>
      <c r="G34" s="293"/>
      <c r="K34" s="313"/>
      <c r="S34" s="293"/>
    </row>
    <row r="35" spans="3:19" ht="20.25" customHeight="1">
      <c r="C35" s="313"/>
      <c r="E35" s="293"/>
      <c r="G35" s="293"/>
      <c r="K35" s="313"/>
      <c r="S35" s="293"/>
    </row>
    <row r="36" spans="3:19" ht="21" customHeight="1">
      <c r="C36" s="313"/>
      <c r="E36" s="293"/>
      <c r="G36" s="293"/>
      <c r="K36" s="313"/>
      <c r="S36" s="293"/>
    </row>
    <row r="37" spans="3:19" ht="21" customHeight="1">
      <c r="C37" s="313"/>
      <c r="E37" s="293"/>
      <c r="G37" s="293"/>
      <c r="K37" s="313"/>
      <c r="S37" s="293"/>
    </row>
    <row r="38" spans="3:19" ht="21" customHeight="1">
      <c r="C38" s="313"/>
      <c r="E38" s="293"/>
      <c r="G38" s="293"/>
      <c r="K38" s="313"/>
      <c r="S38" s="293"/>
    </row>
    <row r="39" spans="3:19" ht="21" customHeight="1">
      <c r="C39" s="313"/>
      <c r="E39" s="293"/>
      <c r="G39" s="293"/>
      <c r="K39" s="313"/>
      <c r="S39" s="293"/>
    </row>
    <row r="40" spans="3:19" ht="21" customHeight="1">
      <c r="C40" s="313"/>
      <c r="E40" s="293"/>
      <c r="G40" s="293"/>
      <c r="K40" s="313"/>
      <c r="S40" s="293"/>
    </row>
    <row r="41" spans="3:19" ht="21" customHeight="1">
      <c r="C41" s="313"/>
      <c r="E41" s="293"/>
      <c r="G41" s="293"/>
      <c r="K41" s="313"/>
      <c r="S41" s="293"/>
    </row>
    <row r="42" spans="3:19" ht="21" customHeight="1">
      <c r="C42" s="313"/>
      <c r="E42" s="293"/>
      <c r="G42" s="293"/>
      <c r="K42" s="313"/>
      <c r="S42" s="293"/>
    </row>
    <row r="43" spans="3:19" ht="21" customHeight="1">
      <c r="C43" s="313"/>
      <c r="E43" s="293"/>
      <c r="G43" s="293"/>
      <c r="K43" s="313"/>
      <c r="S43" s="293"/>
    </row>
    <row r="44" spans="3:19" ht="21" customHeight="1">
      <c r="C44" s="313"/>
      <c r="E44" s="293"/>
      <c r="G44" s="293"/>
      <c r="K44" s="313"/>
      <c r="S44" s="293"/>
    </row>
    <row r="45" spans="3:19" ht="21" customHeight="1">
      <c r="C45" s="313"/>
      <c r="E45" s="293"/>
      <c r="G45" s="293"/>
      <c r="K45" s="313"/>
      <c r="S45" s="293"/>
    </row>
    <row r="46" spans="3:19" ht="21" customHeight="1">
      <c r="C46" s="313"/>
      <c r="E46" s="293"/>
      <c r="G46" s="293"/>
      <c r="K46" s="313"/>
      <c r="S46" s="293"/>
    </row>
    <row r="47" spans="3:19" ht="21" customHeight="1">
      <c r="C47" s="313"/>
      <c r="E47" s="293"/>
      <c r="G47" s="293"/>
      <c r="K47" s="313"/>
      <c r="S47" s="293"/>
    </row>
    <row r="48" spans="3:19" ht="21" customHeight="1">
      <c r="C48" s="313"/>
      <c r="E48" s="293"/>
      <c r="G48" s="293"/>
      <c r="K48" s="313"/>
      <c r="S48" s="293"/>
    </row>
    <row r="49" spans="3:19" ht="21" customHeight="1">
      <c r="C49" s="313"/>
      <c r="E49" s="293"/>
      <c r="G49" s="293"/>
      <c r="K49" s="313"/>
      <c r="S49" s="293"/>
    </row>
    <row r="50" spans="3:19" ht="21" customHeight="1">
      <c r="C50" s="313"/>
      <c r="E50" s="293"/>
      <c r="G50" s="293"/>
      <c r="K50" s="313"/>
      <c r="S50" s="293"/>
    </row>
    <row r="51" spans="3:19" ht="21" customHeight="1">
      <c r="C51" s="313"/>
      <c r="E51" s="293"/>
      <c r="G51" s="293"/>
      <c r="K51" s="313"/>
      <c r="S51" s="293"/>
    </row>
    <row r="52" spans="3:19" ht="21" customHeight="1">
      <c r="C52" s="313"/>
      <c r="E52" s="293"/>
      <c r="G52" s="293"/>
      <c r="K52" s="313"/>
      <c r="S52" s="293"/>
    </row>
    <row r="53" spans="3:19" ht="21" customHeight="1">
      <c r="C53" s="313"/>
      <c r="E53" s="293"/>
      <c r="G53" s="293"/>
      <c r="K53" s="313"/>
      <c r="S53" s="293"/>
    </row>
    <row r="54" spans="3:19" ht="21" customHeight="1">
      <c r="C54" s="313"/>
      <c r="E54" s="293"/>
      <c r="G54" s="293"/>
      <c r="K54" s="313"/>
      <c r="S54" s="293"/>
    </row>
    <row r="55" spans="3:19" ht="21" customHeight="1">
      <c r="C55" s="313"/>
      <c r="E55" s="293"/>
      <c r="G55" s="293"/>
      <c r="K55" s="313"/>
      <c r="S55" s="293"/>
    </row>
    <row r="56" spans="3:19" ht="21" customHeight="1">
      <c r="C56" s="313"/>
      <c r="E56" s="293"/>
      <c r="G56" s="293"/>
      <c r="K56" s="313"/>
      <c r="S56" s="293"/>
    </row>
    <row r="57" spans="3:19" ht="21" customHeight="1">
      <c r="C57" s="313"/>
      <c r="E57" s="293"/>
      <c r="G57" s="293"/>
      <c r="K57" s="313"/>
      <c r="S57" s="293"/>
    </row>
    <row r="58" spans="3:19" ht="21" customHeight="1">
      <c r="C58" s="313"/>
      <c r="E58" s="293"/>
      <c r="G58" s="293"/>
      <c r="K58" s="313"/>
      <c r="S58" s="293"/>
    </row>
    <row r="59" spans="3:19" ht="21" customHeight="1">
      <c r="C59" s="313"/>
      <c r="E59" s="293"/>
      <c r="G59" s="293"/>
      <c r="K59" s="313"/>
      <c r="S59" s="293"/>
    </row>
    <row r="60" spans="3:19" ht="21" customHeight="1">
      <c r="C60" s="313"/>
      <c r="E60" s="293"/>
      <c r="G60" s="293"/>
      <c r="K60" s="313"/>
      <c r="S60" s="293"/>
    </row>
    <row r="61" spans="3:19" ht="21" customHeight="1">
      <c r="C61" s="313"/>
      <c r="E61" s="293"/>
      <c r="G61" s="293"/>
      <c r="K61" s="313"/>
      <c r="S61" s="293"/>
    </row>
  </sheetData>
  <sheetProtection/>
  <mergeCells count="10">
    <mergeCell ref="A2:A3"/>
    <mergeCell ref="B2:C2"/>
    <mergeCell ref="D2:E2"/>
    <mergeCell ref="P2:Q2"/>
    <mergeCell ref="R2:S2"/>
    <mergeCell ref="J2:K2"/>
    <mergeCell ref="L2:M2"/>
    <mergeCell ref="N2:O2"/>
    <mergeCell ref="F2:G2"/>
    <mergeCell ref="H2:I2"/>
  </mergeCells>
  <printOptions horizontalCentered="1"/>
  <pageMargins left="0" right="0" top="0.4724409448818898" bottom="0.3937007874015748" header="0.4330708661417323" footer="0.433070866141732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AS33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18.7109375" style="108" customWidth="1"/>
    <col min="2" max="2" width="4.57421875" style="132" customWidth="1"/>
    <col min="3" max="3" width="8.140625" style="324" customWidth="1"/>
    <col min="4" max="4" width="4.7109375" style="133" customWidth="1"/>
    <col min="5" max="5" width="6.140625" style="324" customWidth="1"/>
    <col min="6" max="6" width="4.7109375" style="133" bestFit="1" customWidth="1"/>
    <col min="7" max="7" width="7.7109375" style="324" customWidth="1"/>
    <col min="8" max="8" width="4.8515625" style="133" customWidth="1"/>
    <col min="9" max="9" width="7.00390625" style="133" customWidth="1"/>
    <col min="10" max="10" width="4.7109375" style="133" customWidth="1"/>
    <col min="11" max="11" width="7.00390625" style="324" customWidth="1"/>
    <col min="12" max="12" width="4.57421875" style="133" customWidth="1"/>
    <col min="13" max="13" width="6.421875" style="324" customWidth="1"/>
    <col min="14" max="14" width="5.28125" style="134" customWidth="1"/>
    <col min="15" max="15" width="9.28125" style="324" customWidth="1"/>
    <col min="16" max="16" width="4.421875" style="133" customWidth="1"/>
    <col min="17" max="17" width="10.28125" style="133" customWidth="1"/>
    <col min="18" max="18" width="8.140625" style="133" customWidth="1"/>
    <col min="19" max="19" width="8.00390625" style="324" customWidth="1"/>
    <col min="20" max="20" width="5.28125" style="108" customWidth="1"/>
    <col min="21" max="21" width="10.00390625" style="0" customWidth="1"/>
    <col min="22" max="22" width="20.28125" style="0" customWidth="1"/>
    <col min="23" max="23" width="6.140625" style="0" customWidth="1"/>
    <col min="24" max="24" width="8.28125" style="0" customWidth="1"/>
    <col min="25" max="25" width="5.28125" style="0" customWidth="1"/>
    <col min="26" max="26" width="8.421875" style="0" customWidth="1"/>
    <col min="27" max="27" width="5.57421875" style="0" customWidth="1"/>
    <col min="28" max="28" width="7.140625" style="0" customWidth="1"/>
    <col min="29" max="29" width="5.00390625" style="0" customWidth="1"/>
    <col min="30" max="30" width="8.00390625" style="0" customWidth="1"/>
    <col min="31" max="31" width="5.00390625" style="0" customWidth="1"/>
    <col min="32" max="32" width="8.28125" style="0" customWidth="1"/>
    <col min="33" max="33" width="5.28125" style="0" customWidth="1"/>
    <col min="35" max="35" width="5.7109375" style="0" customWidth="1"/>
    <col min="36" max="36" width="7.140625" style="0" customWidth="1"/>
    <col min="37" max="37" width="5.8515625" style="0" customWidth="1"/>
    <col min="39" max="39" width="5.57421875" style="0" customWidth="1"/>
    <col min="40" max="40" width="8.7109375" style="0" customWidth="1"/>
    <col min="41" max="41" width="6.140625" style="0" customWidth="1"/>
    <col min="46" max="16384" width="9.140625" style="108" customWidth="1"/>
  </cols>
  <sheetData>
    <row r="1" spans="1:45" s="56" customFormat="1" ht="25.5" customHeight="1">
      <c r="A1" s="176" t="s">
        <v>324</v>
      </c>
      <c r="B1" s="132"/>
      <c r="C1" s="324"/>
      <c r="D1" s="133"/>
      <c r="E1" s="324"/>
      <c r="F1" s="133"/>
      <c r="G1" s="324"/>
      <c r="H1" s="133"/>
      <c r="I1" s="133"/>
      <c r="J1" s="133"/>
      <c r="K1" s="324"/>
      <c r="L1" s="133"/>
      <c r="M1" s="324"/>
      <c r="O1" s="334"/>
      <c r="P1" s="66"/>
      <c r="Q1" s="66"/>
      <c r="S1" s="320"/>
      <c r="T1" s="108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s="56" customFormat="1" ht="21" customHeight="1" thickBot="1">
      <c r="A2" s="148"/>
      <c r="B2" s="132"/>
      <c r="C2" s="324"/>
      <c r="D2" s="133"/>
      <c r="E2" s="324"/>
      <c r="F2" s="133"/>
      <c r="G2" s="324"/>
      <c r="H2" s="133"/>
      <c r="I2" s="133"/>
      <c r="J2" s="133"/>
      <c r="K2" s="324"/>
      <c r="L2" s="133"/>
      <c r="M2" s="324"/>
      <c r="O2" s="334"/>
      <c r="P2" s="66"/>
      <c r="Q2" s="66"/>
      <c r="S2" s="315" t="s">
        <v>0</v>
      </c>
      <c r="T2" s="108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3" s="56" customFormat="1" ht="74.25" customHeight="1" thickBot="1">
      <c r="A3" s="1185" t="s">
        <v>1</v>
      </c>
      <c r="B3" s="1206" t="s">
        <v>66</v>
      </c>
      <c r="C3" s="1206"/>
      <c r="D3" s="1206" t="s">
        <v>153</v>
      </c>
      <c r="E3" s="1206"/>
      <c r="F3" s="1206" t="s">
        <v>68</v>
      </c>
      <c r="G3" s="1206"/>
      <c r="H3" s="1206" t="s">
        <v>79</v>
      </c>
      <c r="I3" s="1206"/>
      <c r="J3" s="1206" t="s">
        <v>144</v>
      </c>
      <c r="K3" s="1206"/>
      <c r="L3" s="1206" t="s">
        <v>73</v>
      </c>
      <c r="M3" s="1206"/>
      <c r="N3" s="1207" t="s">
        <v>74</v>
      </c>
      <c r="O3" s="1207"/>
      <c r="P3" s="1207" t="s">
        <v>75</v>
      </c>
      <c r="Q3" s="1207"/>
      <c r="R3" s="1188" t="s">
        <v>61</v>
      </c>
      <c r="S3" s="1188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s="56" customFormat="1" ht="24.75" customHeight="1" thickBot="1">
      <c r="A4" s="1186"/>
      <c r="B4" s="104" t="s">
        <v>10</v>
      </c>
      <c r="C4" s="330" t="s">
        <v>9</v>
      </c>
      <c r="D4" s="104" t="s">
        <v>10</v>
      </c>
      <c r="E4" s="330" t="s">
        <v>9</v>
      </c>
      <c r="F4" s="104" t="s">
        <v>10</v>
      </c>
      <c r="G4" s="330" t="s">
        <v>9</v>
      </c>
      <c r="H4" s="104" t="s">
        <v>10</v>
      </c>
      <c r="I4" s="105" t="s">
        <v>9</v>
      </c>
      <c r="J4" s="104" t="s">
        <v>10</v>
      </c>
      <c r="K4" s="330" t="s">
        <v>9</v>
      </c>
      <c r="L4" s="104" t="s">
        <v>10</v>
      </c>
      <c r="M4" s="330" t="s">
        <v>9</v>
      </c>
      <c r="N4" s="104" t="s">
        <v>10</v>
      </c>
      <c r="O4" s="330" t="s">
        <v>9</v>
      </c>
      <c r="P4" s="104" t="s">
        <v>10</v>
      </c>
      <c r="Q4" s="105" t="s">
        <v>9</v>
      </c>
      <c r="R4" s="104" t="s">
        <v>10</v>
      </c>
      <c r="S4" s="330" t="s">
        <v>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56" customFormat="1" ht="22.5" customHeight="1">
      <c r="A5" s="77" t="s">
        <v>108</v>
      </c>
      <c r="B5" s="80"/>
      <c r="C5" s="331"/>
      <c r="D5" s="81"/>
      <c r="E5" s="331"/>
      <c r="F5" s="81"/>
      <c r="G5" s="331"/>
      <c r="H5" s="81"/>
      <c r="I5" s="81"/>
      <c r="J5" s="81"/>
      <c r="K5" s="331"/>
      <c r="L5" s="82"/>
      <c r="M5" s="331"/>
      <c r="N5" s="81"/>
      <c r="O5" s="331"/>
      <c r="P5" s="81"/>
      <c r="Q5" s="81"/>
      <c r="R5" s="74"/>
      <c r="S5" s="33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s="40" customFormat="1" ht="22.5" customHeight="1">
      <c r="A6" s="73" t="s">
        <v>89</v>
      </c>
      <c r="B6" s="1062">
        <f>3+2+5+1+6+5+4</f>
        <v>26</v>
      </c>
      <c r="C6" s="1063">
        <f>43.2+30.9+62.8+114.6+110.5+114.8+121.1</f>
        <v>597.9</v>
      </c>
      <c r="D6" s="1064"/>
      <c r="E6" s="1065"/>
      <c r="F6" s="1062">
        <v>5</v>
      </c>
      <c r="G6" s="1065">
        <v>71.7</v>
      </c>
      <c r="H6" s="1062">
        <v>6</v>
      </c>
      <c r="I6" s="1062">
        <v>162.3</v>
      </c>
      <c r="J6" s="1062"/>
      <c r="K6" s="1065"/>
      <c r="L6" s="1062">
        <v>3</v>
      </c>
      <c r="M6" s="1065">
        <v>128.6</v>
      </c>
      <c r="N6" s="1062">
        <f>5+6</f>
        <v>11</v>
      </c>
      <c r="O6" s="1065">
        <f>91.9+133.6</f>
        <v>225.5</v>
      </c>
      <c r="P6" s="1062">
        <f>5+5+4+7+3</f>
        <v>24</v>
      </c>
      <c r="Q6" s="1072">
        <f>437.2+82+26.9+91.7+80.1</f>
        <v>717.9000000000001</v>
      </c>
      <c r="R6" s="86">
        <f>P6+B6+D6+F6+H6+J6+L6+N6</f>
        <v>75</v>
      </c>
      <c r="S6" s="942">
        <f>Q6+C6+E6+G6+I6+K6+M6+O6</f>
        <v>1903.9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s="56" customFormat="1" ht="22.5" customHeight="1">
      <c r="A7" s="77" t="s">
        <v>133</v>
      </c>
      <c r="B7" s="1066"/>
      <c r="C7" s="1067"/>
      <c r="D7" s="1068"/>
      <c r="E7" s="1067"/>
      <c r="F7" s="1068"/>
      <c r="G7" s="1067"/>
      <c r="H7" s="1068"/>
      <c r="I7" s="1068"/>
      <c r="J7" s="1068"/>
      <c r="K7" s="1067"/>
      <c r="L7" s="1069"/>
      <c r="M7" s="1067"/>
      <c r="N7" s="1068"/>
      <c r="O7" s="1067"/>
      <c r="P7" s="1068"/>
      <c r="Q7" s="1068"/>
      <c r="R7" s="155"/>
      <c r="S7" s="33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40" customFormat="1" ht="22.5" customHeight="1" thickBot="1">
      <c r="A8" s="73" t="s">
        <v>109</v>
      </c>
      <c r="B8" s="1070">
        <f>4+6+4+5+6+5+6+4</f>
        <v>40</v>
      </c>
      <c r="C8" s="1070">
        <f>101.6+130.6+203.6+104.6+113.9+134.8+130.3+217</f>
        <v>1136.3999999999999</v>
      </c>
      <c r="D8" s="1062"/>
      <c r="E8" s="1063"/>
      <c r="F8" s="1062">
        <v>5</v>
      </c>
      <c r="G8" s="1063">
        <v>113.9</v>
      </c>
      <c r="H8" s="1071">
        <f>5+5</f>
        <v>10</v>
      </c>
      <c r="I8" s="1072">
        <f>141.2+138.2</f>
        <v>279.4</v>
      </c>
      <c r="J8" s="1062"/>
      <c r="K8" s="1063"/>
      <c r="L8" s="1062">
        <v>13</v>
      </c>
      <c r="M8" s="1063">
        <v>473.8</v>
      </c>
      <c r="N8" s="1062">
        <f>6+5+6+6</f>
        <v>23</v>
      </c>
      <c r="O8" s="1063">
        <f>151.6+141.6+165.1+131.9</f>
        <v>590.1999999999999</v>
      </c>
      <c r="P8" s="1062">
        <f>5+6+5+5+3</f>
        <v>24</v>
      </c>
      <c r="Q8" s="1072">
        <f>140.1+19.8+137.3+135.9+78.2</f>
        <v>511.3</v>
      </c>
      <c r="R8" s="86">
        <f>B8+D8+F8+H8+J8+L8+N8+P8</f>
        <v>115</v>
      </c>
      <c r="S8" s="942">
        <f>C8+E8+G8+I8+K8+M8+O8+Q8</f>
        <v>3105</v>
      </c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40" customFormat="1" ht="22.5" customHeight="1" thickBot="1">
      <c r="A9" s="210" t="s">
        <v>61</v>
      </c>
      <c r="B9" s="153">
        <f>SUM(B5:B7)</f>
        <v>26</v>
      </c>
      <c r="C9" s="311">
        <f>SUM(C5:C8)</f>
        <v>1734.2999999999997</v>
      </c>
      <c r="D9" s="153">
        <f aca="true" t="shared" si="0" ref="D9:S9">SUM(D5:D8)</f>
        <v>0</v>
      </c>
      <c r="E9" s="323">
        <f t="shared" si="0"/>
        <v>0</v>
      </c>
      <c r="F9" s="153">
        <f>F6</f>
        <v>5</v>
      </c>
      <c r="G9" s="311">
        <f t="shared" si="0"/>
        <v>185.60000000000002</v>
      </c>
      <c r="H9" s="153">
        <f>H6</f>
        <v>6</v>
      </c>
      <c r="I9" s="311">
        <f t="shared" si="0"/>
        <v>441.7</v>
      </c>
      <c r="J9" s="153">
        <f>J6</f>
        <v>0</v>
      </c>
      <c r="K9" s="311">
        <f t="shared" si="0"/>
        <v>0</v>
      </c>
      <c r="L9" s="153">
        <f>L6</f>
        <v>3</v>
      </c>
      <c r="M9" s="311">
        <f t="shared" si="0"/>
        <v>602.4</v>
      </c>
      <c r="N9" s="153">
        <f>N6</f>
        <v>11</v>
      </c>
      <c r="O9" s="311">
        <f t="shared" si="0"/>
        <v>815.6999999999999</v>
      </c>
      <c r="P9" s="153">
        <f>P6</f>
        <v>24</v>
      </c>
      <c r="Q9" s="153">
        <f t="shared" si="0"/>
        <v>1229.2</v>
      </c>
      <c r="R9" s="154">
        <f>R6</f>
        <v>75</v>
      </c>
      <c r="S9" s="979">
        <f t="shared" si="0"/>
        <v>5008.9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5" s="56" customFormat="1" ht="15" customHeight="1">
      <c r="A10" s="89"/>
      <c r="B10" s="58"/>
      <c r="C10" s="317"/>
      <c r="D10" s="59"/>
      <c r="E10" s="317"/>
      <c r="F10" s="59"/>
      <c r="G10" s="317"/>
      <c r="H10" s="59"/>
      <c r="I10" s="59"/>
      <c r="J10" s="59"/>
      <c r="K10" s="317"/>
      <c r="L10" s="59"/>
      <c r="M10" s="317"/>
      <c r="N10" s="60"/>
      <c r="O10" s="317"/>
      <c r="P10" s="59"/>
      <c r="Q10" s="59"/>
      <c r="R10" s="59"/>
      <c r="S10" s="317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3:45" s="130" customFormat="1" ht="23.25" customHeight="1">
      <c r="C11" s="328"/>
      <c r="E11" s="328"/>
      <c r="G11" s="328"/>
      <c r="K11" s="328"/>
      <c r="M11" s="328"/>
      <c r="O11" s="328"/>
      <c r="S11" s="328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3:19" ht="21" customHeight="1">
      <c r="C12" s="293"/>
      <c r="E12" s="293"/>
      <c r="G12" s="293"/>
      <c r="K12" s="293"/>
      <c r="M12" s="293"/>
      <c r="O12" s="293"/>
      <c r="S12" s="293"/>
    </row>
    <row r="13" spans="3:19" ht="21" customHeight="1">
      <c r="C13" s="293"/>
      <c r="E13" s="293"/>
      <c r="G13" s="293"/>
      <c r="K13" s="293"/>
      <c r="M13" s="293"/>
      <c r="O13" s="293"/>
      <c r="S13" s="293"/>
    </row>
    <row r="14" spans="3:19" ht="21" customHeight="1">
      <c r="C14" s="293"/>
      <c r="E14" s="293"/>
      <c r="G14" s="293"/>
      <c r="K14" s="293"/>
      <c r="M14" s="293"/>
      <c r="O14" s="293"/>
      <c r="S14" s="293"/>
    </row>
    <row r="15" spans="3:19" ht="21" customHeight="1">
      <c r="C15" s="293"/>
      <c r="E15" s="293"/>
      <c r="G15" s="293"/>
      <c r="K15" s="293"/>
      <c r="M15" s="293"/>
      <c r="O15" s="293"/>
      <c r="S15" s="293"/>
    </row>
    <row r="16" spans="3:19" ht="21" customHeight="1">
      <c r="C16" s="293"/>
      <c r="E16" s="293"/>
      <c r="G16" s="293"/>
      <c r="K16" s="293"/>
      <c r="M16" s="293"/>
      <c r="O16" s="293"/>
      <c r="S16" s="293"/>
    </row>
    <row r="17" spans="3:19" ht="21" customHeight="1">
      <c r="C17" s="293"/>
      <c r="E17" s="293"/>
      <c r="G17" s="293"/>
      <c r="K17" s="293"/>
      <c r="M17" s="293"/>
      <c r="O17" s="293"/>
      <c r="S17" s="293"/>
    </row>
    <row r="18" spans="3:19" ht="21" customHeight="1">
      <c r="C18" s="293"/>
      <c r="E18" s="293"/>
      <c r="G18" s="293"/>
      <c r="K18" s="293"/>
      <c r="M18" s="293"/>
      <c r="O18" s="293"/>
      <c r="S18" s="293"/>
    </row>
    <row r="19" spans="3:19" ht="21" customHeight="1">
      <c r="C19" s="293"/>
      <c r="E19" s="293"/>
      <c r="G19" s="293"/>
      <c r="K19" s="293"/>
      <c r="M19" s="293"/>
      <c r="O19" s="293"/>
      <c r="S19" s="293"/>
    </row>
    <row r="20" spans="3:19" ht="18.75" customHeight="1">
      <c r="C20" s="293"/>
      <c r="E20" s="333"/>
      <c r="F20" s="216"/>
      <c r="G20" s="333"/>
      <c r="K20" s="293"/>
      <c r="M20" s="293"/>
      <c r="O20" s="293"/>
      <c r="S20" s="293"/>
    </row>
    <row r="21" spans="3:19" ht="18.75" customHeight="1">
      <c r="C21" s="293"/>
      <c r="E21" s="293"/>
      <c r="G21" s="293"/>
      <c r="K21" s="293"/>
      <c r="M21" s="293"/>
      <c r="O21" s="293"/>
      <c r="S21" s="293"/>
    </row>
    <row r="22" spans="3:19" ht="18.75" customHeight="1">
      <c r="C22" s="293"/>
      <c r="E22" s="293"/>
      <c r="G22" s="293"/>
      <c r="K22" s="293"/>
      <c r="M22" s="293"/>
      <c r="O22" s="293"/>
      <c r="S22" s="293"/>
    </row>
    <row r="23" spans="3:19" ht="18.75" customHeight="1">
      <c r="C23" s="293"/>
      <c r="E23" s="293"/>
      <c r="G23" s="293"/>
      <c r="K23" s="293"/>
      <c r="M23" s="293"/>
      <c r="O23" s="293"/>
      <c r="S23" s="293"/>
    </row>
    <row r="24" spans="3:19" ht="18.75" customHeight="1">
      <c r="C24" s="293"/>
      <c r="E24" s="293"/>
      <c r="G24" s="293"/>
      <c r="K24" s="293"/>
      <c r="M24" s="293"/>
      <c r="O24" s="293"/>
      <c r="S24" s="293"/>
    </row>
    <row r="25" spans="3:19" ht="18.75" customHeight="1">
      <c r="C25" s="293"/>
      <c r="E25" s="293"/>
      <c r="G25" s="293"/>
      <c r="K25" s="293"/>
      <c r="M25" s="293"/>
      <c r="O25" s="293"/>
      <c r="S25" s="293"/>
    </row>
    <row r="26" spans="3:19" ht="18.75" customHeight="1">
      <c r="C26" s="293"/>
      <c r="E26" s="293"/>
      <c r="G26" s="293"/>
      <c r="K26" s="293"/>
      <c r="M26" s="293"/>
      <c r="O26" s="293"/>
      <c r="S26" s="293"/>
    </row>
    <row r="27" spans="3:19" ht="18.75" customHeight="1">
      <c r="C27" s="293"/>
      <c r="E27" s="293"/>
      <c r="G27" s="293"/>
      <c r="K27" s="293"/>
      <c r="M27" s="293"/>
      <c r="O27" s="293"/>
      <c r="S27" s="293"/>
    </row>
    <row r="28" spans="3:19" ht="18.75" customHeight="1">
      <c r="C28" s="293"/>
      <c r="E28" s="293"/>
      <c r="G28" s="293"/>
      <c r="K28" s="293"/>
      <c r="M28" s="293"/>
      <c r="O28" s="293"/>
      <c r="S28" s="293"/>
    </row>
    <row r="29" spans="3:19" ht="18.75" customHeight="1">
      <c r="C29" s="293"/>
      <c r="E29" s="293"/>
      <c r="G29" s="293"/>
      <c r="K29" s="293"/>
      <c r="M29" s="293"/>
      <c r="O29" s="293"/>
      <c r="S29" s="293"/>
    </row>
    <row r="30" spans="3:19" ht="18.75" customHeight="1">
      <c r="C30" s="293"/>
      <c r="E30" s="293"/>
      <c r="G30" s="293"/>
      <c r="K30" s="293"/>
      <c r="M30" s="293"/>
      <c r="O30" s="293"/>
      <c r="S30" s="293"/>
    </row>
    <row r="31" spans="3:19" ht="18.75" customHeight="1">
      <c r="C31" s="293"/>
      <c r="E31" s="293"/>
      <c r="G31" s="293"/>
      <c r="K31" s="293"/>
      <c r="M31" s="293"/>
      <c r="O31" s="293"/>
      <c r="S31" s="293"/>
    </row>
    <row r="32" spans="3:19" ht="18.75" customHeight="1">
      <c r="C32" s="293"/>
      <c r="E32" s="293"/>
      <c r="G32" s="293"/>
      <c r="K32" s="293"/>
      <c r="M32" s="293"/>
      <c r="O32" s="293"/>
      <c r="S32" s="293"/>
    </row>
    <row r="33" spans="3:19" ht="18.75" customHeight="1">
      <c r="C33" s="293"/>
      <c r="E33" s="293"/>
      <c r="G33" s="293"/>
      <c r="K33" s="293"/>
      <c r="M33" s="293"/>
      <c r="O33" s="293"/>
      <c r="S33" s="293"/>
    </row>
  </sheetData>
  <sheetProtection/>
  <mergeCells count="10">
    <mergeCell ref="D3:E3"/>
    <mergeCell ref="A3:A4"/>
    <mergeCell ref="B3:C3"/>
    <mergeCell ref="F3:G3"/>
    <mergeCell ref="P3:Q3"/>
    <mergeCell ref="R3:S3"/>
    <mergeCell ref="N3:O3"/>
    <mergeCell ref="L3:M3"/>
    <mergeCell ref="H3:I3"/>
    <mergeCell ref="J3:K3"/>
  </mergeCells>
  <printOptions horizontalCentered="1"/>
  <pageMargins left="0.25" right="0.15" top="0.5" bottom="0.35" header="0.511811023622047" footer="0.511811023622047"/>
  <pageSetup horizontalDpi="600" verticalDpi="600" orientation="landscape" paperSize="9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K33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21.8515625" style="108" customWidth="1"/>
    <col min="2" max="2" width="4.28125" style="199" customWidth="1"/>
    <col min="3" max="3" width="68.57421875" style="133" customWidth="1"/>
    <col min="4" max="4" width="6.140625" style="134" customWidth="1"/>
    <col min="5" max="5" width="8.140625" style="709" customWidth="1"/>
    <col min="6" max="6" width="5.00390625" style="357" customWidth="1"/>
    <col min="7" max="7" width="8.00390625" style="358" customWidth="1"/>
    <col min="8" max="8" width="6.00390625" style="357" bestFit="1" customWidth="1"/>
    <col min="9" max="9" width="5.00390625" style="357" bestFit="1" customWidth="1"/>
    <col min="10" max="10" width="5.140625" style="353" customWidth="1"/>
    <col min="11" max="11" width="8.140625" style="362" customWidth="1"/>
    <col min="12" max="12" width="5.28125" style="108" customWidth="1"/>
    <col min="13" max="13" width="10.00390625" style="0" customWidth="1"/>
    <col min="14" max="14" width="20.28125" style="0" customWidth="1"/>
    <col min="15" max="15" width="6.140625" style="0" customWidth="1"/>
    <col min="16" max="16" width="8.28125" style="0" customWidth="1"/>
    <col min="17" max="17" width="4.7109375" style="0" customWidth="1"/>
    <col min="18" max="18" width="7.8515625" style="0" customWidth="1"/>
    <col min="19" max="19" width="4.8515625" style="0" customWidth="1"/>
    <col min="20" max="20" width="8.421875" style="0" customWidth="1"/>
    <col min="21" max="21" width="5.28125" style="0" customWidth="1"/>
    <col min="22" max="22" width="6.57421875" style="0" customWidth="1"/>
    <col min="23" max="23" width="4.7109375" style="0" customWidth="1"/>
    <col min="24" max="24" width="8.421875" style="0" customWidth="1"/>
    <col min="25" max="25" width="5.28125" style="0" customWidth="1"/>
    <col min="27" max="27" width="5.7109375" style="0" customWidth="1"/>
    <col min="28" max="28" width="7.140625" style="0" customWidth="1"/>
    <col min="29" max="29" width="5.8515625" style="0" customWidth="1"/>
    <col min="31" max="31" width="5.57421875" style="0" customWidth="1"/>
    <col min="32" max="32" width="8.7109375" style="0" customWidth="1"/>
    <col min="33" max="33" width="6.140625" style="0" customWidth="1"/>
    <col min="38" max="16384" width="9.140625" style="108" customWidth="1"/>
  </cols>
  <sheetData>
    <row r="1" spans="1:37" s="56" customFormat="1" ht="25.5" customHeight="1">
      <c r="A1" s="176" t="s">
        <v>325</v>
      </c>
      <c r="B1" s="199"/>
      <c r="C1" s="133"/>
      <c r="E1" s="705"/>
      <c r="F1" s="350"/>
      <c r="G1" s="351"/>
      <c r="H1" s="352"/>
      <c r="I1" s="352"/>
      <c r="J1" s="353"/>
      <c r="K1" s="362"/>
      <c r="L1" s="10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12" ht="16.5" customHeight="1" thickBot="1">
      <c r="A2" s="177"/>
      <c r="B2" s="200"/>
      <c r="C2" s="194"/>
      <c r="D2" s="194"/>
      <c r="E2" s="706"/>
      <c r="F2" s="354"/>
      <c r="G2" s="355"/>
      <c r="H2" s="354"/>
      <c r="I2" s="354"/>
      <c r="J2" s="354"/>
      <c r="K2" s="363" t="s">
        <v>0</v>
      </c>
      <c r="L2" s="62"/>
    </row>
    <row r="3" spans="1:37" s="62" customFormat="1" ht="33.75" customHeight="1">
      <c r="A3" s="1208" t="s">
        <v>125</v>
      </c>
      <c r="B3" s="1208" t="s">
        <v>132</v>
      </c>
      <c r="C3" s="1210"/>
      <c r="D3" s="1216" t="s">
        <v>110</v>
      </c>
      <c r="E3" s="1216"/>
      <c r="F3" s="1216" t="s">
        <v>63</v>
      </c>
      <c r="G3" s="1217"/>
      <c r="H3" s="1213" t="s">
        <v>59</v>
      </c>
      <c r="I3" s="1213" t="s">
        <v>60</v>
      </c>
      <c r="J3" s="1211" t="s">
        <v>111</v>
      </c>
      <c r="K3" s="1212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s="62" customFormat="1" ht="27.75" customHeight="1" thickBot="1">
      <c r="A4" s="1209"/>
      <c r="B4" s="1209"/>
      <c r="C4" s="1209"/>
      <c r="D4" s="667" t="s">
        <v>10</v>
      </c>
      <c r="E4" s="707" t="s">
        <v>9</v>
      </c>
      <c r="F4" s="667" t="s">
        <v>10</v>
      </c>
      <c r="G4" s="668" t="s">
        <v>9</v>
      </c>
      <c r="H4" s="1214"/>
      <c r="I4" s="1215"/>
      <c r="J4" s="669" t="s">
        <v>10</v>
      </c>
      <c r="K4" s="668" t="s">
        <v>9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s="360" customFormat="1" ht="25.5" customHeight="1">
      <c r="A5" s="72" t="s">
        <v>223</v>
      </c>
      <c r="B5" s="244">
        <v>1</v>
      </c>
      <c r="C5" s="329" t="s">
        <v>364</v>
      </c>
      <c r="D5" s="600">
        <v>3</v>
      </c>
      <c r="E5" s="526">
        <v>43.2</v>
      </c>
      <c r="F5" s="922"/>
      <c r="G5" s="941"/>
      <c r="H5" s="243"/>
      <c r="I5" s="243"/>
      <c r="J5" s="356">
        <f aca="true" t="shared" si="0" ref="J5:J29">D5</f>
        <v>3</v>
      </c>
      <c r="K5" s="364">
        <f aca="true" t="shared" si="1" ref="K5:K29">E5+G5</f>
        <v>43.2</v>
      </c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2:37" s="62" customFormat="1" ht="24.75" customHeight="1">
      <c r="B6" s="244">
        <v>2</v>
      </c>
      <c r="C6" s="329" t="s">
        <v>366</v>
      </c>
      <c r="D6" s="600">
        <v>2</v>
      </c>
      <c r="E6" s="939">
        <v>30.9</v>
      </c>
      <c r="F6" s="600">
        <v>4</v>
      </c>
      <c r="G6" s="601">
        <v>101.6</v>
      </c>
      <c r="H6" s="243"/>
      <c r="I6" s="243"/>
      <c r="J6" s="356">
        <f t="shared" si="0"/>
        <v>2</v>
      </c>
      <c r="K6" s="364">
        <f t="shared" si="1"/>
        <v>132.5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s="62" customFormat="1" ht="21.75">
      <c r="A7" s="72"/>
      <c r="B7" s="244">
        <v>3</v>
      </c>
      <c r="C7" s="329" t="s">
        <v>269</v>
      </c>
      <c r="D7" s="602"/>
      <c r="E7" s="527"/>
      <c r="F7" s="600">
        <v>6</v>
      </c>
      <c r="G7" s="601">
        <v>130.6</v>
      </c>
      <c r="H7" s="243"/>
      <c r="I7" s="243"/>
      <c r="J7" s="356">
        <f t="shared" si="0"/>
        <v>0</v>
      </c>
      <c r="K7" s="364">
        <f t="shared" si="1"/>
        <v>130.6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s="360" customFormat="1" ht="40.5">
      <c r="A8" s="242"/>
      <c r="B8" s="244">
        <v>4</v>
      </c>
      <c r="C8" s="329" t="s">
        <v>369</v>
      </c>
      <c r="D8" s="922">
        <v>5</v>
      </c>
      <c r="E8" s="939">
        <v>62.8</v>
      </c>
      <c r="F8" s="243">
        <v>4</v>
      </c>
      <c r="G8" s="1083">
        <v>203.6</v>
      </c>
      <c r="H8" s="243"/>
      <c r="I8" s="243"/>
      <c r="J8" s="356">
        <f t="shared" si="0"/>
        <v>5</v>
      </c>
      <c r="K8" s="364">
        <f t="shared" si="1"/>
        <v>266.4</v>
      </c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</row>
    <row r="9" spans="1:37" s="62" customFormat="1" ht="21">
      <c r="A9" s="72"/>
      <c r="B9" s="244">
        <v>5</v>
      </c>
      <c r="C9" s="329" t="s">
        <v>370</v>
      </c>
      <c r="D9" s="600">
        <v>1</v>
      </c>
      <c r="E9" s="526">
        <v>114.6</v>
      </c>
      <c r="F9" s="922"/>
      <c r="G9" s="941"/>
      <c r="H9" s="243"/>
      <c r="I9" s="243"/>
      <c r="J9" s="356">
        <f t="shared" si="0"/>
        <v>1</v>
      </c>
      <c r="K9" s="364">
        <f t="shared" si="1"/>
        <v>114.6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s="360" customFormat="1" ht="21">
      <c r="A10" s="242"/>
      <c r="B10" s="244">
        <v>6</v>
      </c>
      <c r="C10" s="329" t="s">
        <v>371</v>
      </c>
      <c r="D10" s="600"/>
      <c r="E10" s="526"/>
      <c r="F10" s="600">
        <v>5</v>
      </c>
      <c r="G10" s="601">
        <v>104.6</v>
      </c>
      <c r="H10" s="243"/>
      <c r="I10" s="243"/>
      <c r="J10" s="356">
        <f t="shared" si="0"/>
        <v>0</v>
      </c>
      <c r="K10" s="364">
        <f t="shared" si="1"/>
        <v>104.6</v>
      </c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</row>
    <row r="11" spans="1:37" s="62" customFormat="1" ht="24" customHeight="1">
      <c r="A11" s="72"/>
      <c r="B11" s="244">
        <v>7</v>
      </c>
      <c r="C11" s="329" t="s">
        <v>372</v>
      </c>
      <c r="D11" s="600"/>
      <c r="E11" s="526"/>
      <c r="F11" s="922">
        <v>6</v>
      </c>
      <c r="G11" s="941">
        <v>113.9</v>
      </c>
      <c r="H11" s="243"/>
      <c r="I11" s="243"/>
      <c r="J11" s="356">
        <f t="shared" si="0"/>
        <v>0</v>
      </c>
      <c r="K11" s="364">
        <f t="shared" si="1"/>
        <v>113.9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62" customFormat="1" ht="40.5">
      <c r="A12" s="72"/>
      <c r="B12" s="244">
        <v>8</v>
      </c>
      <c r="C12" s="329" t="s">
        <v>270</v>
      </c>
      <c r="D12" s="922">
        <v>6</v>
      </c>
      <c r="E12" s="939">
        <v>110.5</v>
      </c>
      <c r="F12" s="922">
        <v>5</v>
      </c>
      <c r="G12" s="938">
        <v>134.8</v>
      </c>
      <c r="H12" s="243"/>
      <c r="I12" s="243"/>
      <c r="J12" s="356">
        <f t="shared" si="0"/>
        <v>6</v>
      </c>
      <c r="K12" s="364">
        <f t="shared" si="1"/>
        <v>245.3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62" customFormat="1" ht="40.5">
      <c r="A13" s="72"/>
      <c r="B13" s="244">
        <v>9</v>
      </c>
      <c r="C13" s="329" t="s">
        <v>273</v>
      </c>
      <c r="D13" s="278">
        <v>5</v>
      </c>
      <c r="E13" s="1082">
        <v>114.8</v>
      </c>
      <c r="F13" s="278">
        <v>6</v>
      </c>
      <c r="G13" s="925">
        <v>130.3</v>
      </c>
      <c r="H13" s="243"/>
      <c r="I13" s="243"/>
      <c r="J13" s="356">
        <f t="shared" si="0"/>
        <v>5</v>
      </c>
      <c r="K13" s="364">
        <f t="shared" si="1"/>
        <v>245.10000000000002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62" customFormat="1" ht="21">
      <c r="A14" s="72"/>
      <c r="B14" s="244">
        <v>10</v>
      </c>
      <c r="C14" s="329" t="s">
        <v>375</v>
      </c>
      <c r="D14" s="278">
        <v>4</v>
      </c>
      <c r="E14" s="1082">
        <v>121.1</v>
      </c>
      <c r="F14" s="278">
        <v>4</v>
      </c>
      <c r="G14" s="925">
        <v>217</v>
      </c>
      <c r="H14" s="243"/>
      <c r="I14" s="243"/>
      <c r="J14" s="356">
        <f>D14</f>
        <v>4</v>
      </c>
      <c r="K14" s="364">
        <f>E14+G14</f>
        <v>338.1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360" customFormat="1" ht="40.5">
      <c r="A15" s="242" t="s">
        <v>222</v>
      </c>
      <c r="B15" s="244">
        <v>11</v>
      </c>
      <c r="C15" s="329" t="s">
        <v>276</v>
      </c>
      <c r="D15" s="600">
        <v>5</v>
      </c>
      <c r="E15" s="939">
        <v>71.7</v>
      </c>
      <c r="F15" s="922">
        <v>5</v>
      </c>
      <c r="G15" s="941">
        <v>113.9</v>
      </c>
      <c r="H15" s="243"/>
      <c r="I15" s="243"/>
      <c r="J15" s="356">
        <f t="shared" si="0"/>
        <v>5</v>
      </c>
      <c r="K15" s="364">
        <f t="shared" si="1"/>
        <v>185.60000000000002</v>
      </c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</row>
    <row r="16" spans="1:37" s="360" customFormat="1" ht="24" customHeight="1">
      <c r="A16" s="242" t="s">
        <v>224</v>
      </c>
      <c r="B16" s="244">
        <v>12</v>
      </c>
      <c r="C16" s="329" t="s">
        <v>368</v>
      </c>
      <c r="D16" s="600"/>
      <c r="E16" s="526"/>
      <c r="F16" s="600">
        <v>5</v>
      </c>
      <c r="G16" s="940">
        <v>141.2</v>
      </c>
      <c r="H16" s="243"/>
      <c r="I16" s="243"/>
      <c r="J16" s="356">
        <f t="shared" si="0"/>
        <v>0</v>
      </c>
      <c r="K16" s="364">
        <f t="shared" si="1"/>
        <v>141.2</v>
      </c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</row>
    <row r="17" spans="1:37" s="62" customFormat="1" ht="21">
      <c r="A17" s="242"/>
      <c r="B17" s="244">
        <v>13</v>
      </c>
      <c r="C17" s="329" t="s">
        <v>266</v>
      </c>
      <c r="D17" s="600">
        <v>6</v>
      </c>
      <c r="E17" s="526">
        <v>162.3</v>
      </c>
      <c r="F17" s="600">
        <v>5</v>
      </c>
      <c r="G17" s="601">
        <v>138.2</v>
      </c>
      <c r="H17" s="243"/>
      <c r="I17" s="243"/>
      <c r="J17" s="356">
        <f t="shared" si="0"/>
        <v>6</v>
      </c>
      <c r="K17" s="364">
        <f t="shared" si="1"/>
        <v>300.5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62" customFormat="1" ht="40.5">
      <c r="A18" s="242" t="s">
        <v>373</v>
      </c>
      <c r="B18" s="244">
        <v>14</v>
      </c>
      <c r="C18" s="329" t="s">
        <v>374</v>
      </c>
      <c r="D18" s="600">
        <v>3</v>
      </c>
      <c r="E18" s="526">
        <v>128.6</v>
      </c>
      <c r="F18" s="600">
        <v>13</v>
      </c>
      <c r="G18" s="601">
        <v>473.8</v>
      </c>
      <c r="H18" s="243"/>
      <c r="I18" s="243"/>
      <c r="J18" s="356">
        <f t="shared" si="0"/>
        <v>3</v>
      </c>
      <c r="K18" s="364">
        <f t="shared" si="1"/>
        <v>602.4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62" customFormat="1" ht="40.5">
      <c r="A19" s="242" t="s">
        <v>225</v>
      </c>
      <c r="B19" s="244">
        <v>15</v>
      </c>
      <c r="C19" s="329" t="s">
        <v>268</v>
      </c>
      <c r="D19" s="600"/>
      <c r="E19" s="526"/>
      <c r="F19" s="600">
        <v>6</v>
      </c>
      <c r="G19" s="601">
        <v>151.6</v>
      </c>
      <c r="H19" s="243"/>
      <c r="I19" s="243"/>
      <c r="J19" s="356">
        <f t="shared" si="0"/>
        <v>0</v>
      </c>
      <c r="K19" s="364">
        <f t="shared" si="1"/>
        <v>151.6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62" customFormat="1" ht="40.5">
      <c r="A20" s="242"/>
      <c r="B20" s="244">
        <v>16</v>
      </c>
      <c r="C20" s="329" t="s">
        <v>272</v>
      </c>
      <c r="D20" s="600">
        <v>5</v>
      </c>
      <c r="E20" s="526">
        <v>91.9</v>
      </c>
      <c r="F20" s="600">
        <v>5</v>
      </c>
      <c r="G20" s="601">
        <v>141.6</v>
      </c>
      <c r="H20" s="243"/>
      <c r="I20" s="243"/>
      <c r="J20" s="356">
        <f t="shared" si="0"/>
        <v>5</v>
      </c>
      <c r="K20" s="364">
        <f t="shared" si="1"/>
        <v>233.5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s="62" customFormat="1" ht="24" customHeight="1">
      <c r="A21" s="242"/>
      <c r="B21" s="244">
        <v>17</v>
      </c>
      <c r="C21" s="329" t="s">
        <v>274</v>
      </c>
      <c r="D21" s="600"/>
      <c r="E21" s="526"/>
      <c r="F21" s="600">
        <v>6</v>
      </c>
      <c r="G21" s="601">
        <v>165.1</v>
      </c>
      <c r="H21" s="243"/>
      <c r="I21" s="243"/>
      <c r="J21" s="356">
        <f t="shared" si="0"/>
        <v>0</v>
      </c>
      <c r="K21" s="364">
        <f t="shared" si="1"/>
        <v>165.1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s="62" customFormat="1" ht="21">
      <c r="A22" s="242"/>
      <c r="B22" s="244">
        <v>18</v>
      </c>
      <c r="C22" s="329" t="s">
        <v>365</v>
      </c>
      <c r="D22" s="600">
        <v>6</v>
      </c>
      <c r="E22" s="526">
        <v>133.6</v>
      </c>
      <c r="F22" s="600">
        <v>6</v>
      </c>
      <c r="G22" s="601">
        <v>131.9</v>
      </c>
      <c r="H22" s="243"/>
      <c r="I22" s="243"/>
      <c r="J22" s="356">
        <f t="shared" si="0"/>
        <v>6</v>
      </c>
      <c r="K22" s="364">
        <f t="shared" si="1"/>
        <v>265.5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11" ht="21.75">
      <c r="A23" s="242" t="s">
        <v>226</v>
      </c>
      <c r="B23" s="244">
        <v>19</v>
      </c>
      <c r="C23" s="924" t="s">
        <v>275</v>
      </c>
      <c r="D23" s="600">
        <v>5</v>
      </c>
      <c r="E23" s="940">
        <v>437.2</v>
      </c>
      <c r="F23" s="523">
        <v>5</v>
      </c>
      <c r="G23" s="524">
        <v>140.1</v>
      </c>
      <c r="H23" s="243"/>
      <c r="I23" s="243"/>
      <c r="J23" s="356">
        <f t="shared" si="0"/>
        <v>5</v>
      </c>
      <c r="K23" s="364">
        <f t="shared" si="1"/>
        <v>577.3</v>
      </c>
    </row>
    <row r="24" spans="2:37" s="62" customFormat="1" ht="21">
      <c r="B24" s="244">
        <v>20</v>
      </c>
      <c r="C24" s="329" t="s">
        <v>267</v>
      </c>
      <c r="D24" s="600">
        <v>5</v>
      </c>
      <c r="E24" s="526">
        <v>82</v>
      </c>
      <c r="F24" s="600">
        <v>6</v>
      </c>
      <c r="G24" s="923">
        <v>19.8</v>
      </c>
      <c r="H24" s="243"/>
      <c r="I24" s="243"/>
      <c r="J24" s="356">
        <f t="shared" si="0"/>
        <v>5</v>
      </c>
      <c r="K24" s="364">
        <f t="shared" si="1"/>
        <v>101.8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2:11" ht="42">
      <c r="B25" s="244">
        <v>21</v>
      </c>
      <c r="C25" s="924" t="s">
        <v>271</v>
      </c>
      <c r="D25" s="600"/>
      <c r="E25" s="526"/>
      <c r="F25" s="523">
        <v>5</v>
      </c>
      <c r="G25" s="524">
        <v>137.3</v>
      </c>
      <c r="H25" s="243"/>
      <c r="I25" s="243"/>
      <c r="J25" s="356">
        <f t="shared" si="0"/>
        <v>0</v>
      </c>
      <c r="K25" s="364">
        <f t="shared" si="1"/>
        <v>137.3</v>
      </c>
    </row>
    <row r="26" spans="2:37" s="62" customFormat="1" ht="40.5">
      <c r="B26" s="244">
        <v>22</v>
      </c>
      <c r="C26" s="329" t="s">
        <v>367</v>
      </c>
      <c r="D26" s="600"/>
      <c r="E26" s="526"/>
      <c r="F26" s="600">
        <v>5</v>
      </c>
      <c r="G26" s="601">
        <v>135.9</v>
      </c>
      <c r="H26" s="243"/>
      <c r="I26" s="243"/>
      <c r="J26" s="356">
        <f t="shared" si="0"/>
        <v>0</v>
      </c>
      <c r="K26" s="364">
        <f t="shared" si="1"/>
        <v>135.9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2:11" ht="21.75">
      <c r="B27" s="244">
        <v>23</v>
      </c>
      <c r="C27" s="924" t="s">
        <v>278</v>
      </c>
      <c r="D27" s="600">
        <v>4</v>
      </c>
      <c r="E27" s="526">
        <v>26.9</v>
      </c>
      <c r="F27" s="523"/>
      <c r="G27" s="524"/>
      <c r="H27" s="243"/>
      <c r="I27" s="243"/>
      <c r="J27" s="356">
        <f t="shared" si="0"/>
        <v>4</v>
      </c>
      <c r="K27" s="364">
        <f t="shared" si="1"/>
        <v>26.9</v>
      </c>
    </row>
    <row r="28" spans="2:37" s="62" customFormat="1" ht="40.5">
      <c r="B28" s="244">
        <v>24</v>
      </c>
      <c r="C28" s="329" t="s">
        <v>180</v>
      </c>
      <c r="D28" s="600">
        <v>7</v>
      </c>
      <c r="E28" s="526">
        <v>91.7</v>
      </c>
      <c r="F28" s="600"/>
      <c r="G28" s="601"/>
      <c r="H28" s="243"/>
      <c r="I28" s="243"/>
      <c r="J28" s="356">
        <f t="shared" si="0"/>
        <v>7</v>
      </c>
      <c r="K28" s="364">
        <f t="shared" si="1"/>
        <v>91.7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2:11" ht="22.5" thickBot="1">
      <c r="B29" s="244">
        <v>25</v>
      </c>
      <c r="C29" s="924" t="s">
        <v>277</v>
      </c>
      <c r="D29" s="600">
        <v>3</v>
      </c>
      <c r="E29" s="526">
        <v>80.1</v>
      </c>
      <c r="F29" s="523">
        <v>3</v>
      </c>
      <c r="G29" s="524">
        <v>78.2</v>
      </c>
      <c r="H29" s="243"/>
      <c r="I29" s="243"/>
      <c r="J29" s="356">
        <f t="shared" si="0"/>
        <v>3</v>
      </c>
      <c r="K29" s="364">
        <f t="shared" si="1"/>
        <v>158.3</v>
      </c>
    </row>
    <row r="30" spans="1:37" s="360" customFormat="1" ht="21.75" thickBot="1">
      <c r="A30" s="365"/>
      <c r="B30" s="366"/>
      <c r="C30" s="367" t="s">
        <v>111</v>
      </c>
      <c r="D30" s="359">
        <f>SUM(D5:D29)</f>
        <v>75</v>
      </c>
      <c r="E30" s="704">
        <f>SUM(E5:E29)</f>
        <v>1903.9</v>
      </c>
      <c r="F30" s="359">
        <f>SUM(F5:F29)</f>
        <v>115</v>
      </c>
      <c r="G30" s="703">
        <f>SUM(G5:G29)</f>
        <v>3105</v>
      </c>
      <c r="H30" s="789">
        <f>SUM(H5:H23)</f>
        <v>0</v>
      </c>
      <c r="I30" s="359">
        <f>SUM(I5:I23)</f>
        <v>0</v>
      </c>
      <c r="J30" s="359">
        <f>SUM(J5:J29)</f>
        <v>75</v>
      </c>
      <c r="K30" s="702">
        <f>SUM(K5:K29)</f>
        <v>5008.899999999999</v>
      </c>
      <c r="M30" s="348"/>
      <c r="N30" s="348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</row>
    <row r="31" spans="2:37" s="62" customFormat="1" ht="23.25" customHeight="1">
      <c r="B31" s="91"/>
      <c r="E31" s="708"/>
      <c r="F31" s="360"/>
      <c r="G31" s="361"/>
      <c r="H31" s="360"/>
      <c r="I31" s="360"/>
      <c r="J31" s="360"/>
      <c r="K31" s="36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2:37" s="62" customFormat="1" ht="23.25" customHeight="1">
      <c r="B32" s="91"/>
      <c r="E32" s="708"/>
      <c r="F32" s="360"/>
      <c r="G32" s="361"/>
      <c r="H32" s="360"/>
      <c r="I32" s="360"/>
      <c r="J32" s="360"/>
      <c r="K32" s="361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2:37" s="62" customFormat="1" ht="23.25" customHeight="1">
      <c r="B33" s="91"/>
      <c r="E33" s="708"/>
      <c r="F33" s="360"/>
      <c r="G33" s="361"/>
      <c r="H33" s="360"/>
      <c r="I33" s="360"/>
      <c r="J33" s="360"/>
      <c r="K33" s="36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</sheetData>
  <sheetProtection/>
  <mergeCells count="7">
    <mergeCell ref="A3:A4"/>
    <mergeCell ref="B3:C4"/>
    <mergeCell ref="J3:K3"/>
    <mergeCell ref="H3:H4"/>
    <mergeCell ref="I3:I4"/>
    <mergeCell ref="F3:G3"/>
    <mergeCell ref="D3:E3"/>
  </mergeCells>
  <printOptions horizontalCentered="1"/>
  <pageMargins left="0.15748031496062992" right="0.15748031496062992" top="0.31496062992125984" bottom="0.15748031496062992" header="0.31496062992125984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u_sar</dc:creator>
  <cp:keywords/>
  <dc:description/>
  <cp:lastModifiedBy>DELL</cp:lastModifiedBy>
  <cp:lastPrinted>2015-08-13T08:23:10Z</cp:lastPrinted>
  <dcterms:created xsi:type="dcterms:W3CDTF">2007-10-09T07:28:46Z</dcterms:created>
  <dcterms:modified xsi:type="dcterms:W3CDTF">2016-06-07T08:00:51Z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