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45" windowWidth="19320" windowHeight="10800" tabRatio="934" activeTab="0"/>
  </bookViews>
  <sheets>
    <sheet name="ApI" sheetId="1" r:id="rId1"/>
    <sheet name="AnII" sheetId="2" r:id="rId2"/>
    <sheet name="ApIII" sheetId="3" r:id="rId3"/>
    <sheet name="ApIV" sheetId="4" r:id="rId4"/>
    <sheet name="ApV" sheetId="5" r:id="rId5"/>
    <sheet name="AnVI" sheetId="6" r:id="rId6"/>
    <sheet name="ApVII" sheetId="7" r:id="rId7"/>
    <sheet name="ApVIII" sheetId="8" r:id="rId8"/>
    <sheet name="ApIX" sheetId="9" r:id="rId9"/>
    <sheet name="ApX" sheetId="10" r:id="rId10"/>
    <sheet name="AnXI" sheetId="11" r:id="rId11"/>
    <sheet name="ApXII" sheetId="12" r:id="rId12"/>
    <sheet name="ApXIII" sheetId="13" r:id="rId13"/>
    <sheet name="Framework" sheetId="14" r:id="rId14"/>
    <sheet name="ApXV" sheetId="15" r:id="rId15"/>
  </sheets>
  <definedNames>
    <definedName name="country">#REF!</definedName>
    <definedName name="_xlnm.Print_Area" localSheetId="5">'AnVI'!$A$1:$K$10</definedName>
    <definedName name="_xlnm.Print_Area" localSheetId="10">'AnXI'!$A$3:$F$29</definedName>
    <definedName name="_xlnm.Print_Area" localSheetId="0">'ApI'!$A$4:$O$106</definedName>
    <definedName name="_xlnm.Print_Area" localSheetId="2">'ApIII'!$A$1:$S$76</definedName>
    <definedName name="_xlnm.Print_Area" localSheetId="3">'ApIV'!$A$1:$AQ$70</definedName>
    <definedName name="_xlnm.Print_Area" localSheetId="8">'ApIX'!$A$1:$K$46</definedName>
    <definedName name="_xlnm.Print_Area" localSheetId="6">'ApVII'!$A$1:$S$30</definedName>
    <definedName name="_xlnm.Print_Area" localSheetId="7">'ApVIII'!$A$1:$S$10</definedName>
    <definedName name="_xlnm.Print_Area" localSheetId="9">'ApX'!$A$4:$S$75</definedName>
    <definedName name="_xlnm.Print_Area" localSheetId="11">'ApXII'!$A$1:$U$44</definedName>
    <definedName name="_xlnm.Print_Area" localSheetId="12">'ApXIII'!$A$4:$N$53</definedName>
    <definedName name="_xlnm.Print_Area" localSheetId="14">'ApXV'!$A$1:$AE$84</definedName>
    <definedName name="_xlnm.Print_Area" localSheetId="13">'Framework'!$A$4:$N$45</definedName>
    <definedName name="_xlnm.Print_Titles" localSheetId="1">'AnII'!$A:$A,'AnII'!$1:$2</definedName>
    <definedName name="_xlnm.Print_Titles" localSheetId="10">'AnXI'!$1:$2</definedName>
    <definedName name="_xlnm.Print_Titles" localSheetId="0">'ApI'!$1:$3</definedName>
    <definedName name="_xlnm.Print_Titles" localSheetId="2">'ApIII'!$1:$4</definedName>
    <definedName name="_xlnm.Print_Titles" localSheetId="3">'ApIV'!$A:$A,'ApIV'!$2:$3</definedName>
    <definedName name="_xlnm.Print_Titles" localSheetId="8">'ApIX'!$3:$4</definedName>
    <definedName name="_xlnm.Print_Titles" localSheetId="4">'ApV'!$1:$3</definedName>
    <definedName name="_xlnm.Print_Titles" localSheetId="6">'ApVII'!$1:$3</definedName>
    <definedName name="_xlnm.Print_Titles" localSheetId="9">'ApX'!$1:$3</definedName>
    <definedName name="_xlnm.Print_Titles" localSheetId="11">'ApXII'!$A:$A,'ApXII'!$1:$3</definedName>
    <definedName name="_xlnm.Print_Titles" localSheetId="12">'ApXIII'!$1:$3</definedName>
    <definedName name="_xlnm.Print_Titles" localSheetId="14">'ApXV'!$1:$1</definedName>
    <definedName name="_xlnm.Print_Titles" localSheetId="13">'Framework'!$1:$3</definedName>
  </definedNames>
  <calcPr fullCalcOnLoad="1"/>
</workbook>
</file>

<file path=xl/sharedStrings.xml><?xml version="1.0" encoding="utf-8"?>
<sst xmlns="http://schemas.openxmlformats.org/spreadsheetml/2006/main" count="1706" uniqueCount="624">
  <si>
    <t>(No. : Persons, Value : '000 Baht)</t>
  </si>
  <si>
    <t>Country</t>
  </si>
  <si>
    <t>Bilateral</t>
  </si>
  <si>
    <t>TIPP</t>
  </si>
  <si>
    <t>AITC</t>
  </si>
  <si>
    <t>TCDC</t>
  </si>
  <si>
    <t>Trilateral</t>
  </si>
  <si>
    <t>Total TICP</t>
  </si>
  <si>
    <t>No.*</t>
  </si>
  <si>
    <t>Value</t>
  </si>
  <si>
    <t>No.</t>
  </si>
  <si>
    <t xml:space="preserve">   - Cambodia</t>
  </si>
  <si>
    <t>-</t>
  </si>
  <si>
    <t xml:space="preserve">   - Lao PDR</t>
  </si>
  <si>
    <t xml:space="preserve">   - Myanmar</t>
  </si>
  <si>
    <t xml:space="preserve">   - Vietnam</t>
  </si>
  <si>
    <t>2. SOUTHEAST ASIA</t>
  </si>
  <si>
    <t xml:space="preserve">   - Indonesia</t>
  </si>
  <si>
    <t xml:space="preserve">   - Malaysia</t>
  </si>
  <si>
    <t xml:space="preserve">   - Philippines</t>
  </si>
  <si>
    <t xml:space="preserve">   - Timor Leste</t>
  </si>
  <si>
    <t>3. EAST ASIA</t>
  </si>
  <si>
    <t xml:space="preserve">   - China</t>
  </si>
  <si>
    <t xml:space="preserve">   - Mongolia</t>
  </si>
  <si>
    <t>4. SOUTH ASIA AND MIDDLE EAST</t>
  </si>
  <si>
    <t xml:space="preserve">   - Afghanistan</t>
  </si>
  <si>
    <t xml:space="preserve">   - Bangladesh</t>
  </si>
  <si>
    <t xml:space="preserve">   - Bhutan</t>
  </si>
  <si>
    <t xml:space="preserve">   - India</t>
  </si>
  <si>
    <t xml:space="preserve">   - Iran</t>
  </si>
  <si>
    <t xml:space="preserve">   - Jordan</t>
  </si>
  <si>
    <t xml:space="preserve">   - Maldives</t>
  </si>
  <si>
    <t xml:space="preserve">   - Nepal</t>
  </si>
  <si>
    <t xml:space="preserve">   - Pakistan</t>
  </si>
  <si>
    <t xml:space="preserve">   - Sri Lanka</t>
  </si>
  <si>
    <t>5. THE PACIFIC</t>
  </si>
  <si>
    <t xml:space="preserve">   - Tajikistan</t>
  </si>
  <si>
    <t xml:space="preserve">   - Uzbekistan</t>
  </si>
  <si>
    <t xml:space="preserve">   - Bukina Faso</t>
  </si>
  <si>
    <t xml:space="preserve">   - Burundi</t>
  </si>
  <si>
    <t xml:space="preserve">   - Egypt</t>
  </si>
  <si>
    <t xml:space="preserve">   - Gambia</t>
  </si>
  <si>
    <t xml:space="preserve">   - Kenya</t>
  </si>
  <si>
    <t xml:space="preserve">   - Madagascar</t>
  </si>
  <si>
    <t xml:space="preserve">   - Malawi</t>
  </si>
  <si>
    <t xml:space="preserve">   - Mauritius</t>
  </si>
  <si>
    <t xml:space="preserve">   - Morocco</t>
  </si>
  <si>
    <t xml:space="preserve">   - Mozambique</t>
  </si>
  <si>
    <t xml:space="preserve">   - Namibia</t>
  </si>
  <si>
    <t xml:space="preserve">   - Nigeria</t>
  </si>
  <si>
    <t xml:space="preserve">   - Senegal</t>
  </si>
  <si>
    <t xml:space="preserve">   - Sudan</t>
  </si>
  <si>
    <t xml:space="preserve">   - Tanzania</t>
  </si>
  <si>
    <t xml:space="preserve">   - Uganda</t>
  </si>
  <si>
    <t xml:space="preserve">   - Zambia</t>
  </si>
  <si>
    <t xml:space="preserve">   - Chile</t>
  </si>
  <si>
    <t xml:space="preserve">   - Colombia</t>
  </si>
  <si>
    <t xml:space="preserve">   - Ecuador</t>
  </si>
  <si>
    <t xml:space="preserve">   - Mexico</t>
  </si>
  <si>
    <t xml:space="preserve">   - Peru</t>
  </si>
  <si>
    <t>GRAND TOTAL</t>
  </si>
  <si>
    <t>Development Project</t>
  </si>
  <si>
    <t xml:space="preserve">Expert/ Mission </t>
  </si>
  <si>
    <t>Equipment</t>
  </si>
  <si>
    <t>Others</t>
  </si>
  <si>
    <t>TOTAL</t>
  </si>
  <si>
    <t>Study</t>
  </si>
  <si>
    <t>Expert/Mission</t>
  </si>
  <si>
    <t>1. THE FOUR NEIGHBOURING COUNTRIES</t>
  </si>
  <si>
    <t>6. AFRICA</t>
  </si>
  <si>
    <t>Agriculture</t>
  </si>
  <si>
    <t>Communications</t>
  </si>
  <si>
    <t>Education</t>
  </si>
  <si>
    <t>Information Technology</t>
  </si>
  <si>
    <t>Infrastructure &amp; Public Utilities</t>
  </si>
  <si>
    <t>Labour &amp; Employment</t>
  </si>
  <si>
    <t>Natural Resources &amp; Environment</t>
  </si>
  <si>
    <t>Public Administration</t>
  </si>
  <si>
    <t>Public Health</t>
  </si>
  <si>
    <t>Science &amp; Technology</t>
  </si>
  <si>
    <t>Social Development &amp; Welfare</t>
  </si>
  <si>
    <t>Tourism</t>
  </si>
  <si>
    <t>Transport</t>
  </si>
  <si>
    <t>Economics</t>
  </si>
  <si>
    <t>Energy</t>
  </si>
  <si>
    <t>1. THE FOUR NEIGHBOURING COUNTRIES :</t>
  </si>
  <si>
    <t xml:space="preserve">    - Cambodia</t>
  </si>
  <si>
    <t xml:space="preserve">    - Lao PDR</t>
  </si>
  <si>
    <t xml:space="preserve">    - Myanmar</t>
  </si>
  <si>
    <t xml:space="preserve">    - Vietnam</t>
  </si>
  <si>
    <t xml:space="preserve">    - Mongolia</t>
  </si>
  <si>
    <t xml:space="preserve">    - Timor Leste</t>
  </si>
  <si>
    <t>Trade, Services &amp; Investment</t>
  </si>
  <si>
    <t xml:space="preserve">    - Bhutan</t>
  </si>
  <si>
    <t xml:space="preserve">    - China</t>
  </si>
  <si>
    <t xml:space="preserve">    - Indonesia</t>
  </si>
  <si>
    <t xml:space="preserve">    - Philippines</t>
  </si>
  <si>
    <t xml:space="preserve">    - Afghanistan</t>
  </si>
  <si>
    <t xml:space="preserve">    - Bangladesh</t>
  </si>
  <si>
    <t xml:space="preserve">    - Nepal</t>
  </si>
  <si>
    <t xml:space="preserve">    - Sri Lanka</t>
  </si>
  <si>
    <t xml:space="preserve">  (No. : Persons, Value : '000 Baht)</t>
  </si>
  <si>
    <t>Project</t>
  </si>
  <si>
    <t>Cambodia</t>
  </si>
  <si>
    <t xml:space="preserve"> - Special Project</t>
  </si>
  <si>
    <t xml:space="preserve"> - Development Project</t>
  </si>
  <si>
    <t>Sub-Total</t>
  </si>
  <si>
    <t>Lao PDR</t>
  </si>
  <si>
    <t xml:space="preserve">   - Public Health</t>
  </si>
  <si>
    <t xml:space="preserve">  - Development Project</t>
  </si>
  <si>
    <t>Vietnam</t>
  </si>
  <si>
    <t xml:space="preserve">   - Education</t>
  </si>
  <si>
    <t>The Teaching Thai Language at the University of Danang</t>
  </si>
  <si>
    <t>Economic</t>
  </si>
  <si>
    <t>Natural Resources and Environment</t>
  </si>
  <si>
    <t xml:space="preserve"> </t>
  </si>
  <si>
    <t>1. EAST ASIA</t>
  </si>
  <si>
    <t xml:space="preserve">   - Thai to China</t>
  </si>
  <si>
    <t>Training</t>
  </si>
  <si>
    <t>Total</t>
  </si>
  <si>
    <t xml:space="preserve">    (No. : Persons, Value : '000 Baht)</t>
  </si>
  <si>
    <t xml:space="preserve">    - Malaysia</t>
  </si>
  <si>
    <t xml:space="preserve">    - India</t>
  </si>
  <si>
    <t xml:space="preserve">    - Iran</t>
  </si>
  <si>
    <t xml:space="preserve">    - Jordan</t>
  </si>
  <si>
    <t xml:space="preserve">    - Maldives</t>
  </si>
  <si>
    <t xml:space="preserve">    - Pakistan</t>
  </si>
  <si>
    <t xml:space="preserve">    - Egypt</t>
  </si>
  <si>
    <t xml:space="preserve">    - Kenya</t>
  </si>
  <si>
    <t xml:space="preserve">    - Madagascar</t>
  </si>
  <si>
    <t xml:space="preserve">    - Senegal</t>
  </si>
  <si>
    <t xml:space="preserve">    - Sudan</t>
  </si>
  <si>
    <t xml:space="preserve">    - Uganda</t>
  </si>
  <si>
    <t>Cooperation Partner</t>
  </si>
  <si>
    <t>Project/Course</t>
  </si>
  <si>
    <t>Sector</t>
  </si>
  <si>
    <t>Beneficiary</t>
  </si>
  <si>
    <t>JICA</t>
  </si>
  <si>
    <t>UNFPA</t>
  </si>
  <si>
    <t xml:space="preserve"> (No. : Persons, Value : '000 Baht)</t>
  </si>
  <si>
    <t>1. THE FOUR NEIGHBORING COUNTRIES :</t>
  </si>
  <si>
    <t xml:space="preserve">    - Tanzania</t>
  </si>
  <si>
    <t>Project Name</t>
  </si>
  <si>
    <t>2. OTHERS</t>
  </si>
  <si>
    <t xml:space="preserve">      (No. : Person, Value : '000 Baht)</t>
  </si>
  <si>
    <t>Cooperation Framework**</t>
  </si>
  <si>
    <t>7. CIS</t>
  </si>
  <si>
    <t>8. LATIN AMERICA</t>
  </si>
  <si>
    <t>*  :  Only Fellowships</t>
  </si>
  <si>
    <t xml:space="preserve"> *  :  Only Fellowship</t>
  </si>
  <si>
    <t xml:space="preserve"> ****  :  DC &amp; LDC Meeting, Study and Research, Thai Participants</t>
  </si>
  <si>
    <t xml:space="preserve"> ***  :  No. of Participants facilitated by TICA</t>
  </si>
  <si>
    <t xml:space="preserve">1. THE FOUR NEIGHBOURING COUNTRIES </t>
  </si>
  <si>
    <t xml:space="preserve">   - Fiji</t>
  </si>
  <si>
    <t>Industry</t>
  </si>
  <si>
    <t xml:space="preserve">    - Fiji</t>
  </si>
  <si>
    <t>9. OTHERS*</t>
  </si>
  <si>
    <t xml:space="preserve">   - Lesotho</t>
  </si>
  <si>
    <t>France</t>
  </si>
  <si>
    <t>Justice</t>
  </si>
  <si>
    <t xml:space="preserve">   - Uruguay</t>
  </si>
  <si>
    <t xml:space="preserve">  - Education</t>
  </si>
  <si>
    <t xml:space="preserve">  - Public Health</t>
  </si>
  <si>
    <t xml:space="preserve">  - Agriculture</t>
  </si>
  <si>
    <t xml:space="preserve">    - Morocco</t>
  </si>
  <si>
    <t>5. The Pacific</t>
  </si>
  <si>
    <t xml:space="preserve">    - Botswana</t>
  </si>
  <si>
    <t xml:space="preserve">   - Swaziland</t>
  </si>
  <si>
    <t>Communication</t>
  </si>
  <si>
    <t>Senegal</t>
  </si>
  <si>
    <t>Bhutan</t>
  </si>
  <si>
    <t>3. OTHERS</t>
  </si>
  <si>
    <t xml:space="preserve">   - Solomon Islands</t>
  </si>
  <si>
    <t xml:space="preserve">   - Botswana</t>
  </si>
  <si>
    <t>Science and Technology</t>
  </si>
  <si>
    <t>The Teaching Thai Language at the College of Foreign Languages, VNU, Hanoi</t>
  </si>
  <si>
    <t>Prevention of Animal Diseases in Champasack Province</t>
  </si>
  <si>
    <t xml:space="preserve">   - Argentina</t>
  </si>
  <si>
    <t xml:space="preserve">** :  DC &amp; LDC Meeting, Study and Research, Thai Participants </t>
  </si>
  <si>
    <t>10. OTHERS****</t>
  </si>
  <si>
    <t>ACMECS</t>
  </si>
  <si>
    <t>GMS</t>
  </si>
  <si>
    <t>**  :  ACMECS, BIMSTEC, GMS</t>
  </si>
  <si>
    <t>Sub Total</t>
  </si>
  <si>
    <t xml:space="preserve">Energy </t>
  </si>
  <si>
    <t>โครงการพัฒนาหลักสูตรนานาชาติระดับปริญญาโท สาขาการศึกษาทางด้านการพัฒนาของมหาวิทยาลัยแห่งชาติลาว</t>
  </si>
  <si>
    <t>Information &amp; Technology</t>
  </si>
  <si>
    <t>The Project on Training Program in Technology of Medicine &amp; Public Health Personnel from Lao PDR initiated by HRH Princess Maha Chakri Sirindhorn Phrase II</t>
  </si>
  <si>
    <t>Curriculum Development in Teaching Thai Language at Yangon University of Foreign Language</t>
  </si>
  <si>
    <t xml:space="preserve">   - Costa Rica</t>
  </si>
  <si>
    <t xml:space="preserve">    - Chile</t>
  </si>
  <si>
    <t>Sufficiency Economy</t>
  </si>
  <si>
    <t>GTZ</t>
  </si>
  <si>
    <t xml:space="preserve">    - Zambia</t>
  </si>
  <si>
    <t>โครงการพัฒนาศักยภาพในด้านการเกษตรของมหาวิทยาลัยจำปาสัก</t>
  </si>
  <si>
    <t>โครงการพัฒนาบุคลากรคณะเกษตรนาบง มหาวิทยาลัยแห่งชาติลาว</t>
  </si>
  <si>
    <t xml:space="preserve">Research on the Application of 3D Simulation Technology for Metal Plastic Forming </t>
  </si>
  <si>
    <t xml:space="preserve">  - Social Development &amp; Welfare</t>
  </si>
  <si>
    <t xml:space="preserve">   - Brazil</t>
  </si>
  <si>
    <t xml:space="preserve">   - El Salvador</t>
  </si>
  <si>
    <t xml:space="preserve">   - Kyrgyzstan</t>
  </si>
  <si>
    <t xml:space="preserve">   - Paraguay</t>
  </si>
  <si>
    <t xml:space="preserve">   - Zimbabwe</t>
  </si>
  <si>
    <t xml:space="preserve">     - Namibia</t>
  </si>
  <si>
    <t>Indonesia</t>
  </si>
  <si>
    <t>* Unclassified Recipient Country</t>
  </si>
  <si>
    <t>Appropriate Technology and Local Wisdom in Agricultural Waste Recycling</t>
  </si>
  <si>
    <t>Selective Isolation and Prephamaceutical Research on Novel and Rare Actinomycetes from Tropical Marine and Terrestrial Habitats</t>
  </si>
  <si>
    <t>Studies on the Correlation between the Nanocomplex / Nanoparticles Structure and Intestinal Absorption of Macromolecules</t>
  </si>
  <si>
    <t>Maldives</t>
  </si>
  <si>
    <t>Community Health Management and Community Empowerment towards Healthy Community</t>
  </si>
  <si>
    <t>Early Childhood Health Care Management</t>
  </si>
  <si>
    <t>Thailand Food and Nutrition Security</t>
  </si>
  <si>
    <t xml:space="preserve">    - Argentina</t>
  </si>
  <si>
    <t xml:space="preserve">   - Cook Islands</t>
  </si>
  <si>
    <t xml:space="preserve">    - Cook Islands</t>
  </si>
  <si>
    <t xml:space="preserve">   - Ethiopia</t>
  </si>
  <si>
    <t>โครงการพัฒนาคณะพยาบาลศาสตร์ มหาวิทยาลัยวิทยาศาสตร์ สุขภาพ</t>
  </si>
  <si>
    <t>โครงการพัฒนาหลักสูตรการสอนภาษาไทย ณ ม. พนมเปญ</t>
  </si>
  <si>
    <t>โครงการจัดตั้งโรงงานผลิตขาเทียม</t>
  </si>
  <si>
    <t>โครงการความร่วมมือในการพัฒนาคุณภาพชีวิตเด็กและเยาวชนในกลุ่มประเทศเอเซียแปซิฟิก ตามพระราชดำริสมเด็จพระเทพฯ</t>
  </si>
  <si>
    <t xml:space="preserve">     - Argentina</t>
  </si>
  <si>
    <t xml:space="preserve">     - Chile</t>
  </si>
  <si>
    <t xml:space="preserve">     - El Salvador</t>
  </si>
  <si>
    <t xml:space="preserve">     -  Kenya</t>
  </si>
  <si>
    <t xml:space="preserve">     -  Madagascar</t>
  </si>
  <si>
    <t xml:space="preserve">     -  Peru</t>
  </si>
  <si>
    <t xml:space="preserve">     - Senegal</t>
  </si>
  <si>
    <t xml:space="preserve">     - Swaziland</t>
  </si>
  <si>
    <t xml:space="preserve">     - Tajikistan</t>
  </si>
  <si>
    <t xml:space="preserve">2. SOUTHEAST ASIA </t>
  </si>
  <si>
    <t xml:space="preserve">    - Seychelles</t>
  </si>
  <si>
    <t>CPS</t>
  </si>
  <si>
    <t>Fellowship (IR)</t>
  </si>
  <si>
    <r>
      <t>No.</t>
    </r>
    <r>
      <rPr>
        <b/>
        <vertAlign val="superscript"/>
        <sz val="14"/>
        <rFont val="Cordia New"/>
        <family val="2"/>
      </rPr>
      <t>***</t>
    </r>
  </si>
  <si>
    <t xml:space="preserve">   - Mali</t>
  </si>
  <si>
    <t xml:space="preserve">   - Seychelles</t>
  </si>
  <si>
    <t xml:space="preserve">    - Nigeria</t>
  </si>
  <si>
    <t>๑. ประเทศเพื่อนบ้าน ๔ ประเทศ</t>
  </si>
  <si>
    <t xml:space="preserve">Local Wisdom and Thailand Agricultural Studies Center for Development </t>
  </si>
  <si>
    <t>Sufficiency Economy in Agriculture</t>
  </si>
  <si>
    <t>Waste Management for Sustainability</t>
  </si>
  <si>
    <t xml:space="preserve">    - Burundi</t>
  </si>
  <si>
    <t xml:space="preserve">    - Eritrea</t>
  </si>
  <si>
    <t xml:space="preserve">   - Suriname</t>
  </si>
  <si>
    <t>Capacity Development of the College of Natural Resources</t>
  </si>
  <si>
    <t xml:space="preserve">  - Natural Resources &amp; Environment</t>
  </si>
  <si>
    <t>โครงการอาสาสมัครเพื่อนไทย</t>
  </si>
  <si>
    <t xml:space="preserve">  - Public Adminisdtration</t>
  </si>
  <si>
    <t>Nepal</t>
  </si>
  <si>
    <t>โครงการความร่วมมือทวิภาคีไทย-มัลดีฟ์ ด้านการปลูกพืชไร้ดิน</t>
  </si>
  <si>
    <t>- Improvement of Posaa Plantation and Harvesting and Posaa trade for PAFO</t>
  </si>
  <si>
    <t>The Joint Fellowship Programme for Doctoral Students under the Royal Golden Jubilee Programme/ Biotechnology
Beneficiary : Myanmar (0)</t>
  </si>
  <si>
    <t>The Joint Fellowship Programme for Doctoral Students under the Royal Golden Jubilee Programme/ Tropical Agriculture / Agronomy
Beneficiary : Myanmar (0)</t>
  </si>
  <si>
    <t>แผนงานโครงการความร่วมมือมหาวิทยาลัยเชียงใหม่ กับ มหาวิทยาลัยสุพานุวง</t>
  </si>
  <si>
    <t>- โครงการพัฒนาหลักสูตรปรุงแต่งกสิกรรม (Agro- Processing) มหาวิทยาลัยสุพานุวง</t>
  </si>
  <si>
    <t>- โครงการพัฒนาบุคลากรมหาวิทยาลัยสุพานุวง</t>
  </si>
  <si>
    <t>- โครงการพัฒนาห้องสมุด มหาวิทยาลัยสุพานุวง</t>
  </si>
  <si>
    <t>โครงการพัฒนาวิทยาลัยพลศึกษา สาขาการจัดการกีฬา และการสอนกีฬา</t>
  </si>
  <si>
    <t>โครงการพัฒนาวิทยาลัยศิลปศึกษา</t>
  </si>
  <si>
    <t>โครงการพัฒนาห้องปฎิบัติการวิจัยโรคปลา</t>
  </si>
  <si>
    <t>โครงการตามแผนงานความร่วมมือระยะยาวด้านอาชีวศึกษา</t>
  </si>
  <si>
    <t>โครงการพัฒนาห้องปฏิบัติการวิเคราะห์คุณภาพอาหารสัตว์</t>
  </si>
  <si>
    <t>โครงการความร่วมมือไทย-ลาว เพื่อพัฒนาทรัพยากรธรณีอย่างยั่งยืน</t>
  </si>
  <si>
    <t>โครงการพัฒนาหลักสูตรบริหารธุรกิจของ ม. จำปาสัก</t>
  </si>
  <si>
    <t>โครงการนำร่องการพัฒนาระบบ ICT เพื่อพัฒนาระบบฐานข้อมูลด้านการค้าอุตสาหกรรม และวิสาหกิจขนาดกลางและเล็กใน  5 แขวงของ สปป ลาว</t>
  </si>
  <si>
    <t>Ear Surgery Mobile Services</t>
  </si>
  <si>
    <t>โครงการพัฒนาฝีมือแรงงานไทย- กัมพูชา</t>
  </si>
  <si>
    <t>โครงการพระราชทานความช่วยเหลือแก่กัมพูชาด้านสาธารณสุข (มาเลเรีย)</t>
  </si>
  <si>
    <t xml:space="preserve">Strengthening of the Research Capacity in Agriculture of ACMECS, Human Resources
</t>
  </si>
  <si>
    <t>Cooperation Framework</t>
  </si>
  <si>
    <t>Madaguscar</t>
  </si>
  <si>
    <t>โครงการฝึกอบรมการเจียระไนพลอย</t>
  </si>
  <si>
    <t xml:space="preserve">  - Labour &amp; Employment</t>
  </si>
  <si>
    <t>Peru</t>
  </si>
  <si>
    <t xml:space="preserve"> - Education</t>
  </si>
  <si>
    <t xml:space="preserve"> - Labour &amp; Employment</t>
  </si>
  <si>
    <t xml:space="preserve"> - Agriculture</t>
  </si>
  <si>
    <t xml:space="preserve"> - Energy</t>
  </si>
  <si>
    <t xml:space="preserve"> - Industry</t>
  </si>
  <si>
    <t xml:space="preserve"> - Public Health</t>
  </si>
  <si>
    <t xml:space="preserve"> - Sciences &amp; Technology</t>
  </si>
  <si>
    <t xml:space="preserve">    - Gambia</t>
  </si>
  <si>
    <t xml:space="preserve">    - Malawi</t>
  </si>
  <si>
    <t xml:space="preserve">   - Eritrea</t>
  </si>
  <si>
    <t xml:space="preserve">    - Lesotho</t>
  </si>
  <si>
    <t xml:space="preserve">    - Brunei</t>
  </si>
  <si>
    <t xml:space="preserve">   - Ivory Coast</t>
  </si>
  <si>
    <t xml:space="preserve">    - Ivory Coast</t>
  </si>
  <si>
    <t xml:space="preserve">    - Guinea</t>
  </si>
  <si>
    <t xml:space="preserve">    - Mozambique</t>
  </si>
  <si>
    <t xml:space="preserve">   - Guinea</t>
  </si>
  <si>
    <t>Other *</t>
  </si>
  <si>
    <t xml:space="preserve">   - Korea</t>
  </si>
  <si>
    <t xml:space="preserve">   - Poland</t>
  </si>
  <si>
    <t xml:space="preserve">   - Kazakhstan</t>
  </si>
  <si>
    <t xml:space="preserve">   - Kyrgyzstan </t>
  </si>
  <si>
    <t xml:space="preserve">   - Palestine</t>
  </si>
  <si>
    <t xml:space="preserve">   - South Africa</t>
  </si>
  <si>
    <t xml:space="preserve">   - Turkey</t>
  </si>
  <si>
    <t xml:space="preserve">     - Iran</t>
  </si>
  <si>
    <t xml:space="preserve">     - Jordan</t>
  </si>
  <si>
    <t xml:space="preserve">     - Kazakhstan</t>
  </si>
  <si>
    <t xml:space="preserve">    - Korea</t>
  </si>
  <si>
    <t xml:space="preserve">     -  Morocco</t>
  </si>
  <si>
    <t xml:space="preserve">     - Pakistan</t>
  </si>
  <si>
    <t xml:space="preserve">     - Palestine</t>
  </si>
  <si>
    <t xml:space="preserve">     - Kyrgyzstan</t>
  </si>
  <si>
    <t xml:space="preserve">     - Poland</t>
  </si>
  <si>
    <t xml:space="preserve"> *  :   Thai Participants</t>
  </si>
  <si>
    <t xml:space="preserve">     - Uganda</t>
  </si>
  <si>
    <t xml:space="preserve">     - Maldives</t>
  </si>
  <si>
    <t xml:space="preserve">     - Nepal</t>
  </si>
  <si>
    <t xml:space="preserve">Scholarship : Myanmar </t>
  </si>
  <si>
    <t xml:space="preserve">Tourism </t>
  </si>
  <si>
    <t>2. EAST ASIA</t>
  </si>
  <si>
    <t>8. EASTERN EUROPE</t>
  </si>
  <si>
    <t>9. LATIN AMERICA</t>
  </si>
  <si>
    <t>ASEAN-IAI</t>
  </si>
  <si>
    <t>\\\\\\\\\\\\\\\\\\\\\\\\\\\\\\\\\\\\\\\\\\\\\\\\\\\\\\\\\\\\\\\\\\\\\\\\\\\\\\\\\\\\\\\\\\\\\\\\\\\\\\\\\\\\\\\\\\\\\\\\\\\\\\\\\\\\\\\\\\\\\\\\\\\\\\\\\\\\\\\\\\\\\\\\\\\\\\\\\\\\\\\\\\\\\\\\\\\\\\\\\\\\\\\\\\\\\\\\\\\\\\\\\\\\\\\\\\\\\\\\\\\\\\\\\\\\\\\\\\\\\\\\\\\\\\\\\\\\\\\\\\\\\\\\\\\\\\\\\\\\\\\\\\\\\\\\\\\\\\\\\\\\\\\\\\\\\\\\\\\\\\\\\\\\\\\\\\\\\\\\\\\\\\\\\\\\\\\\\\\\\\\\\\\\\\\\\\\\\\\\\\\\\\\\\\\\\\\\\\\\\\\\\\\\\\\\\\\\\\\\\\\\\\\\\\\\\\\\\\\\\\\\\\\\\\\\\\\\\\\\\\\\\\\\\\\\\\\\\\\\\\\\\\\\\\\\\\\\\\\\\\\\\\\\\\\\\\\\\\\\\\\\\\\\\\\\\\\\\\\\\\\\\\\\\\\\\\\\\\\\\\\\\\\\\\\\\\\\\\\\\\\\\\\\\\\\\\\\\\\\\\\\\\\\\\\\\\\\\\\\\\\\\\\\\\\\\\\\\\\\\\\\\\\\\\\\\\\\\\\\\\\\\\\\\\\\\\\\\\\\\\\\\\\\\\\\\\\\\\\\\\\\\\\\\\\\\\\\\\\\\\\\\\\\\\\\\\\\\\\\\\\\\\\\\\\\\\\\\\\\\\\\\\\\\\\\\\\\\\\\\\\\\\\\\\\\\\\\\\\\\\\\\\\\\\\\\\\\\\\\\\\\\\\\\\\\\\\\\\\\\\\\\\\\\\\\\\\\\\\\\\\\\\\\\\\\\\\\\\\\\\\\\\\\\\\\\\\\\\\\\\\\\\\\\\\\\\\\\\\\\\\\\\\\\\\\\\\\\\\\\\\\\\\\\\\\\\\\\\\\\\\\\\\\\\\\\\\\\\\\\\\\\\\\\\\\\\\\\\\\\\\\\\\\\\\\\\\\\\\\\\\\\\\\\\\\\\\\\\\\\\\\\\\\\\\\\\\\\\\\\\\\\\\\\\\\\\\\\\\\\\\\\\\\\\\\\\\\\\\\\\\\\\\\\\\\\\\\\\\\\\\\\\\\\\\\\\\\\\\\\\\\\\\\\\\\\\\\\\\\\\\\\\\\\\\\\\\\\\\\\\\\\\\\\\\\\\\\\\\\\\\\\\\\\\\\\\\\\\\\\\\\\\\\\\\\\\\\\\\\\\\\\\\\\\\\\\\\\\\\\\\\\\\\\\\\\\\\\\\\\\\\\\\\\\\\\\\\\\\\\\\\\\\\\\\\\\\\\\\\\\\\\\\\\\\\\\\\\\\\\\\\\\\\\\\\\\\\\\\\\\\\\\\\\\\\\\\\\\\\\\\\\\\\\\\\\\\\\\\\\\\\\\\\\\\\\\\\\\\\\\\\\\\\\\\\\\\\\\\\\\\\\\\\\\\\\\\\\\\\\\</t>
  </si>
  <si>
    <t>\\\\\\\\\\\\\\\\\\\\\\\\\\\\\\\\\\\\\\\\\\\\\\\\\\\\\\\\\\\\\\\\\\\\\\\\\\\\\\\\\\\\\\\\\\\\\\\\\\\\\\\\\\\\\\\\\\\\\\\\\\\\\\\\\\\\\\\\\\\\\\\\\\\\\\\\\\\\\\\\\\\\\\\\\\\\\\\\\\\\\\\\\\\\\\\\\\\\\\\\\\\\\\\\\\\\\\\\\\\\\\\\\\\\\\\\\\\\\\\\\\\\\\\\\\\\\\\\\\\\\\\\\\\\\\\\\\\\\\\\\\\\\\\\\\\\\\\\\\\\\\\\\\\\\\\\\\\\\\\\\\\\\\\\\\\\\\\\\\\\\\\\\\\\\\\\\\\\\\\\\\\\\\\\\\\\\\\\\\\\\\\\\\\\\\\\\\\\\\\\\\\\\\\\\\\\\\\\\\\\\\\\\\\\\\\\\\\\\\\\\\\\\\\\\\\\\\\\\\\\\\\\\\\\\\\\\\\\\\\\\\\\\\\\</t>
  </si>
  <si>
    <t>\\\\\\\\\\\\\\\\\\\\\\\\\\\\\\\\\\\\\\\\\\\\\\\\\\\\\\\\\</t>
  </si>
  <si>
    <t>\\\\\\\\\\\\\\\\\\\\\\\\\\\\\\\\\\\\\\\\\\\\\\\\\\\\\\\\\\\\\\\\\\\\\\\\\\\\\\\\\\\\\\\\\\\\\\\\\\\\\\\\\\\\\\\\\\\\\\\\\\\\\\\\\\\\\\\\\\\\\\\\\\\\\\\\\\\\\\\\\\\\\\\\\\\\\\\\\\\\\\\\\\\\\\\\\\\\\\\\\\\\\\\\\\\\\\\\\\\\\\\\\\\\\\\\\\\\\\\\\\\\\\\\\\\\\\\\\\\\\\\\\\\\\\\\\\\\\\\\\\\\\\\\\\\\\\\\\\\\\\\\\\\\\\\\\\\\\\\\\\\\\\\\\\\\\\\\\\\\\\\\\\\\\\\\\\\\\\\\\\\\\\\\\\\\\\\\\\\\\\\\\\\\\\\\\\\\\\\\\\\\\\\\\\\\\\\\\\\\\\\\\\\\\</t>
  </si>
  <si>
    <t>\\\\\\\\\\\\\\\\\\\\\\\\\\\\\\\\\\\\\\\\\\\\\\\\\\\\\\\\\\\\\\\\\\\\\\\\\\\\\\\\\\\\\\\\\\\\\\\\\\\\\\\\\\\\\\\\\\\\\\\\\\\\\\\\\\\\\\\\\\\\\\\\\\\\\\\\\\\\\\\\\\\\\\\\\\\\\\\\\\\\\\\\\\\\\\\\\\\\\\\\\\\\\\\\\\\\\\\\\\\\\\\\\\\\\\\\\\\\\\\\\\\\\\\\\\\\\\\\\\\\\\\\\\\\\\\\\\\\\\\\\\\\\\\\\\\\\\\\\\\\\\\\\\\\\\\\\\\\\\\\\\\\\\\\\\\\\\\\\\\\\\\\\\\\\\\\\\\\\\\\\\\\\\\\\\\\\\\\\\\\\\\\\\\\\\\\\\\\\\\\\\\\\\\\\\\\\\\\\\\\\\\\\\\\\\\\\\\\\\\\\\\\\\\\\\\\\\\\\\\\\\\\\\\\\\\\\\\\\\\\\\\\\\\\\\\\\\\\\\\\\\\\\\\\\\\\\\\\\\\\\\\\\\\\\\\\\\\\\\\\\\\\\\\\\\\\\\\\\\\\\\\\\\\\\\\\\\\\\\\\\\\\\\\\\\\\\\\\\\\\\\\\\\\\\\\\\\\\\\\\\\\\\\\\\\\\\\\\\\\\\\\\\\\\\\\\\\\\\\\\\\\\\\\\\\\\\\\\\\</t>
  </si>
  <si>
    <t>- อาสาสมัครสอนภาษาไทยที่เวียดนาม</t>
  </si>
  <si>
    <t xml:space="preserve">Appendix I : Total Value of Thai International Cooperation Programme by type of Programme (TICP FY 2013)      </t>
  </si>
  <si>
    <t xml:space="preserve">Appendix III : Bilateral Programme (TICP FY 2013)                                                                                                                                              </t>
  </si>
  <si>
    <t xml:space="preserve">Appendix V : Project under Bilateral Programme (TICP FY 2013)                                                                                                                            </t>
  </si>
  <si>
    <t xml:space="preserve">Appendix VI : Expert/Mission under Non - Project (TICP FY 2013)                                                                     </t>
  </si>
  <si>
    <t xml:space="preserve">Appendix VII : Fellowship under TIPP Programme (TICP FY 2013)                                                                                                                                    </t>
  </si>
  <si>
    <t xml:space="preserve">Appendix IX  : Technical Cooperation among Developing Countries Programmes for Joint Research Projects (TICP FY 2013)                                                                                                                                    </t>
  </si>
  <si>
    <t xml:space="preserve">Appendix X : Annual International Training Courses Programme (TICP FY 2013)                                                                                                                                     </t>
  </si>
  <si>
    <t>Appendix XI : Annual International Training Courses (TICP FY 2013)</t>
  </si>
  <si>
    <t>Appendix XIII : Trilateral and Regional Cooperation Programme (TICP FY 2013 )</t>
  </si>
  <si>
    <t>Appendix XIV : Project / Course under Cooperation Framework (TICP FY 2013 )</t>
  </si>
  <si>
    <t>Botswana (1), Cambodia (1), Jordan (1), Lesotho (1), Maldives (1), Morocco (1), Myanmar (1), Nepal (1), Philippines (1), Sri Lanka (1),  Thailand (1), Uzbekistan (1)</t>
  </si>
  <si>
    <t>Cambodia (1), China (1), Madagascar (1), Malaysia (1), Maldives (1), Morcoco(1), Mozambique (1), Myanmar (1), Nepal (1), Philippines (1), Samoa (1), Sri Lanka (1), Thailand (2), Timor Leste (1), Vietnam (1), Zimbabwe (1)</t>
  </si>
  <si>
    <t>Agricultural Concept and Technology based on Royal Initiatives for Sustainable Development</t>
  </si>
  <si>
    <t>Afghanistan (1), Cambodia (1), Chile (1), China (1), El Salvador (1), Ethiopia (1),  Lesotho (1), Madagascar (1), Maldives (1), Myanmar (1), Pakistan (1), Sri Lanka (1), Thailand (2),  Timor Leste (1), Uganda (1), Uruguay (1)</t>
  </si>
  <si>
    <t>China (1), Costa Rica (1), Egypt (1), Honduras (1), Laos (1), Lesoth(1), Morocco (1), Myanmar (1), Philippines (1), Sri Lanka (1), Tanzania (1), Thailand (4), Timor Leste (1)</t>
  </si>
  <si>
    <t>Crop Simulation Modeling and Impacts of Climate Change on Agricultural Production Systems : a Training Programme on DSSAT</t>
  </si>
  <si>
    <t>Bangladesh (2), Burundi (1), Egypt (2), Eritrea (1), India (1), Jordan (1), Kenya (1),  Myanmar (2), Pakistan (1), Paraguay(1), Seychelles (1), Sri Lanka (2), Sudan (1), Thailand (2), Uganda (2)</t>
  </si>
  <si>
    <t>Food Security-Postharvest, Processing and Quality Assurance of Selected Agro-Industrial Products</t>
  </si>
  <si>
    <t>Bangladesh (1), Brazil (1), Burundi (1), Cambodia (1), Ghana (1), Indonesia (1), Mongolia (1), Morocco (1), Nepal (1), Philippines (1), Senegal (1), Sri Lanka (1), Tanzania (1), Thailand (2), Timor Leste (2)</t>
  </si>
  <si>
    <t>Modern Technology for Sustainable Agricultural Systems</t>
  </si>
  <si>
    <t>Bangladesh (1), Burundi (1), Cambodia (1), Costa Rica (1), Ecuagor (1), Egypt (1), Fiji (1), Guinea (1), Myanmar (1), Nigeria (1), Pakistan (1), Thailand (2), Uruguay (1), Vietnam (1)</t>
  </si>
  <si>
    <t xml:space="preserve">Sustainable Agriculture and Food Security </t>
  </si>
  <si>
    <t>Bangladesh (1), Botswana (1), China (1), Egypt (1), India (1), Jordan (1), Maldives (1), Morocco (1), Myanmar (1), Nepal (1), Nigeria (1), Philippines (1), Sudan (1), Thailand (2), Zambia (1)</t>
  </si>
  <si>
    <t xml:space="preserve">Tropical Emerhing and Re-emerging Diseases in Animals : Surveillance and Diagnosis </t>
  </si>
  <si>
    <t>Cambodia (1), Egypt (1), Ethiopia (1), Indonesia (1), Mongolia (1), Myanmar (1), Nepal (1), Pakistan (1),  Philippines (1), Samoa (1), Senegal (1), Sri Lanka (1), Suriname (1), Thailand (2)</t>
  </si>
  <si>
    <t xml:space="preserve">Environmental Based Land Use Planning for Global Warmming Mitigation and Sustainable Development </t>
  </si>
  <si>
    <t>China (1), Ecuador (1), El Salvador (1), Fiji (1), Kenya (1), Madagascar (1), Maldivs (1), Mexico (1), Morocco (1), Nepal (1), Philippines (1), Sri Lanka (1), Thailand (2), Uruguay (1), Uzbekistan (1), Vietnam (1)</t>
  </si>
  <si>
    <t>Environmental Engineering Management for Waste Water</t>
  </si>
  <si>
    <t>Argentina (1), Cambodia (1), Chile (1), Ethiopia (1), Fiji (1), Indonesia )(1), Jordan (1), Laos (1), Madagascar (1), Morocco (1), Nepal (1), Philippines (1), Thailand (1), Uganda (1), Vietnam (1)</t>
  </si>
  <si>
    <t>Argentina (1),Cambodia (1), Chile (1), China (1) , Costa Rica (1), Cuba (1), Ecuador (1), Egypt (1), Joradan (1), Madagascar (1), Mongolia (1), Myanmar (1), Pakistan (1), Philippines (1), Sri Lanka (1), Thailand (1), Uganda (1)</t>
  </si>
  <si>
    <t>Chile (1), China (1), Costa Rica (1), Ghana (1), Lesotho (1), Madagascar (1), Mongolia (1), Myanmar (1), Nepal (1), Philippines (1), Sri Lanka (1), Thailand (2), Timor Leste (1), Tunesia (1), Uganda (1)</t>
  </si>
  <si>
    <t>Health Care System Strengthening</t>
  </si>
  <si>
    <t>Bhutan (1), Ethiopia (1), Fiji (1), Ghana (1), Kenya (1), Maldives (1), Myanmar (1), Philippines (1), Seychelles (1), Sri Lanka (1), Sudan (1), Suriname (1), Swaziland (1), Tanzania (1), Timor Leste (1)</t>
  </si>
  <si>
    <t xml:space="preserve"> Burundi (1), China (1), Cook Islands (1), Egypt (1), Ghana (1), Guinea (1), Iran (1), Kenya (1), Malawi (1), Maldives (1), Mauritius (1), Sri Lanka (2), Thailand (1), Uganda (1), Zimbabwe (1)</t>
  </si>
  <si>
    <t>Chile(1), Costa Rica (1), Indonesia (1), Lesotho (1), Madagascar (1), Maldives (1), Mexico (1), Myanmar (1), Nepal (1), Philippines (1), Thailand (2)</t>
  </si>
  <si>
    <t>Cambodia (1), China (2), Costa Rica (1), Egypt (1), Madagascar (1), Mexico (1), Mongolia (1), Myanmar (2), Seychelles (1), Sri Lanka (2), Thailand (2), Uganda (1)</t>
  </si>
  <si>
    <t>Utilizing Indigenous Food Resources for Food Security</t>
  </si>
  <si>
    <t>Bangladesh(1), China (1), Indonesia (1), Lesotho (1), Libya (1), Madagascar (1), Maldives (1), Myanmar (1), Nepal (1), Philippines (1), Sri Lanka (1), Thailand (1), Uzbekistan (1)</t>
  </si>
  <si>
    <t>Grassroots Economic Development Following Suffiency Economy Philosophy</t>
  </si>
  <si>
    <t>Botswana (1), Cambodia (1), Costa Rica  (1), Indonesia (1),Morocco (1), Myanmar (1), Nepal (1), Pakistan (1), Philippines (1), Sri Lanka (1), Sudan (1), Thailand (2), Tunisia (1)</t>
  </si>
  <si>
    <t xml:space="preserve">    - Brazil</t>
  </si>
  <si>
    <t xml:space="preserve">   - Cuba</t>
  </si>
  <si>
    <t xml:space="preserve">    - Ethiopia</t>
  </si>
  <si>
    <t xml:space="preserve">    - Ghana</t>
  </si>
  <si>
    <t xml:space="preserve">   - Ghana</t>
  </si>
  <si>
    <t xml:space="preserve">   - Honduras</t>
  </si>
  <si>
    <t xml:space="preserve">   - Libya</t>
  </si>
  <si>
    <t xml:space="preserve">    - Libya</t>
  </si>
  <si>
    <t xml:space="preserve">    - Mauritius</t>
  </si>
  <si>
    <t xml:space="preserve">   - Samoa</t>
  </si>
  <si>
    <t xml:space="preserve">    - Samoa</t>
  </si>
  <si>
    <t xml:space="preserve">    - Swaziland</t>
  </si>
  <si>
    <t xml:space="preserve">   - Tunisia</t>
  </si>
  <si>
    <t xml:space="preserve">    - Tunisia</t>
  </si>
  <si>
    <t xml:space="preserve">    - Zimbabwe</t>
  </si>
  <si>
    <t xml:space="preserve">โครงการจัดทำแผนแม่บท (Master Plan ) ระบบประปาในเมืองหลวงพระบาง </t>
  </si>
  <si>
    <t>โครงการพัฒนาสื่ออิเล็กทรอนิกส์เพื่อการเรียนการสอนระดับมัธยมศึกษาตอนปลาย</t>
  </si>
  <si>
    <t>โครงการพัฒนาการเกษตรและป่าไม้เมืองโพนทอง แขวงหลวงพระบาง</t>
  </si>
  <si>
    <t>โครงการพัฒนาโรงพยาบาลเมืองปากซอง</t>
  </si>
  <si>
    <t>โครงการพัฒนาโรงพยาบาลเมืองโพนโฮง</t>
  </si>
  <si>
    <t>โครงการพัฒนาศักยภาพด้านการบำบัดรักษาฟื้นฟูสมรรถภาพผู้ติดยาเสพติด ศูนย์บำบัดรักษาและฟื้นฟูฯ แขวงจำปาสัก</t>
  </si>
  <si>
    <t>โครงการหมู่บ้านเข้มแข็งคู่ขนานตามแนวชายแดนไทย-กัมพูชา</t>
  </si>
  <si>
    <t>โครงการพัฒนาศักยภาพบุคคลากรด้านการบำบัดรักษาและฟื้นฟูสมรรถภาพผู้ติดยาเสพติด</t>
  </si>
  <si>
    <t>โครงการคณะกรรมการพัฒนาพื้นที่ชายแดนและการเชื่อมโยงเส้นทางคมนาคมไทย-กัมพูชา</t>
  </si>
  <si>
    <t>โครงการพัฒนาไม้ผล</t>
  </si>
  <si>
    <t>โครงการจัดตั้งศูนย์แรกรับเหยื่อค้ามนุษย์และกลุ่มเสี่ยง จ. บันเตียเมียนเจย</t>
  </si>
  <si>
    <t>โครงการความร่วมมือกับโรงพยาบาลท่าขี้เหล็ก</t>
  </si>
  <si>
    <t>- ฝึกอบรมหลักสูตร Ambulance Service Training for Doctors and Nurses, Specialist Doctor for Special Care of Patient, Hospital Service System, Hospital Management and Administration , Disease Control Activities especially focus on HIV/AIDs, TB and Malaria</t>
  </si>
  <si>
    <t xml:space="preserve">   - Economic</t>
  </si>
  <si>
    <t>โครงการพัฒนาเขตเศรษฐกิจพิเศษทวายและพื้นที่โครงการที่เกี่ยวข้อง</t>
  </si>
  <si>
    <t xml:space="preserve">- ผู้เชี่ยวชาญไทยจากกรมปศุสัตว์ไปประเมินความเป็นไปได้ในการผสมเทียมกระบือที่ศูนย์พัฒนาการเลี้ยงกระบือ และจัดทำ Workshop on Buffalo Extension Technique </t>
  </si>
  <si>
    <t>- ผู้เชี่ยวชาญกรมอุตุนิยมวิทยาไปปฏิบัติงานประเมินและติดตามผลการให้ความช่วยเหลือด้านอุตุนิยม</t>
  </si>
  <si>
    <t xml:space="preserve">- ฝึกอบรมการใช้งานบำรุงรักษาเครื่องมือตรวจอากาศชั้นบนสำหรับนายช่าง การตีความข้อมูลที่ได้จากเครื่องมือสำหรับนักพยากรณ์อากาศ,และ Gender Community Based and Meteorological Early Warning on Climate Change Adaptation </t>
  </si>
  <si>
    <t>ฝึกอบรมหลักสูตร Gender Community Based and Meteorological Early Warning on Climate Change Adaptation</t>
  </si>
  <si>
    <t>- ฝึกอบรมการตรวจวิเคราะห์คัดกรองหมู่โลหิตและการเตรียมตัวอย่างโลหิต การเก็บรักษาปลูกถ่ายเซลส์ต้นกำเนิด</t>
  </si>
  <si>
    <t>- ผู้เชี่ยวชาญเดินทางไปสำรวจพื้นที่สำหรับจัดแปลงสาธิตเกษตรผสมผสาน</t>
  </si>
  <si>
    <t>- ผู้เชี่ยวชาญกระทรวงเกษตรและสหกรณ์หารือกับบริษัทอิตาเลียนไทย</t>
  </si>
  <si>
    <t xml:space="preserve">- ดูงานด้านการพัฒนาชุมชน </t>
  </si>
  <si>
    <t>- แผนงานสนับสนุนการเป็นเจ้าภาพการแข่งขันกีฬาซีเกมส์ ปี 56</t>
  </si>
  <si>
    <t>- ผู้แทน สพร. เดินทางร่วมการประชุมไตรภาคีเมียนมาร์ไทย และญี่ปุ่น</t>
  </si>
  <si>
    <t>โครงการความร่วมมือด้านปศุสัตว์ไทย-เมียนมาร์</t>
  </si>
  <si>
    <t>- ประชุม Project Steering Committee</t>
  </si>
  <si>
    <t xml:space="preserve">Mechanism of Biofertilizer and Biocontrol via Molecular and HPLC Technique to increase Crop Production </t>
  </si>
  <si>
    <t xml:space="preserve">Application of Acupunction Treatment in the Canine Intervertebral Disc </t>
  </si>
  <si>
    <t xml:space="preserve">The Plastic Forming Line Based on Robotic and Profi-Bus Technology </t>
  </si>
  <si>
    <t>Application of Ion Beam Biotechnology for Crop Improvement</t>
  </si>
  <si>
    <t xml:space="preserve">Co-authoring Quality Control Standards of Commonly Used Chiness Material and Chinese Patent Medicine </t>
  </si>
  <si>
    <t>Hybrid Rice Technology</t>
  </si>
  <si>
    <t>The Extending of Laser Leveler for Paddy Field</t>
  </si>
  <si>
    <t>Research and Application of Cashew Diseases and insect Pests Non-Pollution Control</t>
  </si>
  <si>
    <t>Identification of Utilization of Lotus Germplasms with High Medicinal Value</t>
  </si>
  <si>
    <t>Resistant and Superior Quality Mulberry and Silkworm Varieties Selection and the Demonstration of China - Thailand</t>
  </si>
  <si>
    <t>Development of PVDF Hollow Fiber Membrane with Uniform Large Pores and Its Application Technology</t>
  </si>
  <si>
    <t>Alow Carbon Cooling Application System Using Redundant Biogas and Solar Energy of Large &amp; Middle Scale Biogas Plants Research</t>
  </si>
  <si>
    <t>Visiting for Cooperation on Antibiotic Drug Design</t>
  </si>
  <si>
    <t xml:space="preserve"> - Information Technology</t>
  </si>
  <si>
    <t>Application of China and Thailand Satelite Data for Flood Management</t>
  </si>
  <si>
    <t xml:space="preserve">Ethanol Production from Palm Oil Mill Residues </t>
  </si>
  <si>
    <t>Investigation on Physiological and Molecular Mechanisms of Drought Heat Tolerant</t>
  </si>
  <si>
    <t>Study of Silkworm Races Resistance Improving by Molecular Methods</t>
  </si>
  <si>
    <t>Collaboration Projectfor Selection  of Camellia Oil Tea in Thailand and China</t>
  </si>
  <si>
    <t xml:space="preserve">Comparative Study between Chinese and Thai Traditional Medicines : Pilot Study of Neuro-Protecttive Activities Based </t>
  </si>
  <si>
    <t>Strategic Feeding Schemes to Minimize the Heat Stress Effect on Milk Production Energy Balance and Reproduction in Dairy Cattle</t>
  </si>
  <si>
    <t>Knowledge Management of Acupuncture Treatment of Cerebrovascular Disease in Thailand</t>
  </si>
  <si>
    <t>The Formulation Standard in Thailand</t>
  </si>
  <si>
    <t>Research and Development on Vegetable Heterosis Application</t>
  </si>
  <si>
    <t>Studies the Potential Effect of China and Thai Medicinal Plants on Stress and Muscle Performance</t>
  </si>
  <si>
    <t>Development of Regulatory Control System of Herbal Medicine in Thailand</t>
  </si>
  <si>
    <t xml:space="preserve">A Development on Chinese - Thai Automatic Machine Translation </t>
  </si>
  <si>
    <t>Studies on the Preparation and Properties of Novel Scintilating Glasses</t>
  </si>
  <si>
    <t>Complementary Medical Services in people Republic of China</t>
  </si>
  <si>
    <t xml:space="preserve">Study Visit and Informational Exchange on Renewable Energy Policy and Technology </t>
  </si>
  <si>
    <t xml:space="preserve">Extraction and Characterization of Bioactive Compounds from Medicinal Plants and Quality Control Assessment </t>
  </si>
  <si>
    <t xml:space="preserve"> - Communication</t>
  </si>
  <si>
    <t xml:space="preserve">Communication of Education and Training System in Nuclear Power Area </t>
  </si>
  <si>
    <t xml:space="preserve">Biotechnology in Livestock Production </t>
  </si>
  <si>
    <t>Molecular Mechanism of Plant Pathogenic fungi Bio - Control by Trichoderma spp</t>
  </si>
  <si>
    <t>Study Visit for Collaborative Research Program on New Generation Network Based on Quantum Crytography</t>
  </si>
  <si>
    <t xml:space="preserve">Channel Building for China - Thailand Eco- Energy Technology Transfer and Innovation Cooperation </t>
  </si>
  <si>
    <t xml:space="preserve">Studying of Thai Ancient Glasses Using Synchrotron Radiation </t>
  </si>
  <si>
    <t>Study Tour on Solar Energy and its Applications</t>
  </si>
  <si>
    <t>Observation and Studies of Low Mass Ratio, Deep Over-contact Binary Stars</t>
  </si>
  <si>
    <t>โครงการแสวงหาแหล่งวัตถุดิบและส่งเสริมตลาดใหม่ในแอฟริกา</t>
  </si>
  <si>
    <t>Kenya + Ethiopia + South Africa</t>
  </si>
  <si>
    <t>Mozambique</t>
  </si>
  <si>
    <t>- Public Administration</t>
  </si>
  <si>
    <t>โครงการเพาะเลี้ยงปลานิลแดง</t>
  </si>
  <si>
    <t>Uganda</t>
  </si>
  <si>
    <t xml:space="preserve">   - Public Administration</t>
  </si>
  <si>
    <t>ค่าใช้จ่ายในการเดินทางร่วมคณะผู้แทนการค้าไทยเยือนยูกันดา</t>
  </si>
  <si>
    <t xml:space="preserve">  - Public Administration</t>
  </si>
  <si>
    <t>ค่าใช้จ่ายในการเตรียมการเยือน Mozambique Tanzania and Uganda ของ นรม.</t>
  </si>
  <si>
    <t>Tanzania</t>
  </si>
  <si>
    <t>โครงการความร่วมมือด้านการควบคุมยาเสพติดไทย-ภูฏาน ระยะ 3 ปี</t>
  </si>
  <si>
    <t>Bangladesh</t>
  </si>
  <si>
    <t>โครงการให้ความช่วยเหลือแก่ผู้ประสบเหตุตึกถล่มที่บังคลาเทศ</t>
  </si>
  <si>
    <t>การหารือความร่วมมือเพื่อการพัฒนาไทย-ภูฏาน ระหว่าง TICA กับ RCSC</t>
  </si>
  <si>
    <t>Sri Lanka</t>
  </si>
  <si>
    <t>การหารือความร่วมมือทางวิชาการ</t>
  </si>
  <si>
    <t>ประชุมหารือการติดตามการสร้าง ร.พ. แม่และเด็กที่เมืองลุมพินี</t>
  </si>
  <si>
    <t>ค่าใช้จ่ายในการเดินทางไปปฏิบัติงานของผู้เชี่ยวชาญไทยด้านกี่อัสสัม</t>
  </si>
  <si>
    <t>Exchange on Insect Pest Management in Paddy Field, Integrated Management of Plagues in Rice's Production</t>
  </si>
  <si>
    <t xml:space="preserve">  -Tourism</t>
  </si>
  <si>
    <t>Capacity Building for the Meteorology and Hydrology, Early Warning System and Rehabilitation on the Ayeyawady and Rangoon Area</t>
  </si>
  <si>
    <t>- Workshop on Beef Cattle Farm Management</t>
  </si>
  <si>
    <t>โครงการหมู่บ้านนำร่องด้านมาลาเรีย</t>
  </si>
  <si>
    <t xml:space="preserve">โครงการให้คำแนะนำด้านการเพาะเลี้ยงกุ้งทะเล </t>
  </si>
  <si>
    <t>Prevention and management of Avian Influenza</t>
  </si>
  <si>
    <t>Argentina</t>
  </si>
  <si>
    <t>- Agriculture</t>
  </si>
  <si>
    <t xml:space="preserve"> Foot and Mouth Disease Control</t>
  </si>
  <si>
    <t>- Science &amp; Technology</t>
  </si>
  <si>
    <t>The Development Skill Development on Human Identification</t>
  </si>
  <si>
    <t>Observation on Pasture Utilization and Beef Production in Thailand</t>
  </si>
  <si>
    <t xml:space="preserve">  -Natural Resources &amp; Environment</t>
  </si>
  <si>
    <t>Technical Cooperation in Fiber Method for Reduction Oxide of Indigo, Applied to Crafts</t>
  </si>
  <si>
    <t>Intership in Technology of Fishing Products Processing and Sanitary Items</t>
  </si>
  <si>
    <t>Integrated Farming Techniques for Tilapia</t>
  </si>
  <si>
    <t>Integrated Pest Management</t>
  </si>
  <si>
    <t>South - South Cooperationการวางแผนการท่องเที่ยวและการศึกษาดูงานการบริหารจัดการแหล่งท่องเที่ยว</t>
  </si>
  <si>
    <t>others</t>
  </si>
  <si>
    <t>- Feasibility Study การก่อตั้งโรงงานแปรรูปปอสา ณ จ. ไชยบุรี สปป ลาว</t>
  </si>
  <si>
    <t>- Advance Training on Saa Products Development for Smallholder</t>
  </si>
  <si>
    <t xml:space="preserve">-กิจกรรมส่งเสริมการขาย Posaa Products </t>
  </si>
  <si>
    <t>Paper Mulberry Supply Chain 
Beneficiary : Loa PDR</t>
  </si>
  <si>
    <t>Strengthening National Good Agricultural Practices (GAP) \in Lao PDR
Beneficiary :  Lao PDR</t>
  </si>
  <si>
    <t xml:space="preserve">-  Study Visit GAP System by High- level Decision Makers and Technical Officers </t>
  </si>
  <si>
    <t xml:space="preserve">- Consultation with Expert to Revise existing LCB Organization </t>
  </si>
  <si>
    <t>- Inspector Training at Lao PDR</t>
  </si>
  <si>
    <t>- Planning Workshop for Awareness Raising Activities at Lao PDR</t>
  </si>
  <si>
    <t>Nam Xong Sub-River Basin Management
Beneficiary : Loa PDR</t>
  </si>
  <si>
    <t xml:space="preserve">- Study Visit  at Khon Kaen "Water Quality Protection Integrated Water Resources Management and River Basin Organization" </t>
  </si>
  <si>
    <t>NORAD</t>
  </si>
  <si>
    <t>Malaria Prevention and Control in Myanmar - Thailand border Areas
Beneficiary : Myanmar</t>
  </si>
  <si>
    <t>NZAID</t>
  </si>
  <si>
    <t>Postharvest Practices : Experiences and Best Practices in  New Zealand and Thailand
Beneficiary : Cambodia (3), Laos (4), Myanmar (3), Vietnam (2), Thailand (3)</t>
  </si>
  <si>
    <t xml:space="preserve">Appendix VIII : Technical Cooperation among Developing Countries Programmes by Sector (TICP FY 2013)                                                                                                                                    </t>
  </si>
  <si>
    <t>โครงการป้องกันโรคจุดขาวในกุ้ง
Beneficiary : Mozambique</t>
  </si>
  <si>
    <t xml:space="preserve">-ประชุม PSC </t>
  </si>
  <si>
    <t>Strengthening Cooperative and SMEs in Central Vietnam 
Beneficiary : Vietnam</t>
  </si>
  <si>
    <t>The Joint Fellowship Programme for Doctoral Students under the Royal Golden Jubilee Programme/Public Health
Beneficiary : Lao PDR (0)</t>
  </si>
  <si>
    <t>Climate Change Adaptation
Beneficiary : Afghanistan (2), Bangladesh (1), Bhutan (2), Fiji (2), Indonesia (1), Lao PDR (2), Maldives (1), Nepal (2), Pakistan (1), Sri Lanka (1)</t>
  </si>
  <si>
    <t>Resulted-based Project Planning and Management
Beneficiary : Thailand (11)</t>
  </si>
  <si>
    <t>Triangular Cooperation in Southeasr Asia Conference
Beneficiary : Cambodia (1), Lao PDR (5), Vietnam (2)</t>
  </si>
  <si>
    <t>Water Quality Protection, Integrated Water Resources Management, and River basin Organization (Case Study and Best Practices in Thailand)
Beneficiary : Lao PDR (25)</t>
  </si>
  <si>
    <t>Harmonization of Power Distribution System in ASEAN Countries ครั้งที่ 1
Beneficiary : Cambodia (3), Lao PDR (2), Myanmar (5), Vietnam (1)</t>
  </si>
  <si>
    <t>Harmonization of Power Distribution System in ASEAN Countries ครั้งที่ 2
Beneficiary : Cambodia (5), Lao PDR (5), Myanmar (5), Vietnam (4)</t>
  </si>
  <si>
    <t>International Training of the Trainers on Food Processing
Beneficiary : Cambodia (5), Indonesia (2), Lao PDR (7), Thailand (2), Vietnam (4)</t>
  </si>
  <si>
    <t>Malaria Prevention and Control for Africa ปีที่ 3 
Beneficiary : Ivory Coast (2), Mali (4), Mozambique (4), Senegal (1), Thailand (3), Uganda (4)</t>
  </si>
  <si>
    <t>The 11th Workshop on ODA Evalutaion
Beneficiary : Thailand (1)</t>
  </si>
  <si>
    <t>Workshop for Policy and Strategic Level 
Beneficiary : Cambodia (3), Lao PDR (3), Myanmar (3), Thailand (2), Vietnam (3)</t>
  </si>
  <si>
    <t>Strengthening of Measurement Standards Institutes of Asia Pacific Countries
Beneficiary : Cambodia (1), India (2), Indonesia (1), Lao PDR (1), Malaysia (3), Mongolia (2), Myanmar (2), Pakistan (2), Sri Lanka (3), Vietnam (2)</t>
  </si>
  <si>
    <t>Agriculture Sector Value Chain Analysis and Promotion
Beneficiary : Cambodia (2), Laos (3), Myanmar (3), Thailand (4), Vietnam (2)</t>
  </si>
  <si>
    <t>UNDP</t>
  </si>
  <si>
    <t>Freshwater Aquaculture
Beneficiary : Sudan (6)</t>
  </si>
  <si>
    <t>United Nations Regional Course in International Law
Beneficiary : Afghanistan (1), Bangladesh (1), Bhutan (1), China (1), Fiji (1), India (1), Iran (1), Kyegyzstan (1), Mongolia (1), Nepal (1), Oman (1), Philippines (1),Samoa(1), Tonga (1), Vietnam (1)</t>
  </si>
  <si>
    <t>ดูงานด้านสาธารณสุขให้กับเจ้าหน้าที่สาธารณสุขระดับจังหวัดของ Department of Public Health
Beneficiary : Bhutan (9)</t>
  </si>
  <si>
    <t>8. OTHERS*</t>
  </si>
  <si>
    <t xml:space="preserve">    - Mali</t>
  </si>
  <si>
    <t xml:space="preserve">    - Oman</t>
  </si>
  <si>
    <t xml:space="preserve">    - Tonga</t>
  </si>
  <si>
    <t>Knowledge and Enhancement concerning Wood Biomass Energy Resources from Fast Growing Trees 
Beneficiary : Vietnam</t>
  </si>
  <si>
    <t>ทีมสอบสวนโรคเคลื่อนที่เร็วเพิ่อการเฝ้าระวัง ป้องกัน และควบคุมโรคติดต่อร่วมกันระหว่างจังหวัดชายแดนไทยและเมียนมาร์
Beneficiary : Myanmar</t>
  </si>
  <si>
    <t>Training Workshop on Pest Risk Analysis for Cambodia Plant Quarantine Officials
Beneficiary : Cambodia (6)</t>
  </si>
  <si>
    <t>STIs/HIV Laboratory Diagnosis
Beneficiary : Cambodia (3), Laos (3), Myanmar (3), Vietnam (1),Thailand (3)</t>
  </si>
  <si>
    <t>Transportation</t>
  </si>
  <si>
    <t>Road and Bridge Engineering 
Beneficiary : Myanmar (15)</t>
  </si>
  <si>
    <t xml:space="preserve">การแลกเปลี่ยนข้อมูลและประสบการณ์ด้านการฝึกอบรมอาชีวศึกษาในกลุ่มประเทศ ACMECS </t>
  </si>
  <si>
    <t>ติดตามผลการดำเนินกิจกรรมพร้อมรับทราบนโยบายผู้นำสำหรับการดำเนินงานความร่วมมือในกรอบ ACMECS</t>
  </si>
  <si>
    <t xml:space="preserve">   - Papua New Guinea</t>
  </si>
  <si>
    <t>9. EUROPE</t>
  </si>
  <si>
    <t>10. OTHERS**</t>
  </si>
  <si>
    <t>โครงการส่งเสริมการปลูกข้าวโพดหวานและถั่วลิสงเพื่อผลิตเป็นสินค้าในแขวงเวียงจันทร์</t>
  </si>
  <si>
    <t>CSEP</t>
  </si>
  <si>
    <t>Strengthening Coordinated Cross Border Systems in CLMV 
Beneficiary : Cambodia (7), Lao PDR (7), Myanmar (5), Vietnam (6)</t>
  </si>
  <si>
    <t xml:space="preserve">โครงการความร่วมมือในการพัฒนาคุณภาพชีวิตครัวเรือนและชุมชนของเจ้าหน้าที่และผู้นำชุมชน </t>
  </si>
  <si>
    <t>School under Her Royal Highness Princess Maha Chakri Sirindhorn Sponsorship to Contribute to Education for the Kingdom of Cambodia  (วิทยาลัยกำปงเฌอเตียล)</t>
  </si>
  <si>
    <t>โครงการความร่วมมือในการพัฒนาคุณภาพชีวิตเด็กและเยาวชน ตามพระราชดำริสมเด็จพระเทพฯ</t>
  </si>
  <si>
    <t>โครงการพระราชดำริเพื่อร่วมมือและแลกเปลี่ยนประสบการณ์ด้านวิชาการกับต่างประเทศของสถาบันวิจัยจุฬาภรณ์</t>
  </si>
  <si>
    <t xml:space="preserve">  - Science &amp; Technology</t>
  </si>
  <si>
    <t>โครงการสนับสนุนครูผู้สอนวิทยาศาสตร์ เข้าร่วมงาน วทร. ครั้งที่ 21</t>
  </si>
  <si>
    <t xml:space="preserve">   - Hondurus</t>
  </si>
  <si>
    <t xml:space="preserve">   - Oman</t>
  </si>
  <si>
    <t xml:space="preserve">   - Tonga</t>
  </si>
  <si>
    <t>Comprehensive Pediatric HIV/AIDS Care Management
Beneficiary : China (4), Lao PDR (3), Myanmar (3)</t>
  </si>
  <si>
    <t>International Traning Course on Management of Long - Term Adherence to ART
Beneficiary : Cambodia (3),Lao PDR (3), Myanmar (3)</t>
  </si>
  <si>
    <t>ประชุมวิชาการสถาบันพระปกเกล้า ตรั้งที่ 14
Beneficiary : Cambodia (2), Lao PDR (2), Myanmar (2)</t>
  </si>
  <si>
    <t>Management of Antiretroviral Treatment (ART) Program for National and Local Program Managers 
Beneficiary : Cambodia (3) Laos (3), Myanmar (3)</t>
  </si>
  <si>
    <t>Seminar on Cooperation to Management and Skill Development in Tourism 
Beneficiary: Indonesia (3), Malaysia (9), Thailand (13)</t>
  </si>
  <si>
    <t>โครงการพัฒนาข้าราชการประเทศสมาชิกอาเซียน</t>
  </si>
  <si>
    <t>Scholarship : Lao PDR, Myanmar, Vietnam</t>
  </si>
  <si>
    <t xml:space="preserve">Scholarship : Lao PDR </t>
  </si>
  <si>
    <t>Scholarship : Lao PDR</t>
  </si>
  <si>
    <t xml:space="preserve">Scholarship : Lao PDR, Myanmar, Vietnam </t>
  </si>
  <si>
    <t>Scholarship : Myanmar</t>
  </si>
  <si>
    <t xml:space="preserve">Scholarship :Lao PDR </t>
  </si>
  <si>
    <t xml:space="preserve">Scholarship : Cambodia </t>
  </si>
  <si>
    <t>Scholarship : Lao PDR, Myanmar</t>
  </si>
  <si>
    <r>
      <t>- Advanced training course on research methodology in agriculture science 
B</t>
    </r>
    <r>
      <rPr>
        <sz val="13.5"/>
        <color indexed="8"/>
        <rFont val="Cordia New"/>
        <family val="2"/>
      </rPr>
      <t>e</t>
    </r>
    <r>
      <rPr>
        <b/>
        <sz val="13.5"/>
        <color indexed="8"/>
        <rFont val="Cordia New"/>
        <family val="2"/>
      </rPr>
      <t>neficiary : Cambodia (10), Lao PDR (8), Myanmar (10), Vietnam (10)</t>
    </r>
  </si>
  <si>
    <t>Myanmar</t>
  </si>
  <si>
    <t xml:space="preserve">   - Afganistan</t>
  </si>
  <si>
    <t xml:space="preserve">   - Bolivia</t>
  </si>
  <si>
    <t xml:space="preserve">   - Eritea</t>
  </si>
  <si>
    <t xml:space="preserve">   - Micronesia</t>
  </si>
  <si>
    <t xml:space="preserve">   - Singapore</t>
  </si>
  <si>
    <t xml:space="preserve">   - Solomon Island</t>
  </si>
  <si>
    <t xml:space="preserve">   - Turkmenistan</t>
  </si>
  <si>
    <t xml:space="preserve">   - Tuvalu</t>
  </si>
  <si>
    <t xml:space="preserve">   - United Arab Emirates</t>
  </si>
  <si>
    <t xml:space="preserve">   - Yemen</t>
  </si>
  <si>
    <t xml:space="preserve">    - Afganistan</t>
  </si>
  <si>
    <t xml:space="preserve">    - Singapore</t>
  </si>
  <si>
    <t xml:space="preserve">     - Oman</t>
  </si>
  <si>
    <t xml:space="preserve">    - Turkey</t>
  </si>
  <si>
    <t xml:space="preserve">    - United Arab Emirates</t>
  </si>
  <si>
    <t>10. OTHERS*</t>
  </si>
  <si>
    <t xml:space="preserve">     -  Guinea</t>
  </si>
  <si>
    <t xml:space="preserve">     - Tanzania</t>
  </si>
  <si>
    <t>Other</t>
  </si>
  <si>
    <t xml:space="preserve">     - Sri Lanka</t>
  </si>
  <si>
    <t xml:space="preserve">      - Eritea</t>
  </si>
  <si>
    <t xml:space="preserve">      - Egypt</t>
  </si>
  <si>
    <t xml:space="preserve">      - Botswana</t>
  </si>
  <si>
    <t xml:space="preserve">     - Colombia</t>
  </si>
  <si>
    <t xml:space="preserve">     -  Mexico</t>
  </si>
  <si>
    <t xml:space="preserve">     -  Paraguay</t>
  </si>
  <si>
    <t xml:space="preserve">    - Turkmenistan</t>
  </si>
  <si>
    <t xml:space="preserve">    - Uzbekistan</t>
  </si>
  <si>
    <t xml:space="preserve">    - Tuvalu</t>
  </si>
  <si>
    <t xml:space="preserve">    - Solomon Island</t>
  </si>
  <si>
    <t xml:space="preserve">    - Micronesia</t>
  </si>
  <si>
    <t xml:space="preserve">   - Burkina Faso</t>
  </si>
  <si>
    <t xml:space="preserve">      - Burkina Faso</t>
  </si>
  <si>
    <t>ASEAN Economic Community
Beneficiary : Brunei Darusalam (2), Cambodia (2), , Lao PDR(2), Malaysia(1), Myanmar (2), Philippines (2), Thailand (2), Timor-Leste (2), Vietnam (2)</t>
  </si>
  <si>
    <t>ASEAN Trade Single Electronic Window
Beneficiary : Cambodia (6), Lao PDR (6), Myanmar (5),  Vietnam (6)</t>
  </si>
  <si>
    <t>SMEs Development 
Beneficiary : Cambodia (7), Laos (7), Myanmar (4)</t>
  </si>
  <si>
    <t>-  Agricuture</t>
  </si>
  <si>
    <t>Good Governance in an Increasingly Complex World 
Beneficiary : Thailand (15)</t>
  </si>
  <si>
    <t>- Training on Office Management
Beneficiary : Cambodia (4 ), Lao PDR (4), Myanmar (4), Vietnam (2)</t>
  </si>
  <si>
    <t>- Workshop on Training  for Trainers &amp; Presentation Skill
Beneficiary : Cambodia (4 ), Lao PDR (4), Myanmar (4), Vietnam (2)</t>
  </si>
  <si>
    <t xml:space="preserve">   - Brunei Darusalam</t>
  </si>
  <si>
    <t>Neonatal Care and Advanced Midwifery for Nurses
Beneficiary : Bhutan (21)</t>
  </si>
  <si>
    <t>Neonatal Care and Advanced Midwifery for Comprehensive EMoNCs 
Beneficiary : Bhutan (21)</t>
  </si>
  <si>
    <t xml:space="preserve">Regional Workshop : HIV/AIDs Health Care Services in Universal Health Coverage
Beneficiary : Cambodia (10), Indonesia (10), Myanmar(7), Philippines (10) </t>
  </si>
  <si>
    <t xml:space="preserve">   -Brunei Darusalam</t>
  </si>
  <si>
    <t>FEALAC</t>
  </si>
  <si>
    <t xml:space="preserve">Workshop on Drug Law Enforcement Cooperation for FEALAC </t>
  </si>
  <si>
    <t>4. LATIN AMERICA</t>
  </si>
  <si>
    <t xml:space="preserve">    - Bolivia</t>
  </si>
  <si>
    <t xml:space="preserve">    - Mexico </t>
  </si>
  <si>
    <t xml:space="preserve">    - Peru</t>
  </si>
  <si>
    <t>5. OTHERS</t>
  </si>
  <si>
    <t>Appendix XII : Trilateral and Regional Cooperation Programme (TICP FY 2013)</t>
  </si>
  <si>
    <t>Others * : DC LDC Meeting, Study and Research , Thai Participants</t>
  </si>
  <si>
    <t>1. THE PACIFIC</t>
  </si>
  <si>
    <t>2. AFRICA</t>
  </si>
  <si>
    <t xml:space="preserve">   -Egypt</t>
  </si>
  <si>
    <t>10. OTHERS</t>
  </si>
  <si>
    <t>Appendix XV : Fellowship/Expert under Cooperation Framework (TICP FY 2013)</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</si>
</sst>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t&quot;$&quot;#,##0_);\(\t&quot;$&quot;#,##0\)"/>
    <numFmt numFmtId="200" formatCode="\t&quot;$&quot;#,##0_);[Red]\(\t&quot;$&quot;#,##0\)"/>
    <numFmt numFmtId="201" formatCode="\t&quot;$&quot;#,##0.00_);\(\t&quot;$&quot;#,##0.00\)"/>
    <numFmt numFmtId="202" formatCode="\t&quot;$&quot;#,##0.00_);[Red]\(\t&quot;$&quot;#,##0.00\)"/>
    <numFmt numFmtId="203" formatCode="_-* #,##0.0_-;\-* #,##0.0_-;_-* &quot;-&quot;??_-;_-@_-"/>
    <numFmt numFmtId="204" formatCode="_-* #,##0_-;\-* #,##0_-;_-* &quot;-&quot;??_-;_-@_-"/>
    <numFmt numFmtId="205" formatCode="0.0"/>
    <numFmt numFmtId="206" formatCode="#,##0.0"/>
    <numFmt numFmtId="207" formatCode="_(* #,##0.000_);_(* \(#,##0.000\);_(* &quot;-&quot;??_);_(@_)"/>
    <numFmt numFmtId="208" formatCode="_(* #,##0.0_);_(* \(#,##0.0\);_(* &quot;-&quot;??_);_(@_)"/>
    <numFmt numFmtId="209" formatCode="_(* #,##0_);_(* \(#,##0\);_(* &quot;-&quot;??_);_(@_)"/>
    <numFmt numFmtId="210" formatCode="[$-409]dddd\,\ mmmm\ dd\,\ yyyy"/>
    <numFmt numFmtId="211" formatCode="[$-409]h:mm:ss\ AM/PM"/>
    <numFmt numFmtId="212" formatCode="_-* #,##0.000_-;\-* #,##0.000_-;_-* &quot;-&quot;??_-;_-@_-"/>
    <numFmt numFmtId="213" formatCode="_(* #,##0.0_);_(* \(#,##0.0\);_(* &quot;-&quot;?_);_(@_)"/>
    <numFmt numFmtId="214" formatCode="_-* #,##0.0000_-;\-* #,##0.0000_-;_-* &quot;-&quot;??_-;_-@_-"/>
    <numFmt numFmtId="215" formatCode="_-* #,##0.00000_-;\-* #,##0.00000_-;_-* &quot;-&quot;??_-;_-@_-"/>
    <numFmt numFmtId="216" formatCode="_-* #,##0.0_-;\-* #,##0.0_-;_-* &quot;-&quot;?_-;_-@_-"/>
    <numFmt numFmtId="217" formatCode="0.00000"/>
    <numFmt numFmtId="218" formatCode="0.0000"/>
    <numFmt numFmtId="219" formatCode="0.000"/>
  </numFmts>
  <fonts count="71">
    <font>
      <sz val="10"/>
      <name val="Arial"/>
      <family val="0"/>
    </font>
    <font>
      <sz val="8"/>
      <name val="Arial"/>
      <family val="2"/>
    </font>
    <font>
      <u val="single"/>
      <sz val="10"/>
      <color indexed="36"/>
      <name val="Arial"/>
      <family val="2"/>
    </font>
    <font>
      <u val="single"/>
      <sz val="10"/>
      <color indexed="12"/>
      <name val="Arial"/>
      <family val="2"/>
    </font>
    <font>
      <sz val="14"/>
      <name val="Cordia New"/>
      <family val="2"/>
    </font>
    <font>
      <b/>
      <sz val="14"/>
      <name val="Cordia New"/>
      <family val="2"/>
    </font>
    <font>
      <b/>
      <sz val="10"/>
      <name val="Cordia New"/>
      <family val="2"/>
    </font>
    <font>
      <b/>
      <sz val="12"/>
      <name val="Cordia New"/>
      <family val="2"/>
    </font>
    <font>
      <b/>
      <sz val="10"/>
      <name val="Arial"/>
      <family val="2"/>
    </font>
    <font>
      <b/>
      <sz val="9"/>
      <name val="Arial"/>
      <family val="2"/>
    </font>
    <font>
      <sz val="12"/>
      <name val="Cordia New"/>
      <family val="2"/>
    </font>
    <font>
      <b/>
      <sz val="13.5"/>
      <name val="Cordia New"/>
      <family val="2"/>
    </font>
    <font>
      <sz val="10"/>
      <name val="Cordia New"/>
      <family val="2"/>
    </font>
    <font>
      <sz val="13"/>
      <name val="Cordia New"/>
      <family val="2"/>
    </font>
    <font>
      <b/>
      <sz val="11"/>
      <name val="Cordia New"/>
      <family val="2"/>
    </font>
    <font>
      <sz val="14"/>
      <name val="Arial"/>
      <family val="2"/>
    </font>
    <font>
      <b/>
      <sz val="13"/>
      <name val="Cordia New"/>
      <family val="2"/>
    </font>
    <font>
      <b/>
      <sz val="8"/>
      <name val="Comic Sans MS"/>
      <family val="4"/>
    </font>
    <font>
      <sz val="8"/>
      <name val="Comic Sans MS"/>
      <family val="4"/>
    </font>
    <font>
      <b/>
      <sz val="16"/>
      <name val="Cordia New"/>
      <family val="2"/>
    </font>
    <font>
      <b/>
      <sz val="9"/>
      <name val="Arial Narrow"/>
      <family val="2"/>
    </font>
    <font>
      <b/>
      <sz val="8"/>
      <name val="Arial Narrow"/>
      <family val="2"/>
    </font>
    <font>
      <b/>
      <sz val="12"/>
      <color indexed="10"/>
      <name val="Cordia New"/>
      <family val="2"/>
    </font>
    <font>
      <sz val="12"/>
      <name val="Arial"/>
      <family val="2"/>
    </font>
    <font>
      <sz val="13.5"/>
      <name val="Cordia New"/>
      <family val="2"/>
    </font>
    <font>
      <sz val="13.5"/>
      <name val="Arial"/>
      <family val="2"/>
    </font>
    <font>
      <b/>
      <sz val="8"/>
      <name val="Arial"/>
      <family val="2"/>
    </font>
    <font>
      <b/>
      <sz val="15"/>
      <name val="Cordia New"/>
      <family val="2"/>
    </font>
    <font>
      <sz val="16"/>
      <name val="Arial"/>
      <family val="2"/>
    </font>
    <font>
      <b/>
      <sz val="13.5"/>
      <color indexed="10"/>
      <name val="Cordia New"/>
      <family val="2"/>
    </font>
    <font>
      <sz val="10"/>
      <color indexed="10"/>
      <name val="Arial"/>
      <family val="2"/>
    </font>
    <font>
      <b/>
      <sz val="13.5"/>
      <color indexed="8"/>
      <name val="Cordia New"/>
      <family val="2"/>
    </font>
    <font>
      <sz val="13.5"/>
      <color indexed="8"/>
      <name val="Cordia New"/>
      <family val="2"/>
    </font>
    <font>
      <b/>
      <sz val="14"/>
      <name val="Arial"/>
      <family val="2"/>
    </font>
    <font>
      <b/>
      <vertAlign val="superscript"/>
      <sz val="14"/>
      <name val="Cordia New"/>
      <family val="2"/>
    </font>
    <font>
      <sz val="13.2"/>
      <name val="Cordia New"/>
      <family val="2"/>
    </font>
    <font>
      <sz val="16"/>
      <name val="Angsana New"/>
      <family val="1"/>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hair"/>
      <bottom style="medium"/>
    </border>
    <border>
      <left>
        <color indexed="63"/>
      </left>
      <right>
        <color indexed="63"/>
      </right>
      <top style="hair"/>
      <bottom style="hair"/>
    </border>
    <border>
      <left>
        <color indexed="63"/>
      </left>
      <right>
        <color indexed="63"/>
      </right>
      <top style="medium"/>
      <bottom style="thin"/>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style="medium"/>
      <bottom style="medium"/>
    </border>
    <border>
      <left>
        <color indexed="63"/>
      </left>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color indexed="63"/>
      </left>
      <right style="hair"/>
      <top style="medium"/>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color indexed="63"/>
      </top>
      <bottom style="medium"/>
    </border>
    <border>
      <left style="hair"/>
      <right style="hair"/>
      <top style="hair"/>
      <bottom style="hair"/>
    </border>
    <border>
      <left>
        <color indexed="63"/>
      </left>
      <right style="hair"/>
      <top style="hair"/>
      <bottom style="medium"/>
    </border>
    <border>
      <left>
        <color indexed="63"/>
      </left>
      <right style="hair"/>
      <top style="hair"/>
      <bottom style="hair"/>
    </border>
    <border>
      <left>
        <color indexed="63"/>
      </left>
      <right style="hair"/>
      <top style="medium"/>
      <bottom style="medium"/>
    </border>
    <border>
      <left style="hair"/>
      <right style="hair"/>
      <top style="medium"/>
      <bottom style="medium"/>
    </border>
    <border>
      <left style="hair"/>
      <right style="hair"/>
      <top style="medium"/>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medium"/>
    </border>
    <border>
      <left style="hair"/>
      <right>
        <color indexed="63"/>
      </right>
      <top style="hair"/>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style="medium"/>
      <bottom>
        <color indexed="63"/>
      </bottom>
    </border>
    <border>
      <left style="hair"/>
      <right>
        <color indexed="63"/>
      </right>
      <top>
        <color indexed="63"/>
      </top>
      <bottom style="thin"/>
    </border>
    <border>
      <left style="hair"/>
      <right>
        <color indexed="63"/>
      </right>
      <top style="medium"/>
      <bottom style="thin"/>
    </border>
    <border>
      <left>
        <color indexed="63"/>
      </left>
      <right style="hair"/>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0" fillId="0" borderId="0">
      <alignment/>
      <protection/>
    </xf>
  </cellStyleXfs>
  <cellXfs count="1326">
    <xf numFmtId="0" fontId="0" fillId="0" borderId="0" xfId="0" applyAlignment="1">
      <alignment/>
    </xf>
    <xf numFmtId="0" fontId="5" fillId="0" borderId="0" xfId="61" applyFont="1" applyAlignment="1">
      <alignment vertical="center"/>
      <protection/>
    </xf>
    <xf numFmtId="0" fontId="6" fillId="0" borderId="0" xfId="61" applyFont="1" applyAlignment="1">
      <alignment horizontal="center"/>
      <protection/>
    </xf>
    <xf numFmtId="0" fontId="6" fillId="0" borderId="0" xfId="61" applyFont="1">
      <alignment/>
      <protection/>
    </xf>
    <xf numFmtId="204" fontId="6" fillId="0" borderId="0" xfId="45" applyNumberFormat="1" applyFont="1" applyAlignment="1">
      <alignment horizontal="center"/>
    </xf>
    <xf numFmtId="204" fontId="6" fillId="0" borderId="0" xfId="45" applyNumberFormat="1" applyFont="1" applyAlignment="1">
      <alignment/>
    </xf>
    <xf numFmtId="0" fontId="4" fillId="0" borderId="0" xfId="61">
      <alignment/>
      <protection/>
    </xf>
    <xf numFmtId="0" fontId="10" fillId="0" borderId="0" xfId="61" applyFont="1">
      <alignment/>
      <protection/>
    </xf>
    <xf numFmtId="0" fontId="5" fillId="0" borderId="0" xfId="61" applyFont="1" applyBorder="1">
      <alignment/>
      <protection/>
    </xf>
    <xf numFmtId="0" fontId="7" fillId="0" borderId="0" xfId="61" applyFont="1" applyBorder="1">
      <alignment/>
      <protection/>
    </xf>
    <xf numFmtId="0" fontId="11" fillId="0" borderId="0" xfId="61" applyFont="1" applyBorder="1">
      <alignment/>
      <protection/>
    </xf>
    <xf numFmtId="204" fontId="11" fillId="0" borderId="0" xfId="45" applyNumberFormat="1" applyFont="1" applyBorder="1" applyAlignment="1">
      <alignment horizontal="right"/>
    </xf>
    <xf numFmtId="204" fontId="11" fillId="0" borderId="0" xfId="45" applyNumberFormat="1" applyFont="1" applyBorder="1" applyAlignment="1">
      <alignment/>
    </xf>
    <xf numFmtId="0" fontId="11" fillId="0" borderId="0" xfId="61" applyFont="1" applyBorder="1" applyAlignment="1">
      <alignment horizontal="right"/>
      <protection/>
    </xf>
    <xf numFmtId="0" fontId="5" fillId="0" borderId="10" xfId="61" applyFont="1" applyBorder="1">
      <alignment/>
      <protection/>
    </xf>
    <xf numFmtId="204" fontId="11" fillId="0" borderId="0" xfId="45" applyNumberFormat="1" applyFont="1" applyBorder="1" applyAlignment="1">
      <alignment horizontal="center"/>
    </xf>
    <xf numFmtId="0" fontId="11" fillId="0" borderId="11" xfId="61" applyFont="1" applyBorder="1">
      <alignment/>
      <protection/>
    </xf>
    <xf numFmtId="204" fontId="11" fillId="0" borderId="11" xfId="45" applyNumberFormat="1" applyFont="1" applyBorder="1" applyAlignment="1">
      <alignment horizontal="right"/>
    </xf>
    <xf numFmtId="204" fontId="11" fillId="0" borderId="11" xfId="45" applyNumberFormat="1" applyFont="1" applyBorder="1" applyAlignment="1">
      <alignment horizontal="center"/>
    </xf>
    <xf numFmtId="0" fontId="7" fillId="0" borderId="0" xfId="61" applyFont="1" applyBorder="1" applyAlignment="1">
      <alignment horizontal="right"/>
      <protection/>
    </xf>
    <xf numFmtId="0" fontId="10" fillId="0" borderId="0" xfId="61" applyFont="1" applyBorder="1" applyAlignment="1">
      <alignment horizontal="center"/>
      <protection/>
    </xf>
    <xf numFmtId="0" fontId="10" fillId="0" borderId="0" xfId="61" applyFont="1" applyBorder="1">
      <alignment/>
      <protection/>
    </xf>
    <xf numFmtId="204" fontId="10" fillId="0" borderId="0" xfId="45" applyNumberFormat="1" applyFont="1" applyBorder="1" applyAlignment="1">
      <alignment horizontal="center"/>
    </xf>
    <xf numFmtId="204" fontId="10" fillId="0" borderId="0" xfId="45" applyNumberFormat="1" applyFont="1" applyBorder="1" applyAlignment="1">
      <alignment/>
    </xf>
    <xf numFmtId="204" fontId="12" fillId="0" borderId="0" xfId="45" applyNumberFormat="1" applyFont="1" applyAlignment="1">
      <alignment/>
    </xf>
    <xf numFmtId="0" fontId="12" fillId="0" borderId="0" xfId="61" applyFont="1" applyAlignment="1">
      <alignment horizontal="center"/>
      <protection/>
    </xf>
    <xf numFmtId="0" fontId="12" fillId="0" borderId="0" xfId="61" applyFont="1">
      <alignment/>
      <protection/>
    </xf>
    <xf numFmtId="209" fontId="5" fillId="0" borderId="0" xfId="42" applyNumberFormat="1" applyFont="1" applyAlignment="1">
      <alignment/>
    </xf>
    <xf numFmtId="209" fontId="10" fillId="0" borderId="0" xfId="42" applyNumberFormat="1" applyFont="1" applyBorder="1" applyAlignment="1">
      <alignment horizontal="center"/>
    </xf>
    <xf numFmtId="209" fontId="10" fillId="0" borderId="0" xfId="42" applyNumberFormat="1" applyFont="1" applyAlignment="1">
      <alignment/>
    </xf>
    <xf numFmtId="209" fontId="10" fillId="0" borderId="0" xfId="42" applyNumberFormat="1" applyFont="1" applyBorder="1" applyAlignment="1">
      <alignment/>
    </xf>
    <xf numFmtId="204" fontId="12" fillId="0" borderId="0" xfId="45" applyNumberFormat="1" applyFont="1" applyAlignment="1">
      <alignment horizontal="center"/>
    </xf>
    <xf numFmtId="204" fontId="10" fillId="0" borderId="0" xfId="61" applyNumberFormat="1" applyFont="1" applyBorder="1" applyAlignment="1">
      <alignment horizontal="center"/>
      <protection/>
    </xf>
    <xf numFmtId="204" fontId="12" fillId="0" borderId="0" xfId="61" applyNumberFormat="1" applyFont="1">
      <alignment/>
      <protection/>
    </xf>
    <xf numFmtId="0" fontId="5" fillId="0" borderId="0" xfId="60" applyFont="1">
      <alignment/>
      <protection/>
    </xf>
    <xf numFmtId="0" fontId="13" fillId="0" borderId="0" xfId="60" applyFont="1" applyAlignment="1">
      <alignment horizontal="center"/>
      <protection/>
    </xf>
    <xf numFmtId="204" fontId="13" fillId="0" borderId="0" xfId="45" applyNumberFormat="1" applyFont="1" applyAlignment="1">
      <alignment/>
    </xf>
    <xf numFmtId="0" fontId="13" fillId="0" borderId="0" xfId="60" applyFont="1" applyAlignment="1">
      <alignment horizontal="left"/>
      <protection/>
    </xf>
    <xf numFmtId="0" fontId="14" fillId="0" borderId="0" xfId="60" applyFont="1">
      <alignment/>
      <protection/>
    </xf>
    <xf numFmtId="0" fontId="7" fillId="0" borderId="0" xfId="60" applyFont="1" applyAlignment="1">
      <alignment horizontal="right"/>
      <protection/>
    </xf>
    <xf numFmtId="0" fontId="13" fillId="0" borderId="0" xfId="60" applyFont="1">
      <alignment/>
      <protection/>
    </xf>
    <xf numFmtId="0" fontId="4" fillId="0" borderId="0" xfId="60" applyFont="1" applyAlignment="1">
      <alignment horizontal="left"/>
      <protection/>
    </xf>
    <xf numFmtId="0" fontId="15" fillId="0" borderId="0" xfId="0" applyFont="1" applyAlignment="1">
      <alignment/>
    </xf>
    <xf numFmtId="0" fontId="4" fillId="0" borderId="0" xfId="60" applyFont="1" applyAlignment="1">
      <alignment horizontal="center"/>
      <protection/>
    </xf>
    <xf numFmtId="0" fontId="16" fillId="0" borderId="0" xfId="60" applyFont="1" applyBorder="1">
      <alignment/>
      <protection/>
    </xf>
    <xf numFmtId="204" fontId="7" fillId="0" borderId="0" xfId="68" applyNumberFormat="1" applyFont="1">
      <alignment/>
      <protection/>
    </xf>
    <xf numFmtId="204" fontId="7" fillId="0" borderId="0" xfId="68" applyNumberFormat="1" applyFont="1" applyAlignment="1">
      <alignment horizontal="right"/>
      <protection/>
    </xf>
    <xf numFmtId="204" fontId="7" fillId="0" borderId="0" xfId="60" applyNumberFormat="1" applyFont="1">
      <alignment/>
      <protection/>
    </xf>
    <xf numFmtId="204" fontId="7" fillId="0" borderId="0" xfId="68" applyNumberFormat="1" applyFont="1" applyBorder="1">
      <alignment/>
      <protection/>
    </xf>
    <xf numFmtId="0" fontId="16" fillId="0" borderId="11" xfId="60" applyFont="1" applyBorder="1">
      <alignment/>
      <protection/>
    </xf>
    <xf numFmtId="204" fontId="7" fillId="0" borderId="0" xfId="68" applyNumberFormat="1" applyFont="1" applyBorder="1" applyAlignment="1">
      <alignment horizontal="right"/>
      <protection/>
    </xf>
    <xf numFmtId="204" fontId="7" fillId="0" borderId="0" xfId="60" applyNumberFormat="1" applyFont="1" applyBorder="1">
      <alignment/>
      <protection/>
    </xf>
    <xf numFmtId="0" fontId="16" fillId="0" borderId="0" xfId="60" applyFont="1">
      <alignment/>
      <protection/>
    </xf>
    <xf numFmtId="0" fontId="16" fillId="0" borderId="0" xfId="60" applyFont="1">
      <alignment/>
      <protection/>
    </xf>
    <xf numFmtId="204" fontId="10" fillId="0" borderId="0" xfId="68" applyNumberFormat="1" applyFont="1">
      <alignment/>
      <protection/>
    </xf>
    <xf numFmtId="208" fontId="17" fillId="0" borderId="0" xfId="42" applyNumberFormat="1" applyFont="1" applyAlignment="1">
      <alignment/>
    </xf>
    <xf numFmtId="208" fontId="18" fillId="0" borderId="0" xfId="42" applyNumberFormat="1" applyFont="1" applyAlignment="1">
      <alignment/>
    </xf>
    <xf numFmtId="0" fontId="1" fillId="0" borderId="0" xfId="0" applyFont="1" applyAlignment="1">
      <alignment/>
    </xf>
    <xf numFmtId="0" fontId="4" fillId="0" borderId="0" xfId="60" applyAlignment="1">
      <alignment horizontal="center"/>
      <protection/>
    </xf>
    <xf numFmtId="0" fontId="12" fillId="0" borderId="0" xfId="60" applyFont="1">
      <alignment/>
      <protection/>
    </xf>
    <xf numFmtId="0" fontId="7" fillId="0" borderId="0" xfId="60" applyFont="1" applyBorder="1">
      <alignment/>
      <protection/>
    </xf>
    <xf numFmtId="0" fontId="12" fillId="0" borderId="0" xfId="60" applyFont="1" applyBorder="1" applyAlignment="1">
      <alignment horizontal="center"/>
      <protection/>
    </xf>
    <xf numFmtId="204" fontId="12" fillId="0" borderId="0" xfId="45" applyNumberFormat="1" applyFont="1" applyBorder="1" applyAlignment="1">
      <alignment/>
    </xf>
    <xf numFmtId="204" fontId="12" fillId="0" borderId="0" xfId="45" applyNumberFormat="1" applyFont="1" applyBorder="1" applyAlignment="1">
      <alignment horizontal="center"/>
    </xf>
    <xf numFmtId="0" fontId="7" fillId="0" borderId="0" xfId="60" applyFont="1" applyBorder="1" applyAlignment="1">
      <alignment horizontal="center"/>
      <protection/>
    </xf>
    <xf numFmtId="0" fontId="0" fillId="0" borderId="0" xfId="0" applyFont="1" applyAlignment="1">
      <alignment/>
    </xf>
    <xf numFmtId="0" fontId="10" fillId="0" borderId="0" xfId="60" applyFont="1" applyBorder="1">
      <alignment/>
      <protection/>
    </xf>
    <xf numFmtId="0" fontId="7" fillId="0" borderId="0" xfId="60" applyFont="1" applyBorder="1">
      <alignment/>
      <protection/>
    </xf>
    <xf numFmtId="0" fontId="4" fillId="0" borderId="0" xfId="60">
      <alignment/>
      <protection/>
    </xf>
    <xf numFmtId="0" fontId="5" fillId="0" borderId="0" xfId="60" applyFont="1">
      <alignment/>
      <protection/>
    </xf>
    <xf numFmtId="0" fontId="12" fillId="0" borderId="0" xfId="60" applyFont="1" applyAlignment="1">
      <alignment horizontal="center"/>
      <protection/>
    </xf>
    <xf numFmtId="204" fontId="12" fillId="0" borderId="0" xfId="45" applyNumberFormat="1" applyFont="1" applyFill="1" applyAlignment="1">
      <alignment/>
    </xf>
    <xf numFmtId="0" fontId="10" fillId="0" borderId="0" xfId="60" applyFont="1">
      <alignment/>
      <protection/>
    </xf>
    <xf numFmtId="0" fontId="10" fillId="0" borderId="0" xfId="60" applyFont="1">
      <alignment/>
      <protection/>
    </xf>
    <xf numFmtId="0" fontId="7" fillId="0" borderId="0" xfId="60" applyFont="1">
      <alignment/>
      <protection/>
    </xf>
    <xf numFmtId="0" fontId="5" fillId="0" borderId="0" xfId="60" applyFont="1" applyBorder="1">
      <alignment/>
      <protection/>
    </xf>
    <xf numFmtId="0" fontId="11" fillId="0" borderId="0" xfId="60" applyFont="1" applyBorder="1">
      <alignment/>
      <protection/>
    </xf>
    <xf numFmtId="204" fontId="13" fillId="0" borderId="0" xfId="45" applyNumberFormat="1" applyFont="1" applyBorder="1" applyAlignment="1">
      <alignment horizontal="center"/>
    </xf>
    <xf numFmtId="0" fontId="13" fillId="0" borderId="0" xfId="60" applyFont="1" applyBorder="1">
      <alignment/>
      <protection/>
    </xf>
    <xf numFmtId="0" fontId="13" fillId="0" borderId="0" xfId="60" applyFont="1">
      <alignment/>
      <protection/>
    </xf>
    <xf numFmtId="0" fontId="5" fillId="0" borderId="10" xfId="60" applyFont="1" applyBorder="1">
      <alignment/>
      <protection/>
    </xf>
    <xf numFmtId="203" fontId="13" fillId="0" borderId="0" xfId="45" applyNumberFormat="1" applyFont="1" applyAlignment="1">
      <alignment/>
    </xf>
    <xf numFmtId="0" fontId="7" fillId="0" borderId="0" xfId="60" applyFont="1">
      <alignment/>
      <protection/>
    </xf>
    <xf numFmtId="0" fontId="14" fillId="0" borderId="0" xfId="60" applyFont="1" applyBorder="1" applyAlignment="1">
      <alignment horizontal="center"/>
      <protection/>
    </xf>
    <xf numFmtId="204" fontId="14" fillId="0" borderId="0" xfId="45" applyNumberFormat="1" applyFont="1" applyBorder="1" applyAlignment="1">
      <alignment/>
    </xf>
    <xf numFmtId="204" fontId="14" fillId="0" borderId="0" xfId="45" applyNumberFormat="1" applyFont="1" applyBorder="1" applyAlignment="1">
      <alignment horizontal="center"/>
    </xf>
    <xf numFmtId="0" fontId="23" fillId="0" borderId="0" xfId="0" applyFont="1" applyAlignment="1">
      <alignment/>
    </xf>
    <xf numFmtId="204" fontId="5" fillId="0" borderId="10" xfId="45" applyNumberFormat="1" applyFont="1" applyBorder="1" applyAlignment="1">
      <alignment horizontal="center"/>
    </xf>
    <xf numFmtId="0" fontId="5" fillId="0" borderId="0" xfId="60" applyFont="1" applyBorder="1" applyAlignment="1">
      <alignment horizontal="center"/>
      <protection/>
    </xf>
    <xf numFmtId="204" fontId="5" fillId="0" borderId="0" xfId="45" applyNumberFormat="1" applyFont="1" applyBorder="1" applyAlignment="1">
      <alignment horizontal="center"/>
    </xf>
    <xf numFmtId="0" fontId="5" fillId="0" borderId="12" xfId="60" applyFont="1" applyBorder="1" applyAlignment="1">
      <alignment horizontal="center"/>
      <protection/>
    </xf>
    <xf numFmtId="204" fontId="5" fillId="0" borderId="13" xfId="45" applyNumberFormat="1" applyFont="1" applyBorder="1" applyAlignment="1">
      <alignment horizontal="center"/>
    </xf>
    <xf numFmtId="0" fontId="12" fillId="0" borderId="0" xfId="60" applyFont="1" applyBorder="1">
      <alignment/>
      <protection/>
    </xf>
    <xf numFmtId="0" fontId="24" fillId="0" borderId="0" xfId="60" applyFont="1">
      <alignment/>
      <protection/>
    </xf>
    <xf numFmtId="0" fontId="25" fillId="0" borderId="0" xfId="0" applyFont="1" applyAlignment="1">
      <alignment/>
    </xf>
    <xf numFmtId="0" fontId="11" fillId="0" borderId="0" xfId="60" applyFont="1" applyBorder="1" applyAlignment="1">
      <alignment horizontal="left"/>
      <protection/>
    </xf>
    <xf numFmtId="0" fontId="10" fillId="0" borderId="0" xfId="60" applyFont="1" applyAlignment="1">
      <alignment horizontal="center"/>
      <protection/>
    </xf>
    <xf numFmtId="204" fontId="10" fillId="0" borderId="0" xfId="46" applyNumberFormat="1" applyFont="1" applyAlignment="1">
      <alignment/>
    </xf>
    <xf numFmtId="0" fontId="7" fillId="0" borderId="0" xfId="60" applyFont="1" applyAlignment="1">
      <alignment horizontal="right"/>
      <protection/>
    </xf>
    <xf numFmtId="204" fontId="7" fillId="0" borderId="0" xfId="46" applyNumberFormat="1" applyFont="1" applyBorder="1" applyAlignment="1">
      <alignment/>
    </xf>
    <xf numFmtId="204" fontId="7" fillId="0" borderId="0" xfId="46" applyNumberFormat="1" applyFont="1" applyBorder="1" applyAlignment="1">
      <alignment horizontal="center"/>
    </xf>
    <xf numFmtId="0" fontId="7" fillId="0" borderId="0" xfId="60" applyFont="1" applyBorder="1" applyAlignment="1">
      <alignment horizontal="center"/>
      <protection/>
    </xf>
    <xf numFmtId="0" fontId="16" fillId="0" borderId="0" xfId="60" applyFont="1" applyBorder="1" applyAlignment="1">
      <alignment horizontal="center" vertical="center"/>
      <protection/>
    </xf>
    <xf numFmtId="204" fontId="16" fillId="0" borderId="0" xfId="46" applyNumberFormat="1" applyFont="1" applyBorder="1" applyAlignment="1">
      <alignment horizontal="center" vertical="center"/>
    </xf>
    <xf numFmtId="204" fontId="16" fillId="0" borderId="0" xfId="60" applyNumberFormat="1" applyFont="1" applyBorder="1" applyAlignment="1">
      <alignment horizontal="center" vertical="center"/>
      <protection/>
    </xf>
    <xf numFmtId="0" fontId="5" fillId="0" borderId="14" xfId="60" applyFont="1" applyBorder="1" applyAlignment="1">
      <alignment horizontal="center" vertical="center"/>
      <protection/>
    </xf>
    <xf numFmtId="204" fontId="7" fillId="0" borderId="0" xfId="60" applyNumberFormat="1" applyFont="1" applyBorder="1" applyAlignment="1">
      <alignment horizontal="center" vertical="center"/>
      <protection/>
    </xf>
    <xf numFmtId="0" fontId="20" fillId="0" borderId="13" xfId="60" applyFont="1" applyBorder="1" applyAlignment="1">
      <alignment horizontal="right"/>
      <protection/>
    </xf>
    <xf numFmtId="204" fontId="20" fillId="0" borderId="13" xfId="45" applyNumberFormat="1" applyFont="1" applyBorder="1" applyAlignment="1">
      <alignment horizontal="right"/>
    </xf>
    <xf numFmtId="0" fontId="5" fillId="0" borderId="0" xfId="60" applyFont="1" applyBorder="1">
      <alignment/>
      <protection/>
    </xf>
    <xf numFmtId="204" fontId="12" fillId="0" borderId="0" xfId="44" applyNumberFormat="1" applyFont="1" applyAlignment="1">
      <alignment/>
    </xf>
    <xf numFmtId="0" fontId="4" fillId="0" borderId="0" xfId="60" applyFont="1">
      <alignment/>
      <protection/>
    </xf>
    <xf numFmtId="0" fontId="4" fillId="0" borderId="0" xfId="61" applyBorder="1" applyAlignment="1">
      <alignment horizontal="center" vertical="center"/>
      <protection/>
    </xf>
    <xf numFmtId="0" fontId="14" fillId="0" borderId="0" xfId="61" applyFont="1" applyBorder="1" applyAlignment="1">
      <alignment horizontal="right"/>
      <protection/>
    </xf>
    <xf numFmtId="0" fontId="7" fillId="0" borderId="0" xfId="61" applyFont="1" applyBorder="1" applyAlignment="1">
      <alignment horizontal="left"/>
      <protection/>
    </xf>
    <xf numFmtId="0" fontId="14" fillId="0" borderId="0" xfId="61" applyFont="1" applyBorder="1" applyAlignment="1">
      <alignment horizontal="center"/>
      <protection/>
    </xf>
    <xf numFmtId="0" fontId="6" fillId="0" borderId="0" xfId="61" applyFont="1" applyBorder="1" applyAlignment="1">
      <alignment horizontal="center"/>
      <protection/>
    </xf>
    <xf numFmtId="0" fontId="6" fillId="0" borderId="0" xfId="61" applyFont="1" applyBorder="1" applyAlignment="1">
      <alignment horizontal="center" vertical="center"/>
      <protection/>
    </xf>
    <xf numFmtId="0" fontId="12" fillId="0" borderId="0" xfId="61" applyFont="1" applyAlignment="1">
      <alignment horizontal="center" vertical="center"/>
      <protection/>
    </xf>
    <xf numFmtId="0" fontId="4" fillId="0" borderId="0" xfId="61" applyAlignment="1">
      <alignment horizontal="center"/>
      <protection/>
    </xf>
    <xf numFmtId="0" fontId="4" fillId="0" borderId="0" xfId="61" applyAlignment="1">
      <alignment horizontal="center" vertical="center"/>
      <protection/>
    </xf>
    <xf numFmtId="0" fontId="7" fillId="0" borderId="0" xfId="61" applyFont="1">
      <alignment/>
      <protection/>
    </xf>
    <xf numFmtId="0" fontId="24" fillId="0" borderId="0" xfId="61" applyFont="1">
      <alignment/>
      <protection/>
    </xf>
    <xf numFmtId="0" fontId="5" fillId="0" borderId="15" xfId="61" applyFont="1" applyBorder="1" applyAlignment="1">
      <alignment vertical="center"/>
      <protection/>
    </xf>
    <xf numFmtId="0" fontId="11" fillId="0" borderId="15" xfId="61" applyFont="1" applyBorder="1" applyAlignment="1">
      <alignment vertical="center"/>
      <protection/>
    </xf>
    <xf numFmtId="204" fontId="11" fillId="0" borderId="15" xfId="46" applyNumberFormat="1" applyFont="1" applyBorder="1" applyAlignment="1">
      <alignment vertical="center"/>
    </xf>
    <xf numFmtId="0" fontId="11" fillId="0" borderId="0" xfId="61" applyFont="1" applyBorder="1" applyAlignment="1">
      <alignment vertical="center"/>
      <protection/>
    </xf>
    <xf numFmtId="0" fontId="5" fillId="0" borderId="10" xfId="61" applyFont="1" applyBorder="1" applyAlignment="1">
      <alignment vertical="center"/>
      <protection/>
    </xf>
    <xf numFmtId="0" fontId="11" fillId="0" borderId="11" xfId="61" applyFont="1" applyBorder="1" applyAlignment="1">
      <alignment vertical="center"/>
      <protection/>
    </xf>
    <xf numFmtId="0" fontId="5" fillId="0" borderId="0" xfId="61" applyFont="1" applyBorder="1" applyAlignment="1">
      <alignment vertical="center"/>
      <protection/>
    </xf>
    <xf numFmtId="0" fontId="5" fillId="0" borderId="13" xfId="61" applyFont="1" applyBorder="1" applyAlignment="1">
      <alignment horizontal="center" vertical="center"/>
      <protection/>
    </xf>
    <xf numFmtId="204" fontId="5" fillId="0" borderId="13" xfId="46" applyNumberFormat="1" applyFont="1" applyBorder="1" applyAlignment="1">
      <alignment vertical="center"/>
    </xf>
    <xf numFmtId="0" fontId="5" fillId="0" borderId="13" xfId="61" applyFont="1" applyBorder="1" applyAlignment="1">
      <alignment horizontal="right" vertical="center"/>
      <protection/>
    </xf>
    <xf numFmtId="0" fontId="0" fillId="0" borderId="0" xfId="0" applyFont="1" applyAlignment="1">
      <alignment/>
    </xf>
    <xf numFmtId="204" fontId="0" fillId="0" borderId="0" xfId="0" applyNumberFormat="1" applyFont="1" applyAlignment="1">
      <alignment/>
    </xf>
    <xf numFmtId="203" fontId="0" fillId="0" borderId="0" xfId="45" applyNumberFormat="1" applyFont="1" applyAlignment="1">
      <alignment/>
    </xf>
    <xf numFmtId="0" fontId="4" fillId="0" borderId="0" xfId="61" applyFont="1">
      <alignment/>
      <protection/>
    </xf>
    <xf numFmtId="0" fontId="4" fillId="0" borderId="0" xfId="60" applyFont="1" applyAlignment="1">
      <alignment horizontal="center"/>
      <protection/>
    </xf>
    <xf numFmtId="204" fontId="4" fillId="0" borderId="0" xfId="45" applyNumberFormat="1" applyFont="1" applyAlignment="1">
      <alignment/>
    </xf>
    <xf numFmtId="204" fontId="4" fillId="0" borderId="0" xfId="45" applyNumberFormat="1" applyFont="1" applyAlignment="1">
      <alignment horizontal="center"/>
    </xf>
    <xf numFmtId="0" fontId="11" fillId="0" borderId="0" xfId="60" applyFont="1">
      <alignment/>
      <protection/>
    </xf>
    <xf numFmtId="0" fontId="24" fillId="0" borderId="0" xfId="61" applyFont="1">
      <alignment/>
      <protection/>
    </xf>
    <xf numFmtId="0" fontId="11" fillId="0" borderId="0" xfId="61" applyFont="1" applyBorder="1" applyAlignment="1">
      <alignment horizontal="left"/>
      <protection/>
    </xf>
    <xf numFmtId="0" fontId="24" fillId="0" borderId="0" xfId="61" applyFont="1" applyBorder="1" applyAlignment="1">
      <alignment horizontal="left"/>
      <protection/>
    </xf>
    <xf numFmtId="0" fontId="11" fillId="0" borderId="0" xfId="61" applyFont="1" applyBorder="1" applyAlignment="1">
      <alignment horizontal="center" vertical="center"/>
      <protection/>
    </xf>
    <xf numFmtId="0" fontId="7" fillId="0" borderId="0" xfId="61" applyFont="1" applyBorder="1" applyAlignment="1">
      <alignment vertical="center"/>
      <protection/>
    </xf>
    <xf numFmtId="0" fontId="7" fillId="0" borderId="0" xfId="61" applyFont="1" applyBorder="1" applyAlignment="1">
      <alignment horizontal="center" vertical="center"/>
      <protection/>
    </xf>
    <xf numFmtId="0" fontId="7" fillId="0" borderId="0" xfId="61" applyFont="1" applyBorder="1">
      <alignment/>
      <protection/>
    </xf>
    <xf numFmtId="0" fontId="7" fillId="0" borderId="0" xfId="61" applyFont="1" applyBorder="1" applyAlignment="1">
      <alignment horizontal="center"/>
      <protection/>
    </xf>
    <xf numFmtId="204" fontId="5" fillId="0" borderId="14" xfId="46" applyNumberFormat="1" applyFont="1" applyBorder="1" applyAlignment="1">
      <alignment horizontal="center" vertical="center"/>
    </xf>
    <xf numFmtId="0" fontId="5" fillId="0" borderId="12" xfId="60" applyFont="1" applyBorder="1">
      <alignment/>
      <protection/>
    </xf>
    <xf numFmtId="204" fontId="4" fillId="0" borderId="0" xfId="60" applyNumberFormat="1">
      <alignment/>
      <protection/>
    </xf>
    <xf numFmtId="0" fontId="5" fillId="0" borderId="16" xfId="60" applyFont="1" applyBorder="1">
      <alignment/>
      <protection/>
    </xf>
    <xf numFmtId="209" fontId="5" fillId="0" borderId="0" xfId="42" applyNumberFormat="1" applyFont="1" applyBorder="1" applyAlignment="1">
      <alignment horizontal="center"/>
    </xf>
    <xf numFmtId="204" fontId="5" fillId="0" borderId="0" xfId="60" applyNumberFormat="1" applyFont="1" applyBorder="1" applyAlignment="1">
      <alignment horizontal="center"/>
      <protection/>
    </xf>
    <xf numFmtId="0" fontId="5" fillId="0" borderId="0" xfId="60" applyFont="1" applyAlignment="1">
      <alignment horizontal="right"/>
      <protection/>
    </xf>
    <xf numFmtId="0" fontId="11" fillId="0" borderId="0" xfId="60" applyFont="1" applyBorder="1" applyAlignment="1">
      <alignment horizontal="center"/>
      <protection/>
    </xf>
    <xf numFmtId="204" fontId="24" fillId="0" borderId="0" xfId="45" applyNumberFormat="1" applyFont="1" applyBorder="1" applyAlignment="1">
      <alignment horizontal="center"/>
    </xf>
    <xf numFmtId="204" fontId="24" fillId="0" borderId="0" xfId="45" applyNumberFormat="1" applyFont="1" applyBorder="1" applyAlignment="1">
      <alignment/>
    </xf>
    <xf numFmtId="204" fontId="5" fillId="0" borderId="13" xfId="45" applyNumberFormat="1" applyFont="1" applyBorder="1" applyAlignment="1">
      <alignment horizontal="right"/>
    </xf>
    <xf numFmtId="204" fontId="5" fillId="0" borderId="13" xfId="60" applyNumberFormat="1" applyFont="1" applyBorder="1" applyAlignment="1">
      <alignment horizontal="center"/>
      <protection/>
    </xf>
    <xf numFmtId="204" fontId="5" fillId="0" borderId="13" xfId="45" applyNumberFormat="1" applyFont="1" applyBorder="1" applyAlignment="1">
      <alignment horizontal="center"/>
    </xf>
    <xf numFmtId="204" fontId="16" fillId="0" borderId="10" xfId="45" applyNumberFormat="1" applyFont="1" applyBorder="1" applyAlignment="1">
      <alignment horizontal="center"/>
    </xf>
    <xf numFmtId="204" fontId="5" fillId="0" borderId="11" xfId="45" applyNumberFormat="1" applyFont="1" applyBorder="1" applyAlignment="1">
      <alignment horizontal="center"/>
    </xf>
    <xf numFmtId="0" fontId="5" fillId="0" borderId="13" xfId="60" applyFont="1" applyBorder="1" applyAlignment="1">
      <alignment horizontal="right"/>
      <protection/>
    </xf>
    <xf numFmtId="204" fontId="5" fillId="0" borderId="0" xfId="60" applyNumberFormat="1" applyFont="1" applyBorder="1">
      <alignment/>
      <protection/>
    </xf>
    <xf numFmtId="0" fontId="4" fillId="0" borderId="0" xfId="60" applyFont="1">
      <alignment/>
      <protection/>
    </xf>
    <xf numFmtId="0" fontId="5" fillId="0" borderId="11" xfId="60" applyFont="1" applyBorder="1">
      <alignment/>
      <protection/>
    </xf>
    <xf numFmtId="204" fontId="5" fillId="0" borderId="0" xfId="46" applyNumberFormat="1" applyFont="1" applyBorder="1" applyAlignment="1">
      <alignment horizontal="right"/>
    </xf>
    <xf numFmtId="204" fontId="5" fillId="0" borderId="0" xfId="46" applyNumberFormat="1" applyFont="1" applyBorder="1" applyAlignment="1">
      <alignment horizontal="center"/>
    </xf>
    <xf numFmtId="0" fontId="5" fillId="0" borderId="11" xfId="60" applyFont="1" applyBorder="1">
      <alignment/>
      <protection/>
    </xf>
    <xf numFmtId="0" fontId="5" fillId="0" borderId="12" xfId="60" applyFont="1" applyBorder="1" applyAlignment="1">
      <alignment horizontal="right" vertical="center"/>
      <protection/>
    </xf>
    <xf numFmtId="204" fontId="11" fillId="0" borderId="10" xfId="45" applyNumberFormat="1" applyFont="1" applyBorder="1" applyAlignment="1">
      <alignment horizontal="right"/>
    </xf>
    <xf numFmtId="204" fontId="11" fillId="0" borderId="0" xfId="46" applyNumberFormat="1" applyFont="1" applyBorder="1" applyAlignment="1">
      <alignment vertical="center"/>
    </xf>
    <xf numFmtId="204" fontId="11" fillId="0" borderId="0" xfId="46" applyNumberFormat="1" applyFont="1" applyBorder="1" applyAlignment="1">
      <alignment horizontal="right" vertical="center"/>
    </xf>
    <xf numFmtId="0" fontId="11" fillId="0" borderId="0" xfId="61" applyFont="1" applyBorder="1" applyAlignment="1">
      <alignment horizontal="right" vertical="center"/>
      <protection/>
    </xf>
    <xf numFmtId="204" fontId="5" fillId="0" borderId="0" xfId="61" applyNumberFormat="1" applyFont="1" applyBorder="1" applyAlignment="1">
      <alignment vertical="center"/>
      <protection/>
    </xf>
    <xf numFmtId="204" fontId="5" fillId="0" borderId="10" xfId="61" applyNumberFormat="1" applyFont="1" applyBorder="1" applyAlignment="1">
      <alignment vertical="center"/>
      <protection/>
    </xf>
    <xf numFmtId="0" fontId="11" fillId="0" borderId="0" xfId="61" applyFont="1" applyBorder="1" applyAlignment="1">
      <alignment vertical="center"/>
      <protection/>
    </xf>
    <xf numFmtId="204" fontId="11" fillId="0" borderId="10" xfId="46" applyNumberFormat="1" applyFont="1" applyBorder="1" applyAlignment="1">
      <alignment vertical="center"/>
    </xf>
    <xf numFmtId="204" fontId="5" fillId="0" borderId="0" xfId="61" applyNumberFormat="1" applyFont="1" applyBorder="1" applyAlignment="1">
      <alignment horizontal="center"/>
      <protection/>
    </xf>
    <xf numFmtId="204" fontId="5" fillId="0" borderId="11" xfId="61" applyNumberFormat="1" applyFont="1" applyBorder="1" applyAlignment="1">
      <alignment horizontal="center"/>
      <protection/>
    </xf>
    <xf numFmtId="0" fontId="0" fillId="0" borderId="0" xfId="0" applyBorder="1" applyAlignment="1">
      <alignment/>
    </xf>
    <xf numFmtId="0" fontId="27" fillId="0" borderId="0" xfId="60" applyFont="1">
      <alignment/>
      <protection/>
    </xf>
    <xf numFmtId="0" fontId="27" fillId="0" borderId="0" xfId="60" applyFont="1" applyFill="1">
      <alignment/>
      <protection/>
    </xf>
    <xf numFmtId="0" fontId="27" fillId="0" borderId="12" xfId="0" applyFont="1" applyBorder="1" applyAlignment="1">
      <alignment horizontal="left"/>
    </xf>
    <xf numFmtId="0" fontId="27" fillId="0" borderId="0" xfId="61" applyFont="1" applyBorder="1" applyAlignment="1">
      <alignment horizontal="left"/>
      <protection/>
    </xf>
    <xf numFmtId="0" fontId="27" fillId="0" borderId="0" xfId="61" applyFont="1">
      <alignment/>
      <protection/>
    </xf>
    <xf numFmtId="194" fontId="1" fillId="0" borderId="0" xfId="42" applyFont="1" applyAlignment="1">
      <alignment/>
    </xf>
    <xf numFmtId="207" fontId="1" fillId="0" borderId="0" xfId="42" applyNumberFormat="1" applyFont="1" applyAlignment="1">
      <alignment/>
    </xf>
    <xf numFmtId="0" fontId="10" fillId="0" borderId="0" xfId="0" applyFont="1" applyAlignment="1">
      <alignment/>
    </xf>
    <xf numFmtId="0" fontId="10" fillId="0" borderId="0" xfId="61" applyFont="1">
      <alignment/>
      <protection/>
    </xf>
    <xf numFmtId="0" fontId="23" fillId="0" borderId="0" xfId="0" applyFont="1" applyBorder="1" applyAlignment="1">
      <alignment/>
    </xf>
    <xf numFmtId="0" fontId="7" fillId="0" borderId="0" xfId="61" applyFont="1" applyFill="1" applyBorder="1">
      <alignment/>
      <protection/>
    </xf>
    <xf numFmtId="0" fontId="7" fillId="0" borderId="0" xfId="61" applyFont="1" applyFill="1" applyBorder="1" applyAlignment="1">
      <alignment vertical="center"/>
      <protection/>
    </xf>
    <xf numFmtId="0" fontId="7" fillId="0" borderId="0" xfId="60" applyFont="1" applyFill="1" applyBorder="1">
      <alignment/>
      <protection/>
    </xf>
    <xf numFmtId="0" fontId="14" fillId="0" borderId="0" xfId="61" applyFont="1" applyFill="1" applyBorder="1" applyAlignment="1">
      <alignment horizontal="center"/>
      <protection/>
    </xf>
    <xf numFmtId="0" fontId="0" fillId="0" borderId="0" xfId="0" applyFill="1" applyAlignment="1">
      <alignment/>
    </xf>
    <xf numFmtId="0" fontId="12" fillId="0" borderId="0" xfId="61" applyFont="1" applyFill="1">
      <alignment/>
      <protection/>
    </xf>
    <xf numFmtId="0" fontId="4" fillId="0" borderId="0" xfId="61" applyFill="1">
      <alignment/>
      <protection/>
    </xf>
    <xf numFmtId="0" fontId="5" fillId="0" borderId="0" xfId="61" applyFont="1" applyBorder="1" applyAlignment="1">
      <alignment horizontal="left"/>
      <protection/>
    </xf>
    <xf numFmtId="204" fontId="0" fillId="0" borderId="0" xfId="0" applyNumberFormat="1" applyFont="1" applyAlignment="1">
      <alignment/>
    </xf>
    <xf numFmtId="0" fontId="0" fillId="0" borderId="12" xfId="0" applyFont="1" applyBorder="1" applyAlignment="1">
      <alignment/>
    </xf>
    <xf numFmtId="0" fontId="7" fillId="0" borderId="0" xfId="60" applyFont="1" applyFill="1">
      <alignment/>
      <protection/>
    </xf>
    <xf numFmtId="0" fontId="7" fillId="0" borderId="0" xfId="0" applyFont="1" applyAlignment="1">
      <alignment horizontal="right"/>
    </xf>
    <xf numFmtId="0" fontId="24" fillId="0" borderId="0" xfId="60" applyFont="1" applyBorder="1" applyAlignment="1">
      <alignment horizontal="left"/>
      <protection/>
    </xf>
    <xf numFmtId="0" fontId="0" fillId="0" borderId="0" xfId="0" applyFont="1" applyFill="1" applyAlignment="1">
      <alignment/>
    </xf>
    <xf numFmtId="0" fontId="12" fillId="0" borderId="10" xfId="60" applyFont="1" applyBorder="1">
      <alignment/>
      <protection/>
    </xf>
    <xf numFmtId="0" fontId="24" fillId="0" borderId="0" xfId="60" applyFont="1" applyAlignment="1">
      <alignment horizontal="center"/>
      <protection/>
    </xf>
    <xf numFmtId="0" fontId="25" fillId="0" borderId="12" xfId="0" applyFont="1" applyBorder="1" applyAlignment="1">
      <alignment/>
    </xf>
    <xf numFmtId="0" fontId="11" fillId="0" borderId="0" xfId="60" applyFont="1" applyFill="1" applyBorder="1" applyAlignment="1">
      <alignment horizontal="left"/>
      <protection/>
    </xf>
    <xf numFmtId="0" fontId="11" fillId="0" borderId="0" xfId="61" applyFont="1" applyBorder="1" applyAlignment="1">
      <alignment horizontal="center"/>
      <protection/>
    </xf>
    <xf numFmtId="0" fontId="29" fillId="0" borderId="0" xfId="61" applyFont="1" applyBorder="1" applyAlignment="1">
      <alignment horizontal="center" vertical="center"/>
      <protection/>
    </xf>
    <xf numFmtId="0" fontId="24" fillId="0" borderId="0" xfId="61" applyFont="1" applyAlignment="1">
      <alignment horizontal="center"/>
      <protection/>
    </xf>
    <xf numFmtId="0" fontId="24" fillId="0" borderId="0" xfId="61" applyFont="1" applyAlignment="1">
      <alignment horizontal="center"/>
      <protection/>
    </xf>
    <xf numFmtId="0" fontId="26" fillId="0" borderId="12" xfId="60" applyFont="1" applyBorder="1" applyAlignment="1">
      <alignment horizontal="center"/>
      <protection/>
    </xf>
    <xf numFmtId="204" fontId="26" fillId="0" borderId="12" xfId="45" applyNumberFormat="1" applyFont="1" applyBorder="1" applyAlignment="1">
      <alignment horizontal="center"/>
    </xf>
    <xf numFmtId="0" fontId="15" fillId="0" borderId="0" xfId="60" applyFont="1">
      <alignment/>
      <protection/>
    </xf>
    <xf numFmtId="15" fontId="15" fillId="0" borderId="0" xfId="60" applyNumberFormat="1" applyFont="1">
      <alignment/>
      <protection/>
    </xf>
    <xf numFmtId="204" fontId="15" fillId="0" borderId="0" xfId="45" applyNumberFormat="1" applyFont="1" applyAlignment="1">
      <alignment horizontal="center"/>
    </xf>
    <xf numFmtId="0" fontId="5" fillId="0" borderId="13" xfId="60" applyFont="1" applyBorder="1" applyAlignment="1">
      <alignment horizontal="center"/>
      <protection/>
    </xf>
    <xf numFmtId="0" fontId="7" fillId="0" borderId="16" xfId="60" applyFont="1" applyBorder="1" applyAlignment="1">
      <alignment horizontal="right"/>
      <protection/>
    </xf>
    <xf numFmtId="204" fontId="24" fillId="0" borderId="0" xfId="45" applyNumberFormat="1" applyFont="1" applyAlignment="1">
      <alignment horizontal="center"/>
    </xf>
    <xf numFmtId="0" fontId="22" fillId="0" borderId="0" xfId="61" applyFont="1" applyBorder="1" applyAlignment="1">
      <alignment vertical="center"/>
      <protection/>
    </xf>
    <xf numFmtId="0" fontId="22" fillId="0" borderId="0" xfId="61" applyFont="1" applyBorder="1" applyAlignment="1">
      <alignment horizontal="center" vertical="center"/>
      <protection/>
    </xf>
    <xf numFmtId="4" fontId="11" fillId="0" borderId="0" xfId="46" applyNumberFormat="1" applyFont="1" applyBorder="1" applyAlignment="1">
      <alignment vertical="center"/>
    </xf>
    <xf numFmtId="204" fontId="0" fillId="0" borderId="0" xfId="0" applyNumberFormat="1" applyAlignment="1">
      <alignment/>
    </xf>
    <xf numFmtId="209" fontId="1" fillId="0" borderId="0" xfId="42" applyNumberFormat="1" applyFont="1" applyAlignment="1">
      <alignment/>
    </xf>
    <xf numFmtId="0" fontId="0" fillId="0" borderId="0" xfId="0" applyFont="1" applyBorder="1" applyAlignment="1">
      <alignment/>
    </xf>
    <xf numFmtId="0" fontId="24" fillId="0" borderId="0" xfId="61" applyFont="1" applyBorder="1" applyAlignment="1">
      <alignment horizontal="left" vertical="top" wrapText="1"/>
      <protection/>
    </xf>
    <xf numFmtId="0" fontId="7" fillId="0" borderId="10" xfId="61" applyFont="1" applyBorder="1">
      <alignment/>
      <protection/>
    </xf>
    <xf numFmtId="0" fontId="23" fillId="0" borderId="10" xfId="0" applyFont="1" applyBorder="1" applyAlignment="1">
      <alignment/>
    </xf>
    <xf numFmtId="0" fontId="5" fillId="0" borderId="0" xfId="61" applyFont="1" applyBorder="1" applyAlignment="1">
      <alignment horizontal="center"/>
      <protection/>
    </xf>
    <xf numFmtId="0" fontId="5" fillId="0" borderId="0" xfId="61" applyFont="1" applyBorder="1">
      <alignment/>
      <protection/>
    </xf>
    <xf numFmtId="0" fontId="5" fillId="0" borderId="0" xfId="61" applyFont="1" applyBorder="1" applyAlignment="1">
      <alignment horizontal="center" vertical="center"/>
      <protection/>
    </xf>
    <xf numFmtId="0" fontId="15" fillId="0" borderId="0" xfId="0" applyFont="1" applyBorder="1" applyAlignment="1">
      <alignment/>
    </xf>
    <xf numFmtId="0" fontId="5" fillId="0" borderId="0" xfId="0" applyFont="1" applyAlignment="1">
      <alignment horizontal="left"/>
    </xf>
    <xf numFmtId="0" fontId="5" fillId="0" borderId="0" xfId="60" applyFont="1" applyAlignment="1">
      <alignment horizontal="left"/>
      <protection/>
    </xf>
    <xf numFmtId="0" fontId="11" fillId="0" borderId="10" xfId="60" applyFont="1" applyBorder="1" applyAlignment="1">
      <alignment horizontal="center"/>
      <protection/>
    </xf>
    <xf numFmtId="0" fontId="11" fillId="0" borderId="11" xfId="60" applyFont="1" applyBorder="1">
      <alignment/>
      <protection/>
    </xf>
    <xf numFmtId="0" fontId="11" fillId="0" borderId="11" xfId="60" applyFont="1" applyBorder="1" applyAlignment="1">
      <alignment horizontal="center"/>
      <protection/>
    </xf>
    <xf numFmtId="204" fontId="5" fillId="0" borderId="0" xfId="60" applyNumberFormat="1" applyFont="1" applyBorder="1" applyAlignment="1">
      <alignment horizontal="right"/>
      <protection/>
    </xf>
    <xf numFmtId="204" fontId="5" fillId="0" borderId="13" xfId="60" applyNumberFormat="1" applyFont="1" applyBorder="1" applyAlignment="1">
      <alignment horizontal="right"/>
      <protection/>
    </xf>
    <xf numFmtId="0" fontId="16" fillId="0" borderId="0" xfId="60" applyFont="1" applyFill="1" applyBorder="1">
      <alignment/>
      <protection/>
    </xf>
    <xf numFmtId="204" fontId="0" fillId="0" borderId="0" xfId="0" applyNumberFormat="1" applyFont="1" applyFill="1" applyAlignment="1">
      <alignment/>
    </xf>
    <xf numFmtId="0" fontId="13" fillId="0" borderId="0" xfId="60" applyFont="1" applyFill="1">
      <alignment/>
      <protection/>
    </xf>
    <xf numFmtId="0" fontId="5" fillId="33" borderId="17" xfId="61" applyFont="1" applyFill="1" applyBorder="1" applyAlignment="1">
      <alignment horizontal="center" vertical="center"/>
      <protection/>
    </xf>
    <xf numFmtId="0" fontId="5" fillId="33" borderId="17" xfId="61" applyFont="1" applyFill="1" applyBorder="1" applyAlignment="1">
      <alignment horizontal="center" vertical="center"/>
      <protection/>
    </xf>
    <xf numFmtId="0" fontId="5" fillId="33" borderId="17" xfId="61" applyFont="1" applyFill="1" applyBorder="1" applyAlignment="1">
      <alignment vertical="center"/>
      <protection/>
    </xf>
    <xf numFmtId="0" fontId="5" fillId="33" borderId="17" xfId="61" applyFont="1" applyFill="1" applyBorder="1" applyAlignment="1">
      <alignment horizontal="center" vertical="top" wrapText="1"/>
      <protection/>
    </xf>
    <xf numFmtId="0" fontId="5" fillId="33" borderId="17" xfId="61" applyFont="1" applyFill="1" applyBorder="1" applyAlignment="1">
      <alignment vertical="top" wrapText="1"/>
      <protection/>
    </xf>
    <xf numFmtId="0" fontId="5" fillId="33" borderId="17" xfId="61" applyFont="1" applyFill="1" applyBorder="1" applyAlignment="1">
      <alignment horizontal="center" vertical="top"/>
      <protection/>
    </xf>
    <xf numFmtId="0" fontId="5" fillId="33" borderId="16" xfId="61" applyFont="1" applyFill="1" applyBorder="1" applyAlignment="1">
      <alignment horizontal="center" vertical="center"/>
      <protection/>
    </xf>
    <xf numFmtId="0" fontId="0" fillId="0" borderId="11" xfId="0" applyBorder="1" applyAlignment="1">
      <alignment/>
    </xf>
    <xf numFmtId="0" fontId="5" fillId="33" borderId="10" xfId="61" applyFont="1" applyFill="1" applyBorder="1" applyAlignment="1">
      <alignment vertical="top" wrapText="1"/>
      <protection/>
    </xf>
    <xf numFmtId="0" fontId="5" fillId="0" borderId="0" xfId="60" applyFont="1" applyBorder="1" applyAlignment="1">
      <alignment vertical="top"/>
      <protection/>
    </xf>
    <xf numFmtId="204" fontId="11" fillId="0" borderId="0" xfId="45" applyNumberFormat="1" applyFont="1" applyBorder="1" applyAlignment="1">
      <alignment horizontal="right" vertical="top"/>
    </xf>
    <xf numFmtId="0" fontId="24" fillId="0" borderId="0" xfId="0" applyFont="1" applyAlignment="1">
      <alignment horizontal="center" vertical="top"/>
    </xf>
    <xf numFmtId="204" fontId="26" fillId="0" borderId="18" xfId="45" applyNumberFormat="1" applyFont="1" applyBorder="1" applyAlignment="1">
      <alignment horizontal="center" textRotation="78" wrapText="1"/>
    </xf>
    <xf numFmtId="0" fontId="5" fillId="0" borderId="13" xfId="60" applyFont="1" applyBorder="1">
      <alignment/>
      <protection/>
    </xf>
    <xf numFmtId="0" fontId="13" fillId="0" borderId="11" xfId="60" applyFont="1" applyBorder="1">
      <alignment/>
      <protection/>
    </xf>
    <xf numFmtId="0" fontId="12" fillId="0" borderId="11" xfId="60" applyFont="1" applyBorder="1">
      <alignment/>
      <protection/>
    </xf>
    <xf numFmtId="204" fontId="4" fillId="0" borderId="11" xfId="45" applyNumberFormat="1" applyFont="1" applyBorder="1" applyAlignment="1">
      <alignment horizontal="center"/>
    </xf>
    <xf numFmtId="204" fontId="5" fillId="0" borderId="11" xfId="46" applyNumberFormat="1" applyFont="1" applyBorder="1" applyAlignment="1">
      <alignment horizontal="right"/>
    </xf>
    <xf numFmtId="204" fontId="5" fillId="0" borderId="11" xfId="46" applyNumberFormat="1" applyFont="1" applyBorder="1" applyAlignment="1">
      <alignment horizontal="center"/>
    </xf>
    <xf numFmtId="0" fontId="4" fillId="0" borderId="11" xfId="60" applyFont="1" applyBorder="1">
      <alignment/>
      <protection/>
    </xf>
    <xf numFmtId="204" fontId="5" fillId="0" borderId="11" xfId="60" applyNumberFormat="1" applyFont="1" applyBorder="1">
      <alignment/>
      <protection/>
    </xf>
    <xf numFmtId="0" fontId="10" fillId="0" borderId="11" xfId="60" applyFont="1" applyBorder="1">
      <alignment/>
      <protection/>
    </xf>
    <xf numFmtId="204" fontId="7" fillId="0" borderId="11" xfId="68" applyNumberFormat="1" applyFont="1" applyBorder="1" applyAlignment="1">
      <alignment horizontal="right"/>
      <protection/>
    </xf>
    <xf numFmtId="204" fontId="0" fillId="0" borderId="11" xfId="0" applyNumberFormat="1" applyFont="1" applyBorder="1" applyAlignment="1">
      <alignment/>
    </xf>
    <xf numFmtId="203" fontId="0" fillId="0" borderId="11" xfId="45"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203" fontId="13" fillId="0" borderId="11" xfId="45" applyNumberFormat="1" applyFont="1" applyBorder="1" applyAlignment="1">
      <alignment/>
    </xf>
    <xf numFmtId="0" fontId="4" fillId="0" borderId="0" xfId="61" applyFont="1" applyBorder="1">
      <alignment/>
      <protection/>
    </xf>
    <xf numFmtId="0" fontId="4" fillId="0" borderId="0" xfId="60" applyFont="1" applyBorder="1">
      <alignment/>
      <protection/>
    </xf>
    <xf numFmtId="0" fontId="11" fillId="0" borderId="11" xfId="61" applyFont="1" applyBorder="1" applyAlignment="1">
      <alignment horizontal="right"/>
      <protection/>
    </xf>
    <xf numFmtId="0" fontId="4" fillId="0" borderId="11" xfId="61" applyFont="1" applyBorder="1">
      <alignment/>
      <protection/>
    </xf>
    <xf numFmtId="203" fontId="12" fillId="0" borderId="0" xfId="44" applyNumberFormat="1" applyFont="1" applyAlignment="1">
      <alignment/>
    </xf>
    <xf numFmtId="203" fontId="1" fillId="0" borderId="0" xfId="0" applyNumberFormat="1" applyFont="1" applyAlignment="1">
      <alignment/>
    </xf>
    <xf numFmtId="203" fontId="0" fillId="0" borderId="0" xfId="0" applyNumberFormat="1" applyFont="1" applyAlignment="1">
      <alignment/>
    </xf>
    <xf numFmtId="203" fontId="4" fillId="0" borderId="0" xfId="60" applyNumberFormat="1" applyFont="1">
      <alignment/>
      <protection/>
    </xf>
    <xf numFmtId="206" fontId="5" fillId="33" borderId="17" xfId="61" applyNumberFormat="1" applyFont="1" applyFill="1" applyBorder="1" applyAlignment="1">
      <alignment horizontal="right" vertical="center"/>
      <protection/>
    </xf>
    <xf numFmtId="206" fontId="5" fillId="33" borderId="17" xfId="61" applyNumberFormat="1" applyFont="1" applyFill="1" applyBorder="1" applyAlignment="1">
      <alignment horizontal="right" vertical="center"/>
      <protection/>
    </xf>
    <xf numFmtId="206" fontId="5" fillId="33" borderId="17" xfId="61" applyNumberFormat="1" applyFont="1" applyFill="1" applyBorder="1" applyAlignment="1">
      <alignment horizontal="right" vertical="top"/>
      <protection/>
    </xf>
    <xf numFmtId="206" fontId="5" fillId="0" borderId="13" xfId="46" applyNumberFormat="1" applyFont="1" applyBorder="1" applyAlignment="1">
      <alignment vertical="center"/>
    </xf>
    <xf numFmtId="0" fontId="5" fillId="0" borderId="0" xfId="61" applyFont="1" applyBorder="1" applyAlignment="1">
      <alignment horizontal="left" vertical="top" wrapText="1"/>
      <protection/>
    </xf>
    <xf numFmtId="206" fontId="11" fillId="0" borderId="0" xfId="46" applyNumberFormat="1" applyFont="1" applyBorder="1" applyAlignment="1">
      <alignment vertical="center"/>
    </xf>
    <xf numFmtId="206" fontId="11" fillId="0" borderId="0" xfId="45" applyNumberFormat="1" applyFont="1" applyBorder="1" applyAlignment="1">
      <alignment/>
    </xf>
    <xf numFmtId="206" fontId="29" fillId="0" borderId="0" xfId="46" applyNumberFormat="1" applyFont="1" applyBorder="1" applyAlignment="1">
      <alignment vertical="center"/>
    </xf>
    <xf numFmtId="206" fontId="4" fillId="0" borderId="0" xfId="61" applyNumberFormat="1">
      <alignment/>
      <protection/>
    </xf>
    <xf numFmtId="206" fontId="5" fillId="0" borderId="0" xfId="42" applyNumberFormat="1" applyFont="1" applyBorder="1" applyAlignment="1">
      <alignment horizontal="right"/>
    </xf>
    <xf numFmtId="206" fontId="7" fillId="0" borderId="0" xfId="46" applyNumberFormat="1" applyFont="1" applyBorder="1" applyAlignment="1">
      <alignment/>
    </xf>
    <xf numFmtId="206" fontId="0" fillId="0" borderId="0" xfId="0" applyNumberFormat="1" applyAlignment="1">
      <alignment/>
    </xf>
    <xf numFmtId="0" fontId="24" fillId="0" borderId="0" xfId="61" applyFont="1">
      <alignment/>
      <protection/>
    </xf>
    <xf numFmtId="0" fontId="24" fillId="0" borderId="0" xfId="0" applyFont="1" applyAlignment="1">
      <alignment/>
    </xf>
    <xf numFmtId="0" fontId="24" fillId="0" borderId="10" xfId="61" applyFont="1" applyBorder="1" applyAlignment="1">
      <alignment horizontal="left" vertical="top" wrapText="1"/>
      <protection/>
    </xf>
    <xf numFmtId="0" fontId="24" fillId="0" borderId="0" xfId="61" applyFont="1" applyAlignment="1">
      <alignment vertical="top"/>
      <protection/>
    </xf>
    <xf numFmtId="0" fontId="24" fillId="0" borderId="0" xfId="0" applyFont="1" applyAlignment="1">
      <alignment vertical="top"/>
    </xf>
    <xf numFmtId="0" fontId="24" fillId="0" borderId="0" xfId="61" applyFont="1" applyAlignment="1">
      <alignment vertical="top" wrapText="1"/>
      <protection/>
    </xf>
    <xf numFmtId="0" fontId="24" fillId="0" borderId="0" xfId="0" applyFont="1" applyAlignment="1">
      <alignment vertical="top" wrapText="1"/>
    </xf>
    <xf numFmtId="0" fontId="11" fillId="0" borderId="0" xfId="61" applyFont="1" applyAlignment="1">
      <alignment vertical="top"/>
      <protection/>
    </xf>
    <xf numFmtId="0" fontId="24" fillId="34" borderId="0" xfId="61" applyFont="1" applyFill="1" applyAlignment="1">
      <alignment vertical="top"/>
      <protection/>
    </xf>
    <xf numFmtId="0" fontId="5" fillId="0" borderId="10" xfId="61" applyFont="1" applyBorder="1" applyAlignment="1">
      <alignment horizontal="left" vertical="top" wrapText="1"/>
      <protection/>
    </xf>
    <xf numFmtId="0" fontId="4" fillId="0" borderId="0" xfId="61" applyFont="1" applyAlignment="1">
      <alignment vertical="top"/>
      <protection/>
    </xf>
    <xf numFmtId="0" fontId="10" fillId="0" borderId="0" xfId="61" applyFont="1" applyBorder="1" applyAlignment="1">
      <alignment vertical="top"/>
      <protection/>
    </xf>
    <xf numFmtId="0" fontId="11" fillId="0" borderId="10" xfId="61" applyFont="1" applyBorder="1" applyAlignment="1">
      <alignment vertical="top" wrapText="1"/>
      <protection/>
    </xf>
    <xf numFmtId="205" fontId="10" fillId="0" borderId="0" xfId="46" applyNumberFormat="1" applyFont="1" applyAlignment="1">
      <alignment/>
    </xf>
    <xf numFmtId="205" fontId="5" fillId="0" borderId="13" xfId="61" applyNumberFormat="1" applyFont="1" applyBorder="1" applyAlignment="1">
      <alignment horizontal="right" vertical="center"/>
      <protection/>
    </xf>
    <xf numFmtId="205" fontId="11" fillId="0" borderId="15" xfId="61" applyNumberFormat="1" applyFont="1" applyBorder="1" applyAlignment="1">
      <alignment vertical="center"/>
      <protection/>
    </xf>
    <xf numFmtId="205" fontId="11" fillId="0" borderId="0" xfId="46" applyNumberFormat="1" applyFont="1" applyBorder="1" applyAlignment="1">
      <alignment horizontal="right" vertical="center"/>
    </xf>
    <xf numFmtId="205" fontId="11" fillId="0" borderId="10" xfId="46" applyNumberFormat="1" applyFont="1" applyBorder="1" applyAlignment="1">
      <alignment vertical="center"/>
    </xf>
    <xf numFmtId="205" fontId="11" fillId="0" borderId="0" xfId="46" applyNumberFormat="1" applyFont="1" applyBorder="1" applyAlignment="1">
      <alignment vertical="center"/>
    </xf>
    <xf numFmtId="205" fontId="0" fillId="0" borderId="0" xfId="0" applyNumberFormat="1" applyAlignment="1">
      <alignment/>
    </xf>
    <xf numFmtId="205" fontId="1" fillId="0" borderId="0" xfId="0" applyNumberFormat="1" applyFont="1" applyAlignment="1">
      <alignment/>
    </xf>
    <xf numFmtId="205" fontId="10" fillId="0" borderId="0" xfId="61" applyNumberFormat="1" applyFont="1">
      <alignment/>
      <protection/>
    </xf>
    <xf numFmtId="205" fontId="5" fillId="0" borderId="13" xfId="46" applyNumberFormat="1" applyFont="1" applyBorder="1" applyAlignment="1">
      <alignment horizontal="right" vertical="center"/>
    </xf>
    <xf numFmtId="205" fontId="11" fillId="0" borderId="15" xfId="46" applyNumberFormat="1" applyFont="1" applyBorder="1" applyAlignment="1">
      <alignment vertical="center"/>
    </xf>
    <xf numFmtId="205" fontId="11" fillId="0" borderId="0" xfId="61" applyNumberFormat="1" applyFont="1" applyBorder="1" applyAlignment="1">
      <alignment horizontal="right" vertical="center"/>
      <protection/>
    </xf>
    <xf numFmtId="205" fontId="0" fillId="0" borderId="0" xfId="0" applyNumberFormat="1" applyFont="1" applyAlignment="1">
      <alignment/>
    </xf>
    <xf numFmtId="205" fontId="7" fillId="0" borderId="0" xfId="61" applyNumberFormat="1" applyFont="1">
      <alignment/>
      <protection/>
    </xf>
    <xf numFmtId="205" fontId="7" fillId="0" borderId="0" xfId="61" applyNumberFormat="1" applyFont="1" applyAlignment="1">
      <alignment horizontal="right"/>
      <protection/>
    </xf>
    <xf numFmtId="205" fontId="5" fillId="0" borderId="15" xfId="61" applyNumberFormat="1" applyFont="1" applyBorder="1" applyAlignment="1">
      <alignment vertical="center"/>
      <protection/>
    </xf>
    <xf numFmtId="205" fontId="5" fillId="0" borderId="0" xfId="61" applyNumberFormat="1" applyFont="1" applyBorder="1" applyAlignment="1">
      <alignment vertical="center"/>
      <protection/>
    </xf>
    <xf numFmtId="205" fontId="5" fillId="0" borderId="10" xfId="61" applyNumberFormat="1" applyFont="1" applyBorder="1" applyAlignment="1">
      <alignment vertical="center"/>
      <protection/>
    </xf>
    <xf numFmtId="204" fontId="11" fillId="0" borderId="11" xfId="46" applyNumberFormat="1" applyFont="1" applyBorder="1" applyAlignment="1">
      <alignment horizontal="right" vertical="center"/>
    </xf>
    <xf numFmtId="205" fontId="11" fillId="0" borderId="11" xfId="46" applyNumberFormat="1" applyFont="1" applyBorder="1" applyAlignment="1">
      <alignment horizontal="right" vertical="center"/>
    </xf>
    <xf numFmtId="204" fontId="5" fillId="0" borderId="11" xfId="61" applyNumberFormat="1" applyFont="1" applyBorder="1" applyAlignment="1">
      <alignment vertical="center"/>
      <protection/>
    </xf>
    <xf numFmtId="203" fontId="4" fillId="0" borderId="0" xfId="45" applyNumberFormat="1" applyFont="1" applyAlignment="1">
      <alignment/>
    </xf>
    <xf numFmtId="203" fontId="5" fillId="0" borderId="13" xfId="45" applyNumberFormat="1" applyFont="1" applyBorder="1" applyAlignment="1">
      <alignment horizontal="right"/>
    </xf>
    <xf numFmtId="203" fontId="12" fillId="0" borderId="0" xfId="45" applyNumberFormat="1" applyFont="1" applyBorder="1" applyAlignment="1">
      <alignment/>
    </xf>
    <xf numFmtId="203" fontId="5" fillId="0" borderId="13" xfId="60" applyNumberFormat="1" applyFont="1" applyBorder="1" applyAlignment="1">
      <alignment horizontal="center"/>
      <protection/>
    </xf>
    <xf numFmtId="203" fontId="12" fillId="0" borderId="0" xfId="60" applyNumberFormat="1" applyFont="1">
      <alignment/>
      <protection/>
    </xf>
    <xf numFmtId="203" fontId="0" fillId="0" borderId="0" xfId="0" applyNumberFormat="1" applyAlignment="1">
      <alignment/>
    </xf>
    <xf numFmtId="203" fontId="12" fillId="0" borderId="0" xfId="45" applyNumberFormat="1" applyFont="1" applyAlignment="1">
      <alignment/>
    </xf>
    <xf numFmtId="205" fontId="7" fillId="0" borderId="0" xfId="60" applyNumberFormat="1" applyFont="1" applyAlignment="1">
      <alignment horizontal="right"/>
      <protection/>
    </xf>
    <xf numFmtId="205" fontId="5" fillId="0" borderId="13" xfId="45" applyNumberFormat="1" applyFont="1" applyBorder="1" applyAlignment="1">
      <alignment horizontal="right"/>
    </xf>
    <xf numFmtId="205" fontId="12" fillId="0" borderId="0" xfId="45" applyNumberFormat="1" applyFont="1" applyBorder="1" applyAlignment="1">
      <alignment/>
    </xf>
    <xf numFmtId="205" fontId="5" fillId="0" borderId="10" xfId="45" applyNumberFormat="1" applyFont="1" applyBorder="1" applyAlignment="1">
      <alignment horizontal="center"/>
    </xf>
    <xf numFmtId="205" fontId="5" fillId="0" borderId="0" xfId="45" applyNumberFormat="1" applyFont="1" applyBorder="1" applyAlignment="1">
      <alignment horizontal="center"/>
    </xf>
    <xf numFmtId="205" fontId="12" fillId="0" borderId="0" xfId="60" applyNumberFormat="1" applyFont="1">
      <alignment/>
      <protection/>
    </xf>
    <xf numFmtId="205" fontId="4" fillId="0" borderId="0" xfId="60" applyNumberFormat="1" applyFont="1">
      <alignment/>
      <protection/>
    </xf>
    <xf numFmtId="0" fontId="13" fillId="0" borderId="0" xfId="60" applyFont="1" applyBorder="1">
      <alignment/>
      <protection/>
    </xf>
    <xf numFmtId="205" fontId="5" fillId="0" borderId="13" xfId="60" applyNumberFormat="1" applyFont="1" applyBorder="1" applyAlignment="1">
      <alignment horizontal="center"/>
      <protection/>
    </xf>
    <xf numFmtId="205" fontId="4" fillId="0" borderId="0" xfId="45" applyNumberFormat="1" applyFont="1" applyAlignment="1">
      <alignment/>
    </xf>
    <xf numFmtId="205" fontId="5" fillId="0" borderId="0" xfId="60" applyNumberFormat="1" applyFont="1" applyBorder="1" applyAlignment="1">
      <alignment horizontal="center"/>
      <protection/>
    </xf>
    <xf numFmtId="205" fontId="12" fillId="0" borderId="0" xfId="45" applyNumberFormat="1" applyFont="1" applyFill="1" applyAlignment="1">
      <alignment/>
    </xf>
    <xf numFmtId="0" fontId="0" fillId="0" borderId="10" xfId="0" applyBorder="1" applyAlignment="1">
      <alignment/>
    </xf>
    <xf numFmtId="0" fontId="13" fillId="0" borderId="10" xfId="60" applyFont="1" applyBorder="1">
      <alignment/>
      <protection/>
    </xf>
    <xf numFmtId="205" fontId="0" fillId="0" borderId="0" xfId="0" applyNumberFormat="1" applyFont="1" applyAlignment="1">
      <alignment/>
    </xf>
    <xf numFmtId="0" fontId="11" fillId="0" borderId="0" xfId="60" applyFont="1" applyFill="1" applyBorder="1" applyAlignment="1">
      <alignment horizontal="left" vertical="top" wrapText="1"/>
      <protection/>
    </xf>
    <xf numFmtId="205" fontId="20" fillId="0" borderId="13" xfId="45" applyNumberFormat="1" applyFont="1" applyBorder="1" applyAlignment="1">
      <alignment horizontal="right"/>
    </xf>
    <xf numFmtId="205" fontId="14" fillId="0" borderId="0" xfId="45" applyNumberFormat="1" applyFont="1" applyBorder="1" applyAlignment="1">
      <alignment/>
    </xf>
    <xf numFmtId="205" fontId="11" fillId="0" borderId="0" xfId="45" applyNumberFormat="1" applyFont="1" applyBorder="1" applyAlignment="1">
      <alignment horizontal="right"/>
    </xf>
    <xf numFmtId="205" fontId="1" fillId="0" borderId="0" xfId="42" applyNumberFormat="1" applyFont="1" applyAlignment="1">
      <alignment/>
    </xf>
    <xf numFmtId="205" fontId="5" fillId="0" borderId="0" xfId="60" applyNumberFormat="1" applyFont="1">
      <alignment/>
      <protection/>
    </xf>
    <xf numFmtId="205" fontId="13" fillId="0" borderId="0" xfId="45" applyNumberFormat="1" applyFont="1" applyBorder="1" applyAlignment="1">
      <alignment horizontal="center"/>
    </xf>
    <xf numFmtId="205" fontId="16" fillId="0" borderId="10" xfId="45" applyNumberFormat="1" applyFont="1" applyBorder="1" applyAlignment="1">
      <alignment horizontal="center"/>
    </xf>
    <xf numFmtId="205" fontId="7" fillId="0" borderId="0" xfId="60" applyNumberFormat="1" applyFont="1" applyFill="1">
      <alignment/>
      <protection/>
    </xf>
    <xf numFmtId="205" fontId="7" fillId="0" borderId="0" xfId="0" applyNumberFormat="1" applyFont="1" applyAlignment="1">
      <alignment horizontal="right"/>
    </xf>
    <xf numFmtId="205" fontId="26" fillId="0" borderId="12" xfId="45" applyNumberFormat="1" applyFont="1" applyBorder="1" applyAlignment="1">
      <alignment horizontal="center"/>
    </xf>
    <xf numFmtId="205" fontId="7" fillId="0" borderId="0" xfId="60" applyNumberFormat="1" applyFont="1" applyBorder="1">
      <alignment/>
      <protection/>
    </xf>
    <xf numFmtId="205" fontId="5" fillId="0" borderId="12" xfId="60" applyNumberFormat="1" applyFont="1" applyBorder="1">
      <alignment/>
      <protection/>
    </xf>
    <xf numFmtId="205" fontId="7" fillId="0" borderId="0" xfId="60" applyNumberFormat="1" applyFont="1" applyBorder="1">
      <alignment/>
      <protection/>
    </xf>
    <xf numFmtId="205" fontId="7" fillId="0" borderId="0" xfId="60" applyNumberFormat="1" applyFont="1" applyAlignment="1">
      <alignment horizontal="right"/>
      <protection/>
    </xf>
    <xf numFmtId="205" fontId="7" fillId="0" borderId="16" xfId="60" applyNumberFormat="1" applyFont="1" applyBorder="1" applyAlignment="1">
      <alignment horizontal="right"/>
      <protection/>
    </xf>
    <xf numFmtId="205" fontId="11" fillId="0" borderId="0" xfId="60" applyNumberFormat="1" applyFont="1" applyBorder="1" applyAlignment="1">
      <alignment horizontal="center"/>
      <protection/>
    </xf>
    <xf numFmtId="205" fontId="11" fillId="0" borderId="11" xfId="60" applyNumberFormat="1" applyFont="1" applyBorder="1" applyAlignment="1">
      <alignment horizontal="center"/>
      <protection/>
    </xf>
    <xf numFmtId="205" fontId="5" fillId="0" borderId="13" xfId="60" applyNumberFormat="1" applyFont="1" applyBorder="1" applyAlignment="1">
      <alignment horizontal="right"/>
      <protection/>
    </xf>
    <xf numFmtId="205" fontId="5" fillId="0" borderId="0" xfId="60" applyNumberFormat="1" applyFont="1" applyBorder="1" applyAlignment="1">
      <alignment horizontal="right"/>
      <protection/>
    </xf>
    <xf numFmtId="205" fontId="23" fillId="0" borderId="0" xfId="0" applyNumberFormat="1" applyFont="1" applyAlignment="1">
      <alignment/>
    </xf>
    <xf numFmtId="205" fontId="10" fillId="0" borderId="0" xfId="60" applyNumberFormat="1" applyFont="1">
      <alignment/>
      <protection/>
    </xf>
    <xf numFmtId="205" fontId="5" fillId="0" borderId="0" xfId="42" applyNumberFormat="1" applyFont="1" applyBorder="1" applyAlignment="1">
      <alignment horizontal="center"/>
    </xf>
    <xf numFmtId="205" fontId="26" fillId="0" borderId="18" xfId="45" applyNumberFormat="1" applyFont="1" applyBorder="1" applyAlignment="1">
      <alignment horizontal="center" textRotation="78" wrapText="1"/>
    </xf>
    <xf numFmtId="205" fontId="4" fillId="0" borderId="0" xfId="60" applyNumberFormat="1">
      <alignment/>
      <protection/>
    </xf>
    <xf numFmtId="205" fontId="5" fillId="0" borderId="11" xfId="45" applyNumberFormat="1" applyFont="1" applyBorder="1" applyAlignment="1">
      <alignment horizontal="center"/>
    </xf>
    <xf numFmtId="0" fontId="0" fillId="0" borderId="0" xfId="0" applyAlignment="1">
      <alignment vertical="top"/>
    </xf>
    <xf numFmtId="208" fontId="10" fillId="0" borderId="0" xfId="42" applyNumberFormat="1" applyFont="1" applyBorder="1" applyAlignment="1">
      <alignment horizontal="right"/>
    </xf>
    <xf numFmtId="0" fontId="7" fillId="0" borderId="0" xfId="60" applyFont="1" applyBorder="1" applyAlignment="1">
      <alignment horizontal="right"/>
      <protection/>
    </xf>
    <xf numFmtId="205" fontId="7" fillId="0" borderId="0" xfId="60" applyNumberFormat="1" applyFont="1" applyBorder="1" applyAlignment="1">
      <alignment horizontal="right"/>
      <protection/>
    </xf>
    <xf numFmtId="1" fontId="5" fillId="0" borderId="16" xfId="45" applyNumberFormat="1" applyFont="1" applyBorder="1" applyAlignment="1">
      <alignment horizontal="right"/>
    </xf>
    <xf numFmtId="0" fontId="5" fillId="0" borderId="0" xfId="60" applyFont="1" applyAlignment="1">
      <alignment vertical="top"/>
      <protection/>
    </xf>
    <xf numFmtId="205" fontId="5" fillId="0" borderId="0" xfId="60" applyNumberFormat="1" applyFont="1" applyAlignment="1">
      <alignment vertical="top"/>
      <protection/>
    </xf>
    <xf numFmtId="0" fontId="12" fillId="0" borderId="0" xfId="60" applyFont="1" applyAlignment="1">
      <alignment vertical="top"/>
      <protection/>
    </xf>
    <xf numFmtId="204" fontId="4" fillId="0" borderId="0" xfId="45" applyNumberFormat="1" applyFont="1" applyAlignment="1">
      <alignment horizontal="center" vertical="top"/>
    </xf>
    <xf numFmtId="0" fontId="0" fillId="0" borderId="12" xfId="0" applyFont="1" applyBorder="1" applyAlignment="1">
      <alignment vertical="top"/>
    </xf>
    <xf numFmtId="205" fontId="0" fillId="0" borderId="12" xfId="0" applyNumberFormat="1" applyFont="1" applyBorder="1" applyAlignment="1">
      <alignment vertical="top"/>
    </xf>
    <xf numFmtId="204" fontId="5" fillId="0" borderId="0" xfId="45" applyNumberFormat="1" applyFont="1" applyBorder="1" applyAlignment="1">
      <alignment vertical="top"/>
    </xf>
    <xf numFmtId="204" fontId="4" fillId="0" borderId="0" xfId="45" applyNumberFormat="1" applyFont="1" applyAlignment="1">
      <alignment vertical="top"/>
    </xf>
    <xf numFmtId="205" fontId="4" fillId="0" borderId="0" xfId="45" applyNumberFormat="1" applyFont="1" applyAlignment="1">
      <alignment vertical="top"/>
    </xf>
    <xf numFmtId="204" fontId="5" fillId="0" borderId="13" xfId="45" applyNumberFormat="1" applyFont="1" applyBorder="1" applyAlignment="1">
      <alignment horizontal="center" vertical="top"/>
    </xf>
    <xf numFmtId="0" fontId="0" fillId="0" borderId="0" xfId="0" applyFont="1" applyAlignment="1">
      <alignment vertical="top"/>
    </xf>
    <xf numFmtId="205" fontId="0" fillId="0" borderId="0" xfId="0" applyNumberFormat="1" applyFont="1" applyAlignment="1">
      <alignment vertical="top"/>
    </xf>
    <xf numFmtId="205" fontId="4" fillId="0" borderId="0" xfId="60" applyNumberFormat="1" applyFont="1" applyAlignment="1">
      <alignment vertical="top"/>
      <protection/>
    </xf>
    <xf numFmtId="205" fontId="7" fillId="0" borderId="0" xfId="60" applyNumberFormat="1" applyFont="1" applyAlignment="1">
      <alignment horizontal="right" vertical="top"/>
      <protection/>
    </xf>
    <xf numFmtId="205" fontId="5" fillId="0" borderId="0" xfId="45" applyNumberFormat="1" applyFont="1" applyBorder="1" applyAlignment="1">
      <alignment vertical="top"/>
    </xf>
    <xf numFmtId="0" fontId="7" fillId="0" borderId="13" xfId="60" applyFont="1" applyBorder="1" applyAlignment="1">
      <alignment vertical="top"/>
      <protection/>
    </xf>
    <xf numFmtId="0" fontId="11" fillId="0" borderId="13" xfId="60" applyFont="1" applyBorder="1" applyAlignment="1">
      <alignment horizontal="left" vertical="top"/>
      <protection/>
    </xf>
    <xf numFmtId="0" fontId="5" fillId="0" borderId="13" xfId="60" applyFont="1" applyBorder="1" applyAlignment="1">
      <alignment horizontal="center" vertical="top"/>
      <protection/>
    </xf>
    <xf numFmtId="205" fontId="11" fillId="0" borderId="11" xfId="45" applyNumberFormat="1" applyFont="1" applyBorder="1" applyAlignment="1">
      <alignment horizontal="right"/>
    </xf>
    <xf numFmtId="205" fontId="11" fillId="0" borderId="0" xfId="45" applyNumberFormat="1" applyFont="1" applyBorder="1" applyAlignment="1">
      <alignment/>
    </xf>
    <xf numFmtId="205" fontId="11" fillId="0" borderId="0" xfId="60" applyNumberFormat="1" applyFont="1" applyBorder="1" applyAlignment="1">
      <alignment horizontal="right"/>
      <protection/>
    </xf>
    <xf numFmtId="203" fontId="11" fillId="0" borderId="0" xfId="45" applyNumberFormat="1" applyFont="1" applyBorder="1" applyAlignment="1">
      <alignment horizontal="right"/>
    </xf>
    <xf numFmtId="204" fontId="0" fillId="0" borderId="0" xfId="0" applyNumberFormat="1" applyFont="1" applyBorder="1" applyAlignment="1">
      <alignment/>
    </xf>
    <xf numFmtId="205" fontId="13" fillId="0" borderId="0" xfId="45" applyNumberFormat="1" applyFont="1" applyAlignment="1">
      <alignment/>
    </xf>
    <xf numFmtId="205" fontId="7" fillId="0" borderId="0" xfId="68" applyNumberFormat="1" applyFont="1" applyBorder="1" applyAlignment="1">
      <alignment horizontal="right"/>
      <protection/>
    </xf>
    <xf numFmtId="205" fontId="7" fillId="0" borderId="11" xfId="68" applyNumberFormat="1" applyFont="1" applyBorder="1" applyAlignment="1">
      <alignment horizontal="right"/>
      <protection/>
    </xf>
    <xf numFmtId="205" fontId="7" fillId="0" borderId="0" xfId="68" applyNumberFormat="1" applyFont="1" applyBorder="1">
      <alignment/>
      <protection/>
    </xf>
    <xf numFmtId="205" fontId="18" fillId="0" borderId="0" xfId="42" applyNumberFormat="1" applyFont="1" applyAlignment="1">
      <alignment/>
    </xf>
    <xf numFmtId="205" fontId="10" fillId="0" borderId="0" xfId="68" applyNumberFormat="1" applyFont="1">
      <alignment/>
      <protection/>
    </xf>
    <xf numFmtId="204" fontId="7" fillId="0" borderId="19" xfId="68" applyNumberFormat="1" applyFont="1" applyBorder="1" applyAlignment="1">
      <alignment horizontal="right"/>
      <protection/>
    </xf>
    <xf numFmtId="204" fontId="7" fillId="0" borderId="20" xfId="68" applyNumberFormat="1" applyFont="1" applyBorder="1" applyAlignment="1">
      <alignment horizontal="right"/>
      <protection/>
    </xf>
    <xf numFmtId="205" fontId="7" fillId="0" borderId="21" xfId="68" applyNumberFormat="1" applyFont="1" applyBorder="1" applyAlignment="1">
      <alignment horizontal="right"/>
      <protection/>
    </xf>
    <xf numFmtId="205" fontId="7" fillId="0" borderId="22" xfId="68" applyNumberFormat="1" applyFont="1" applyBorder="1" applyAlignment="1">
      <alignment horizontal="right"/>
      <protection/>
    </xf>
    <xf numFmtId="205" fontId="5" fillId="0" borderId="0" xfId="60" applyNumberFormat="1" applyFont="1" applyFill="1" applyAlignment="1">
      <alignment horizontal="right"/>
      <protection/>
    </xf>
    <xf numFmtId="205" fontId="11" fillId="0" borderId="10" xfId="45" applyNumberFormat="1" applyFont="1" applyBorder="1" applyAlignment="1">
      <alignment horizontal="right"/>
    </xf>
    <xf numFmtId="205" fontId="30" fillId="0" borderId="0" xfId="0" applyNumberFormat="1" applyFont="1" applyAlignment="1">
      <alignment/>
    </xf>
    <xf numFmtId="203" fontId="10" fillId="0" borderId="0" xfId="45" applyNumberFormat="1" applyFont="1" applyBorder="1" applyAlignment="1">
      <alignment/>
    </xf>
    <xf numFmtId="0" fontId="0" fillId="0" borderId="0" xfId="0" applyFont="1" applyBorder="1" applyAlignment="1">
      <alignment/>
    </xf>
    <xf numFmtId="0" fontId="13" fillId="0" borderId="11" xfId="60" applyFont="1" applyBorder="1">
      <alignment/>
      <protection/>
    </xf>
    <xf numFmtId="205" fontId="1" fillId="0" borderId="0" xfId="45" applyNumberFormat="1" applyFont="1" applyAlignment="1">
      <alignment/>
    </xf>
    <xf numFmtId="203" fontId="7" fillId="0" borderId="0" xfId="68" applyNumberFormat="1" applyFont="1" applyBorder="1" applyAlignment="1">
      <alignment horizontal="right"/>
      <protection/>
    </xf>
    <xf numFmtId="203" fontId="7" fillId="0" borderId="11" xfId="68" applyNumberFormat="1" applyFont="1" applyBorder="1" applyAlignment="1">
      <alignment horizontal="right"/>
      <protection/>
    </xf>
    <xf numFmtId="203" fontId="7" fillId="0" borderId="0" xfId="68" applyNumberFormat="1" applyFont="1" applyBorder="1">
      <alignment/>
      <protection/>
    </xf>
    <xf numFmtId="203" fontId="18" fillId="0" borderId="0" xfId="42" applyNumberFormat="1" applyFont="1" applyAlignment="1">
      <alignment/>
    </xf>
    <xf numFmtId="203" fontId="10" fillId="0" borderId="0" xfId="68" applyNumberFormat="1" applyFont="1">
      <alignment/>
      <protection/>
    </xf>
    <xf numFmtId="203" fontId="0" fillId="0" borderId="0" xfId="0" applyNumberFormat="1" applyFont="1" applyAlignment="1">
      <alignment/>
    </xf>
    <xf numFmtId="203" fontId="7" fillId="0" borderId="21" xfId="68" applyNumberFormat="1" applyFont="1" applyBorder="1" applyAlignment="1">
      <alignment horizontal="right"/>
      <protection/>
    </xf>
    <xf numFmtId="204" fontId="7" fillId="0" borderId="21" xfId="68" applyNumberFormat="1" applyFont="1" applyBorder="1" applyAlignment="1">
      <alignment horizontal="right"/>
      <protection/>
    </xf>
    <xf numFmtId="204" fontId="7" fillId="0" borderId="22" xfId="68" applyNumberFormat="1" applyFont="1" applyBorder="1" applyAlignment="1">
      <alignment horizontal="right"/>
      <protection/>
    </xf>
    <xf numFmtId="1" fontId="5" fillId="0" borderId="0" xfId="45" applyNumberFormat="1" applyFont="1" applyBorder="1" applyAlignment="1">
      <alignment horizontal="right"/>
    </xf>
    <xf numFmtId="203" fontId="11" fillId="0" borderId="0" xfId="45" applyNumberFormat="1" applyFont="1" applyBorder="1" applyAlignment="1">
      <alignment/>
    </xf>
    <xf numFmtId="204" fontId="7" fillId="0" borderId="23" xfId="60" applyNumberFormat="1" applyFont="1" applyBorder="1">
      <alignment/>
      <protection/>
    </xf>
    <xf numFmtId="205" fontId="7" fillId="0" borderId="0" xfId="60" applyNumberFormat="1" applyFont="1" applyAlignment="1">
      <alignment/>
      <protection/>
    </xf>
    <xf numFmtId="205" fontId="5" fillId="0" borderId="12" xfId="46" applyNumberFormat="1" applyFont="1" applyBorder="1" applyAlignment="1">
      <alignment vertical="center"/>
    </xf>
    <xf numFmtId="205" fontId="7" fillId="0" borderId="0" xfId="46" applyNumberFormat="1" applyFont="1" applyBorder="1" applyAlignment="1">
      <alignment/>
    </xf>
    <xf numFmtId="205" fontId="5" fillId="0" borderId="0" xfId="46" applyNumberFormat="1" applyFont="1" applyBorder="1" applyAlignment="1">
      <alignment/>
    </xf>
    <xf numFmtId="205" fontId="5" fillId="0" borderId="14" xfId="46" applyNumberFormat="1" applyFont="1" applyBorder="1" applyAlignment="1">
      <alignment vertical="center"/>
    </xf>
    <xf numFmtId="205" fontId="10" fillId="0" borderId="0" xfId="60" applyNumberFormat="1" applyFont="1" applyAlignment="1">
      <alignment/>
      <protection/>
    </xf>
    <xf numFmtId="205" fontId="7" fillId="0" borderId="0" xfId="60" applyNumberFormat="1" applyFont="1" applyBorder="1" applyAlignment="1">
      <alignment vertical="center"/>
      <protection/>
    </xf>
    <xf numFmtId="205" fontId="7" fillId="0" borderId="0" xfId="60" applyNumberFormat="1" applyFont="1" applyBorder="1" applyAlignment="1">
      <alignment/>
      <protection/>
    </xf>
    <xf numFmtId="205" fontId="0" fillId="0" borderId="0" xfId="0" applyNumberFormat="1" applyAlignment="1">
      <alignment/>
    </xf>
    <xf numFmtId="205" fontId="4" fillId="0" borderId="0" xfId="60" applyNumberFormat="1" applyAlignment="1">
      <alignment/>
      <protection/>
    </xf>
    <xf numFmtId="205" fontId="10" fillId="0" borderId="0" xfId="46" applyNumberFormat="1" applyFont="1" applyAlignment="1">
      <alignment/>
    </xf>
    <xf numFmtId="205" fontId="5" fillId="0" borderId="11" xfId="46" applyNumberFormat="1" applyFont="1" applyBorder="1" applyAlignment="1">
      <alignment/>
    </xf>
    <xf numFmtId="205" fontId="16" fillId="0" borderId="0" xfId="46" applyNumberFormat="1" applyFont="1" applyBorder="1" applyAlignment="1">
      <alignment vertical="center"/>
    </xf>
    <xf numFmtId="205" fontId="4" fillId="0" borderId="0" xfId="46" applyNumberFormat="1" applyFont="1" applyAlignment="1">
      <alignment/>
    </xf>
    <xf numFmtId="203" fontId="5" fillId="0" borderId="11" xfId="46" applyNumberFormat="1" applyFont="1" applyBorder="1" applyAlignment="1">
      <alignment/>
    </xf>
    <xf numFmtId="205" fontId="7" fillId="0" borderId="0" xfId="46" applyNumberFormat="1" applyFont="1" applyFill="1" applyBorder="1" applyAlignment="1">
      <alignment/>
    </xf>
    <xf numFmtId="203" fontId="5" fillId="0" borderId="0" xfId="60" applyNumberFormat="1" applyFont="1" applyBorder="1">
      <alignment/>
      <protection/>
    </xf>
    <xf numFmtId="203" fontId="5" fillId="0" borderId="11" xfId="60" applyNumberFormat="1" applyFont="1" applyBorder="1">
      <alignment/>
      <protection/>
    </xf>
    <xf numFmtId="208" fontId="6" fillId="0" borderId="0" xfId="42" applyNumberFormat="1" applyFont="1" applyAlignment="1">
      <alignment/>
    </xf>
    <xf numFmtId="208" fontId="7" fillId="0" borderId="0" xfId="42" applyNumberFormat="1" applyFont="1" applyBorder="1" applyAlignment="1">
      <alignment/>
    </xf>
    <xf numFmtId="208" fontId="11" fillId="0" borderId="0" xfId="42" applyNumberFormat="1" applyFont="1" applyBorder="1" applyAlignment="1">
      <alignment horizontal="right"/>
    </xf>
    <xf numFmtId="208" fontId="11" fillId="0" borderId="11" xfId="42" applyNumberFormat="1" applyFont="1" applyBorder="1" applyAlignment="1">
      <alignment horizontal="right"/>
    </xf>
    <xf numFmtId="208" fontId="10" fillId="0" borderId="0" xfId="42" applyNumberFormat="1" applyFont="1" applyBorder="1" applyAlignment="1">
      <alignment/>
    </xf>
    <xf numFmtId="208" fontId="10" fillId="0" borderId="0" xfId="42" applyNumberFormat="1" applyFont="1" applyAlignment="1">
      <alignment/>
    </xf>
    <xf numFmtId="208" fontId="12" fillId="0" borderId="0" xfId="42" applyNumberFormat="1" applyFont="1" applyAlignment="1">
      <alignment/>
    </xf>
    <xf numFmtId="208" fontId="11" fillId="0" borderId="0" xfId="42" applyNumberFormat="1" applyFont="1" applyBorder="1" applyAlignment="1">
      <alignment/>
    </xf>
    <xf numFmtId="208" fontId="6" fillId="0" borderId="0" xfId="42" applyNumberFormat="1" applyFont="1" applyAlignment="1">
      <alignment horizontal="right"/>
    </xf>
    <xf numFmtId="208" fontId="12" fillId="0" borderId="0" xfId="42" applyNumberFormat="1" applyFont="1" applyAlignment="1">
      <alignment horizontal="right"/>
    </xf>
    <xf numFmtId="208" fontId="10" fillId="0" borderId="0" xfId="42" applyNumberFormat="1" applyFont="1" applyAlignment="1">
      <alignment horizontal="right"/>
    </xf>
    <xf numFmtId="208" fontId="5" fillId="0" borderId="0" xfId="42" applyNumberFormat="1" applyFont="1" applyBorder="1" applyAlignment="1">
      <alignment horizontal="right"/>
    </xf>
    <xf numFmtId="208" fontId="5" fillId="0" borderId="11" xfId="42" applyNumberFormat="1" applyFont="1" applyBorder="1" applyAlignment="1">
      <alignment horizontal="right"/>
    </xf>
    <xf numFmtId="205" fontId="0" fillId="0" borderId="0" xfId="0" applyNumberFormat="1" applyFont="1" applyAlignment="1">
      <alignment/>
    </xf>
    <xf numFmtId="205" fontId="4" fillId="0" borderId="0" xfId="60" applyNumberFormat="1" applyFont="1" applyAlignment="1">
      <alignment/>
      <protection/>
    </xf>
    <xf numFmtId="205" fontId="11" fillId="0" borderId="0" xfId="60" applyNumberFormat="1" applyFont="1" applyBorder="1" applyAlignment="1">
      <alignment/>
      <protection/>
    </xf>
    <xf numFmtId="205" fontId="11" fillId="0" borderId="11" xfId="60" applyNumberFormat="1" applyFont="1" applyBorder="1" applyAlignment="1">
      <alignment/>
      <protection/>
    </xf>
    <xf numFmtId="0" fontId="11" fillId="0" borderId="0" xfId="60" applyFont="1" applyBorder="1" applyAlignment="1">
      <alignment/>
      <protection/>
    </xf>
    <xf numFmtId="0" fontId="11" fillId="0" borderId="11" xfId="60" applyFont="1" applyBorder="1" applyAlignment="1">
      <alignment/>
      <protection/>
    </xf>
    <xf numFmtId="0" fontId="0" fillId="0" borderId="0" xfId="0" applyFont="1" applyAlignment="1">
      <alignment/>
    </xf>
    <xf numFmtId="0" fontId="11" fillId="0" borderId="0" xfId="60" applyFont="1" applyBorder="1" applyAlignment="1">
      <alignment horizontal="right"/>
      <protection/>
    </xf>
    <xf numFmtId="0" fontId="11" fillId="0" borderId="11" xfId="60" applyFont="1" applyBorder="1" applyAlignment="1">
      <alignment horizontal="right"/>
      <protection/>
    </xf>
    <xf numFmtId="205" fontId="11" fillId="0" borderId="11" xfId="60" applyNumberFormat="1" applyFont="1" applyBorder="1" applyAlignment="1">
      <alignment horizontal="right"/>
      <protection/>
    </xf>
    <xf numFmtId="0" fontId="0" fillId="0" borderId="0" xfId="0" applyFont="1" applyAlignment="1">
      <alignment horizontal="right"/>
    </xf>
    <xf numFmtId="205" fontId="0" fillId="0" borderId="0" xfId="0" applyNumberFormat="1" applyFont="1" applyAlignment="1">
      <alignment horizontal="right"/>
    </xf>
    <xf numFmtId="204" fontId="5" fillId="0" borderId="0" xfId="45" applyNumberFormat="1" applyFont="1" applyBorder="1" applyAlignment="1">
      <alignment/>
    </xf>
    <xf numFmtId="204" fontId="5" fillId="0" borderId="11" xfId="45" applyNumberFormat="1" applyFont="1" applyBorder="1" applyAlignment="1">
      <alignment/>
    </xf>
    <xf numFmtId="203" fontId="5" fillId="0" borderId="0" xfId="45" applyNumberFormat="1" applyFont="1" applyBorder="1" applyAlignment="1">
      <alignment/>
    </xf>
    <xf numFmtId="203" fontId="5" fillId="0" borderId="11" xfId="45" applyNumberFormat="1" applyFont="1" applyBorder="1" applyAlignment="1">
      <alignment/>
    </xf>
    <xf numFmtId="203" fontId="11" fillId="0" borderId="11" xfId="45" applyNumberFormat="1" applyFont="1" applyBorder="1" applyAlignment="1">
      <alignment horizontal="right"/>
    </xf>
    <xf numFmtId="0" fontId="5" fillId="35" borderId="0" xfId="61" applyFont="1" applyFill="1" applyBorder="1">
      <alignment/>
      <protection/>
    </xf>
    <xf numFmtId="0" fontId="7" fillId="35" borderId="0" xfId="61" applyFont="1" applyFill="1" applyBorder="1" applyAlignment="1">
      <alignment horizontal="center"/>
      <protection/>
    </xf>
    <xf numFmtId="208" fontId="7" fillId="35" borderId="0" xfId="42" applyNumberFormat="1" applyFont="1" applyFill="1" applyBorder="1" applyAlignment="1">
      <alignment/>
    </xf>
    <xf numFmtId="0" fontId="7" fillId="35" borderId="0" xfId="61" applyFont="1" applyFill="1" applyBorder="1">
      <alignment/>
      <protection/>
    </xf>
    <xf numFmtId="204" fontId="7" fillId="35" borderId="0" xfId="45" applyNumberFormat="1" applyFont="1" applyFill="1" applyBorder="1" applyAlignment="1">
      <alignment horizontal="center"/>
    </xf>
    <xf numFmtId="208" fontId="7" fillId="35" borderId="0" xfId="42" applyNumberFormat="1" applyFont="1" applyFill="1" applyBorder="1" applyAlignment="1">
      <alignment horizontal="right"/>
    </xf>
    <xf numFmtId="204" fontId="7" fillId="35" borderId="0" xfId="45" applyNumberFormat="1" applyFont="1" applyFill="1" applyBorder="1" applyAlignment="1">
      <alignment/>
    </xf>
    <xf numFmtId="0" fontId="5" fillId="35" borderId="10" xfId="61" applyFont="1" applyFill="1" applyBorder="1">
      <alignment/>
      <protection/>
    </xf>
    <xf numFmtId="204" fontId="7" fillId="35" borderId="10" xfId="45" applyNumberFormat="1" applyFont="1" applyFill="1" applyBorder="1" applyAlignment="1">
      <alignment horizontal="center"/>
    </xf>
    <xf numFmtId="208" fontId="7" fillId="35" borderId="10" xfId="42" applyNumberFormat="1" applyFont="1" applyFill="1" applyBorder="1" applyAlignment="1">
      <alignment/>
    </xf>
    <xf numFmtId="204" fontId="7" fillId="35" borderId="10" xfId="45" applyNumberFormat="1" applyFont="1" applyFill="1" applyBorder="1" applyAlignment="1">
      <alignment/>
    </xf>
    <xf numFmtId="208" fontId="7" fillId="35" borderId="10" xfId="42" applyNumberFormat="1" applyFont="1" applyFill="1" applyBorder="1" applyAlignment="1">
      <alignment horizontal="right"/>
    </xf>
    <xf numFmtId="0" fontId="7" fillId="35" borderId="10" xfId="61" applyFont="1" applyFill="1" applyBorder="1" applyAlignment="1">
      <alignment horizontal="center"/>
      <protection/>
    </xf>
    <xf numFmtId="204" fontId="5" fillId="35" borderId="10" xfId="61" applyNumberFormat="1" applyFont="1" applyFill="1" applyBorder="1" applyAlignment="1">
      <alignment horizontal="center"/>
      <protection/>
    </xf>
    <xf numFmtId="208" fontId="5" fillId="35" borderId="10" xfId="42" applyNumberFormat="1" applyFont="1" applyFill="1" applyBorder="1" applyAlignment="1">
      <alignment horizontal="right"/>
    </xf>
    <xf numFmtId="204" fontId="7" fillId="35" borderId="0" xfId="45" applyNumberFormat="1" applyFont="1" applyFill="1" applyBorder="1" applyAlignment="1">
      <alignment horizontal="right"/>
    </xf>
    <xf numFmtId="204" fontId="5" fillId="35" borderId="0" xfId="61" applyNumberFormat="1" applyFont="1" applyFill="1" applyBorder="1" applyAlignment="1">
      <alignment horizontal="center"/>
      <protection/>
    </xf>
    <xf numFmtId="208" fontId="5" fillId="35" borderId="0" xfId="42" applyNumberFormat="1" applyFont="1" applyFill="1" applyBorder="1" applyAlignment="1">
      <alignment horizontal="right"/>
    </xf>
    <xf numFmtId="0" fontId="5" fillId="35" borderId="0" xfId="61" applyFont="1" applyFill="1" applyBorder="1" applyAlignment="1">
      <alignment vertical="center"/>
      <protection/>
    </xf>
    <xf numFmtId="0" fontId="7" fillId="35" borderId="0" xfId="61" applyFont="1" applyFill="1" applyBorder="1" applyAlignment="1">
      <alignment horizontal="right"/>
      <protection/>
    </xf>
    <xf numFmtId="204" fontId="7" fillId="35" borderId="10" xfId="45" applyNumberFormat="1" applyFont="1" applyFill="1" applyBorder="1" applyAlignment="1">
      <alignment horizontal="right"/>
    </xf>
    <xf numFmtId="0" fontId="7" fillId="35" borderId="10" xfId="61" applyFont="1" applyFill="1" applyBorder="1" applyAlignment="1">
      <alignment horizontal="right"/>
      <protection/>
    </xf>
    <xf numFmtId="204" fontId="11" fillId="35" borderId="0" xfId="45" applyNumberFormat="1" applyFont="1" applyFill="1" applyBorder="1" applyAlignment="1">
      <alignment horizontal="right"/>
    </xf>
    <xf numFmtId="208" fontId="11" fillId="35" borderId="0" xfId="42" applyNumberFormat="1" applyFont="1" applyFill="1" applyBorder="1" applyAlignment="1">
      <alignment horizontal="right"/>
    </xf>
    <xf numFmtId="203" fontId="11" fillId="35" borderId="0" xfId="45" applyNumberFormat="1" applyFont="1" applyFill="1" applyBorder="1" applyAlignment="1">
      <alignment horizontal="right"/>
    </xf>
    <xf numFmtId="0" fontId="5" fillId="36" borderId="13" xfId="61" applyFont="1" applyFill="1" applyBorder="1" applyAlignment="1">
      <alignment horizontal="center"/>
      <protection/>
    </xf>
    <xf numFmtId="0" fontId="0" fillId="36" borderId="13" xfId="0" applyFont="1" applyFill="1" applyBorder="1" applyAlignment="1">
      <alignment/>
    </xf>
    <xf numFmtId="0" fontId="0" fillId="36" borderId="13" xfId="0" applyFont="1" applyFill="1" applyBorder="1" applyAlignment="1">
      <alignment horizontal="right"/>
    </xf>
    <xf numFmtId="205" fontId="0" fillId="36" borderId="13" xfId="0" applyNumberFormat="1" applyFont="1" applyFill="1" applyBorder="1" applyAlignment="1">
      <alignment horizontal="right"/>
    </xf>
    <xf numFmtId="0" fontId="5" fillId="36" borderId="12" xfId="61" applyFont="1" applyFill="1" applyBorder="1" applyAlignment="1">
      <alignment horizontal="right" vertical="center"/>
      <protection/>
    </xf>
    <xf numFmtId="208" fontId="5" fillId="36" borderId="12" xfId="42" applyNumberFormat="1" applyFont="1" applyFill="1" applyBorder="1" applyAlignment="1">
      <alignment horizontal="right" vertical="center"/>
    </xf>
    <xf numFmtId="204" fontId="5" fillId="36" borderId="12" xfId="45" applyNumberFormat="1" applyFont="1" applyFill="1" applyBorder="1" applyAlignment="1">
      <alignment horizontal="right" vertical="center"/>
    </xf>
    <xf numFmtId="208" fontId="5" fillId="36" borderId="13" xfId="42" applyNumberFormat="1" applyFont="1" applyFill="1" applyBorder="1" applyAlignment="1">
      <alignment/>
    </xf>
    <xf numFmtId="0" fontId="12" fillId="35" borderId="0" xfId="60" applyFont="1" applyFill="1" applyBorder="1" applyAlignment="1">
      <alignment/>
      <protection/>
    </xf>
    <xf numFmtId="205" fontId="12" fillId="35" borderId="0" xfId="45" applyNumberFormat="1" applyFont="1" applyFill="1" applyBorder="1" applyAlignment="1">
      <alignment/>
    </xf>
    <xf numFmtId="204" fontId="12" fillId="35" borderId="0" xfId="45" applyNumberFormat="1" applyFont="1" applyFill="1" applyBorder="1" applyAlignment="1">
      <alignment/>
    </xf>
    <xf numFmtId="204" fontId="12" fillId="35" borderId="0" xfId="45" applyNumberFormat="1" applyFont="1" applyFill="1" applyBorder="1" applyAlignment="1">
      <alignment horizontal="right"/>
    </xf>
    <xf numFmtId="205" fontId="12" fillId="35" borderId="0" xfId="45" applyNumberFormat="1" applyFont="1" applyFill="1" applyBorder="1" applyAlignment="1">
      <alignment horizontal="right"/>
    </xf>
    <xf numFmtId="0" fontId="11" fillId="35" borderId="0" xfId="60" applyFont="1" applyFill="1" applyBorder="1" applyAlignment="1">
      <alignment/>
      <protection/>
    </xf>
    <xf numFmtId="205" fontId="11" fillId="35" borderId="0" xfId="60" applyNumberFormat="1" applyFont="1" applyFill="1" applyBorder="1" applyAlignment="1">
      <alignment/>
      <protection/>
    </xf>
    <xf numFmtId="0" fontId="11" fillId="35" borderId="0" xfId="60" applyFont="1" applyFill="1" applyBorder="1" applyAlignment="1">
      <alignment horizontal="right"/>
      <protection/>
    </xf>
    <xf numFmtId="205" fontId="11" fillId="35" borderId="0" xfId="60" applyNumberFormat="1" applyFont="1" applyFill="1" applyBorder="1" applyAlignment="1">
      <alignment horizontal="right"/>
      <protection/>
    </xf>
    <xf numFmtId="204" fontId="5" fillId="35" borderId="0" xfId="45" applyNumberFormat="1" applyFont="1" applyFill="1" applyBorder="1" applyAlignment="1">
      <alignment/>
    </xf>
    <xf numFmtId="205" fontId="5" fillId="35" borderId="0" xfId="45" applyNumberFormat="1" applyFont="1" applyFill="1" applyBorder="1" applyAlignment="1">
      <alignment horizontal="right"/>
    </xf>
    <xf numFmtId="203" fontId="5" fillId="35" borderId="0" xfId="45" applyNumberFormat="1" applyFont="1" applyFill="1" applyBorder="1" applyAlignment="1">
      <alignment/>
    </xf>
    <xf numFmtId="205" fontId="5" fillId="36" borderId="24" xfId="45" applyNumberFormat="1" applyFont="1" applyFill="1" applyBorder="1" applyAlignment="1">
      <alignment horizontal="center" vertical="center"/>
    </xf>
    <xf numFmtId="205" fontId="5" fillId="36" borderId="25" xfId="45" applyNumberFormat="1" applyFont="1" applyFill="1" applyBorder="1" applyAlignment="1">
      <alignment horizontal="center" vertical="center"/>
    </xf>
    <xf numFmtId="0" fontId="5" fillId="36" borderId="26" xfId="60" applyFont="1" applyFill="1" applyBorder="1" applyAlignment="1">
      <alignment horizontal="center" vertical="center"/>
      <protection/>
    </xf>
    <xf numFmtId="205" fontId="5" fillId="36" borderId="14" xfId="45" applyNumberFormat="1" applyFont="1" applyFill="1" applyBorder="1" applyAlignment="1">
      <alignment horizontal="center" vertical="center"/>
    </xf>
    <xf numFmtId="0" fontId="5" fillId="36" borderId="14" xfId="60" applyFont="1" applyFill="1" applyBorder="1" applyAlignment="1">
      <alignment horizontal="center" vertical="center"/>
      <protection/>
    </xf>
    <xf numFmtId="205" fontId="5" fillId="36" borderId="27" xfId="45" applyNumberFormat="1" applyFont="1" applyFill="1" applyBorder="1" applyAlignment="1">
      <alignment horizontal="center" vertical="center"/>
    </xf>
    <xf numFmtId="204" fontId="5" fillId="36" borderId="14" xfId="45" applyNumberFormat="1" applyFont="1" applyFill="1" applyBorder="1" applyAlignment="1">
      <alignment horizontal="center" vertical="center"/>
    </xf>
    <xf numFmtId="203" fontId="5" fillId="36" borderId="14" xfId="45" applyNumberFormat="1" applyFont="1" applyFill="1" applyBorder="1" applyAlignment="1">
      <alignment horizontal="center" vertical="center"/>
    </xf>
    <xf numFmtId="204" fontId="5" fillId="36" borderId="27" xfId="45" applyNumberFormat="1" applyFont="1" applyFill="1" applyBorder="1" applyAlignment="1">
      <alignment horizontal="center" vertical="center"/>
    </xf>
    <xf numFmtId="0" fontId="16" fillId="35" borderId="0" xfId="60" applyFont="1" applyFill="1" applyBorder="1">
      <alignment/>
      <protection/>
    </xf>
    <xf numFmtId="0" fontId="0" fillId="35" borderId="19" xfId="68" applyFont="1" applyFill="1" applyBorder="1">
      <alignment/>
      <protection/>
    </xf>
    <xf numFmtId="205" fontId="0" fillId="35" borderId="0" xfId="68" applyNumberFormat="1" applyFont="1" applyFill="1" applyBorder="1">
      <alignment/>
      <protection/>
    </xf>
    <xf numFmtId="0" fontId="0" fillId="35" borderId="0" xfId="68" applyFont="1" applyFill="1" applyBorder="1">
      <alignment/>
      <protection/>
    </xf>
    <xf numFmtId="205" fontId="0" fillId="35" borderId="21" xfId="68" applyNumberFormat="1" applyFont="1" applyFill="1" applyBorder="1">
      <alignment/>
      <protection/>
    </xf>
    <xf numFmtId="205" fontId="0" fillId="35" borderId="15" xfId="68" applyNumberFormat="1" applyFont="1" applyFill="1" applyBorder="1">
      <alignment/>
      <protection/>
    </xf>
    <xf numFmtId="0" fontId="0" fillId="35" borderId="15" xfId="68" applyFont="1" applyFill="1" applyBorder="1">
      <alignment/>
      <protection/>
    </xf>
    <xf numFmtId="205" fontId="0" fillId="35" borderId="28" xfId="68" applyNumberFormat="1" applyFont="1" applyFill="1" applyBorder="1">
      <alignment/>
      <protection/>
    </xf>
    <xf numFmtId="203" fontId="0" fillId="35" borderId="0" xfId="68" applyNumberFormat="1" applyFont="1" applyFill="1" applyBorder="1">
      <alignment/>
      <protection/>
    </xf>
    <xf numFmtId="0" fontId="0" fillId="35" borderId="21" xfId="68" applyFont="1" applyFill="1" applyBorder="1">
      <alignment/>
      <protection/>
    </xf>
    <xf numFmtId="0" fontId="13" fillId="35" borderId="0" xfId="60" applyFont="1" applyFill="1">
      <alignment/>
      <protection/>
    </xf>
    <xf numFmtId="205" fontId="13" fillId="35" borderId="0" xfId="60" applyNumberFormat="1" applyFont="1" applyFill="1">
      <alignment/>
      <protection/>
    </xf>
    <xf numFmtId="204" fontId="7" fillId="35" borderId="0" xfId="60" applyNumberFormat="1" applyFont="1" applyFill="1" applyBorder="1">
      <alignment/>
      <protection/>
    </xf>
    <xf numFmtId="204" fontId="7" fillId="35" borderId="19" xfId="68" applyNumberFormat="1" applyFont="1" applyFill="1" applyBorder="1" applyAlignment="1">
      <alignment horizontal="right"/>
      <protection/>
    </xf>
    <xf numFmtId="205" fontId="7" fillId="35" borderId="0" xfId="68" applyNumberFormat="1" applyFont="1" applyFill="1" applyBorder="1" applyAlignment="1">
      <alignment horizontal="right"/>
      <protection/>
    </xf>
    <xf numFmtId="204" fontId="7" fillId="35" borderId="0" xfId="68" applyNumberFormat="1" applyFont="1" applyFill="1" applyBorder="1" applyAlignment="1">
      <alignment horizontal="right"/>
      <protection/>
    </xf>
    <xf numFmtId="205" fontId="7" fillId="35" borderId="21" xfId="68" applyNumberFormat="1" applyFont="1" applyFill="1" applyBorder="1" applyAlignment="1">
      <alignment horizontal="right"/>
      <protection/>
    </xf>
    <xf numFmtId="203" fontId="7" fillId="35" borderId="0" xfId="68" applyNumberFormat="1" applyFont="1" applyFill="1" applyBorder="1" applyAlignment="1">
      <alignment horizontal="right"/>
      <protection/>
    </xf>
    <xf numFmtId="204" fontId="7" fillId="35" borderId="21" xfId="68" applyNumberFormat="1" applyFont="1" applyFill="1" applyBorder="1" applyAlignment="1">
      <alignment horizontal="right"/>
      <protection/>
    </xf>
    <xf numFmtId="203" fontId="7" fillId="35" borderId="21" xfId="68" applyNumberFormat="1" applyFont="1" applyFill="1" applyBorder="1" applyAlignment="1">
      <alignment horizontal="right"/>
      <protection/>
    </xf>
    <xf numFmtId="0" fontId="13" fillId="0" borderId="0" xfId="61" applyFont="1">
      <alignment/>
      <protection/>
    </xf>
    <xf numFmtId="0" fontId="7" fillId="0" borderId="0" xfId="61" applyFont="1" applyAlignment="1">
      <alignment horizontal="right"/>
      <protection/>
    </xf>
    <xf numFmtId="204" fontId="24" fillId="0" borderId="0" xfId="45" applyNumberFormat="1" applyFont="1" applyAlignment="1">
      <alignment vertical="top"/>
    </xf>
    <xf numFmtId="205" fontId="24" fillId="0" borderId="0" xfId="45" applyNumberFormat="1" applyFont="1" applyAlignment="1">
      <alignment vertical="top"/>
    </xf>
    <xf numFmtId="209" fontId="5" fillId="0" borderId="0" xfId="42" applyNumberFormat="1" applyFont="1" applyBorder="1" applyAlignment="1">
      <alignment horizontal="right"/>
    </xf>
    <xf numFmtId="208" fontId="24" fillId="0" borderId="0" xfId="42" applyNumberFormat="1" applyFont="1" applyBorder="1" applyAlignment="1">
      <alignment horizontal="right" vertical="top"/>
    </xf>
    <xf numFmtId="208" fontId="24" fillId="0" borderId="0" xfId="42" applyNumberFormat="1" applyFont="1" applyBorder="1" applyAlignment="1">
      <alignment horizontal="right"/>
    </xf>
    <xf numFmtId="209" fontId="24" fillId="0" borderId="0" xfId="42" applyNumberFormat="1" applyFont="1" applyBorder="1" applyAlignment="1">
      <alignment horizontal="right"/>
    </xf>
    <xf numFmtId="0" fontId="7" fillId="0" borderId="12" xfId="60" applyFont="1" applyBorder="1" applyAlignment="1">
      <alignment horizontal="right"/>
      <protection/>
    </xf>
    <xf numFmtId="205" fontId="7" fillId="0" borderId="12" xfId="60" applyNumberFormat="1" applyFont="1" applyBorder="1" applyAlignment="1">
      <alignment horizontal="right"/>
      <protection/>
    </xf>
    <xf numFmtId="0" fontId="7" fillId="0" borderId="11" xfId="60" applyFont="1" applyBorder="1" applyAlignment="1">
      <alignment horizontal="right"/>
      <protection/>
    </xf>
    <xf numFmtId="205" fontId="7" fillId="0" borderId="11" xfId="60" applyNumberFormat="1" applyFont="1" applyBorder="1" applyAlignment="1">
      <alignment horizontal="right"/>
      <protection/>
    </xf>
    <xf numFmtId="1" fontId="5" fillId="0" borderId="11" xfId="45" applyNumberFormat="1" applyFont="1" applyBorder="1" applyAlignment="1">
      <alignment horizontal="right"/>
    </xf>
    <xf numFmtId="0" fontId="5" fillId="0" borderId="29" xfId="60" applyFont="1" applyBorder="1">
      <alignment/>
      <protection/>
    </xf>
    <xf numFmtId="0" fontId="11" fillId="0" borderId="30" xfId="60" applyFont="1" applyBorder="1" applyAlignment="1">
      <alignment vertical="top" wrapText="1"/>
      <protection/>
    </xf>
    <xf numFmtId="0" fontId="11" fillId="0" borderId="30" xfId="60" applyFont="1" applyBorder="1" applyAlignment="1">
      <alignment vertical="top"/>
      <protection/>
    </xf>
    <xf numFmtId="0" fontId="11" fillId="0" borderId="30" xfId="60" applyFont="1" applyBorder="1">
      <alignment/>
      <protection/>
    </xf>
    <xf numFmtId="0" fontId="5" fillId="0" borderId="29" xfId="60" applyFont="1" applyBorder="1" applyAlignment="1">
      <alignment horizontal="left"/>
      <protection/>
    </xf>
    <xf numFmtId="0" fontId="24" fillId="0" borderId="30" xfId="60" applyFont="1" applyBorder="1" applyAlignment="1">
      <alignment horizontal="left"/>
      <protection/>
    </xf>
    <xf numFmtId="192" fontId="7" fillId="0" borderId="0" xfId="60" applyNumberFormat="1" applyFont="1" applyBorder="1" applyAlignment="1">
      <alignment horizontal="right"/>
      <protection/>
    </xf>
    <xf numFmtId="0" fontId="24" fillId="0" borderId="30" xfId="60" applyFont="1" applyBorder="1" applyAlignment="1">
      <alignment vertical="top" wrapText="1"/>
      <protection/>
    </xf>
    <xf numFmtId="0" fontId="11" fillId="0" borderId="31" xfId="60" applyFont="1" applyBorder="1" applyAlignment="1">
      <alignment vertical="top" wrapText="1"/>
      <protection/>
    </xf>
    <xf numFmtId="208" fontId="24" fillId="0" borderId="30" xfId="42" applyNumberFormat="1" applyFont="1" applyBorder="1" applyAlignment="1">
      <alignment horizontal="right" vertical="top"/>
    </xf>
    <xf numFmtId="0" fontId="24" fillId="0" borderId="31" xfId="0" applyFont="1" applyBorder="1" applyAlignment="1">
      <alignment vertical="top" wrapText="1"/>
    </xf>
    <xf numFmtId="0" fontId="27" fillId="0" borderId="0" xfId="60" applyFont="1" applyBorder="1">
      <alignment/>
      <protection/>
    </xf>
    <xf numFmtId="209" fontId="5" fillId="0" borderId="32" xfId="42" applyNumberFormat="1" applyFont="1" applyBorder="1" applyAlignment="1">
      <alignment horizontal="right"/>
    </xf>
    <xf numFmtId="208" fontId="5" fillId="0" borderId="32" xfId="42" applyNumberFormat="1" applyFont="1" applyBorder="1" applyAlignment="1">
      <alignment horizontal="right"/>
    </xf>
    <xf numFmtId="209" fontId="5" fillId="0" borderId="30" xfId="42" applyNumberFormat="1" applyFont="1" applyBorder="1" applyAlignment="1">
      <alignment horizontal="right"/>
    </xf>
    <xf numFmtId="208" fontId="5" fillId="0" borderId="30" xfId="42" applyNumberFormat="1" applyFont="1" applyBorder="1" applyAlignment="1">
      <alignment horizontal="right"/>
    </xf>
    <xf numFmtId="209" fontId="5" fillId="0" borderId="30" xfId="42" applyNumberFormat="1" applyFont="1" applyBorder="1" applyAlignment="1">
      <alignment/>
    </xf>
    <xf numFmtId="0" fontId="24" fillId="0" borderId="30" xfId="60" applyFont="1" applyBorder="1" applyAlignment="1">
      <alignment horizontal="center" vertical="top"/>
      <protection/>
    </xf>
    <xf numFmtId="208" fontId="11" fillId="0" borderId="30" xfId="42" applyNumberFormat="1" applyFont="1" applyBorder="1" applyAlignment="1">
      <alignment horizontal="right" vertical="top" wrapText="1"/>
    </xf>
    <xf numFmtId="0" fontId="5" fillId="33" borderId="33" xfId="60" applyFont="1" applyFill="1" applyBorder="1" applyAlignment="1">
      <alignment horizontal="right"/>
      <protection/>
    </xf>
    <xf numFmtId="208" fontId="5" fillId="33" borderId="33" xfId="42" applyNumberFormat="1" applyFont="1" applyFill="1" applyBorder="1" applyAlignment="1">
      <alignment horizontal="right"/>
    </xf>
    <xf numFmtId="209" fontId="5" fillId="33" borderId="33" xfId="42" applyNumberFormat="1" applyFont="1" applyFill="1" applyBorder="1" applyAlignment="1">
      <alignment/>
    </xf>
    <xf numFmtId="209" fontId="5" fillId="33" borderId="33" xfId="42" applyNumberFormat="1" applyFont="1" applyFill="1" applyBorder="1" applyAlignment="1">
      <alignment horizontal="right"/>
    </xf>
    <xf numFmtId="0" fontId="5" fillId="0" borderId="30" xfId="60" applyFont="1" applyBorder="1">
      <alignment/>
      <protection/>
    </xf>
    <xf numFmtId="208" fontId="5" fillId="0" borderId="29" xfId="42" applyNumberFormat="1" applyFont="1" applyBorder="1" applyAlignment="1">
      <alignment horizontal="right"/>
    </xf>
    <xf numFmtId="0" fontId="24" fillId="0" borderId="30" xfId="60" applyFont="1" applyBorder="1" applyAlignment="1">
      <alignment horizontal="center" vertical="top" wrapText="1"/>
      <protection/>
    </xf>
    <xf numFmtId="209" fontId="11" fillId="0" borderId="30" xfId="42" applyNumberFormat="1" applyFont="1" applyBorder="1" applyAlignment="1">
      <alignment horizontal="right" vertical="top"/>
    </xf>
    <xf numFmtId="208" fontId="11" fillId="0" borderId="30" xfId="42" applyNumberFormat="1" applyFont="1" applyBorder="1" applyAlignment="1">
      <alignment horizontal="right" vertical="top"/>
    </xf>
    <xf numFmtId="208" fontId="5" fillId="0" borderId="29" xfId="42" applyNumberFormat="1" applyFont="1" applyFill="1" applyBorder="1" applyAlignment="1">
      <alignment horizontal="right"/>
    </xf>
    <xf numFmtId="209" fontId="11" fillId="0" borderId="30" xfId="42" applyNumberFormat="1" applyFont="1" applyBorder="1" applyAlignment="1">
      <alignment vertical="top"/>
    </xf>
    <xf numFmtId="0" fontId="24" fillId="0" borderId="30" xfId="60" applyFont="1" applyBorder="1" applyAlignment="1" quotePrefix="1">
      <alignment horizontal="center" vertical="top" wrapText="1"/>
      <protection/>
    </xf>
    <xf numFmtId="0" fontId="24" fillId="0" borderId="30" xfId="0" applyFont="1" applyBorder="1" applyAlignment="1">
      <alignment horizontal="center" vertical="top"/>
    </xf>
    <xf numFmtId="0" fontId="11" fillId="0" borderId="30" xfId="60" applyFont="1" applyBorder="1" applyAlignment="1" quotePrefix="1">
      <alignment vertical="top" wrapText="1"/>
      <protection/>
    </xf>
    <xf numFmtId="209" fontId="11" fillId="0" borderId="30" xfId="42" applyNumberFormat="1" applyFont="1" applyBorder="1" applyAlignment="1">
      <alignment horizontal="right"/>
    </xf>
    <xf numFmtId="208" fontId="11" fillId="0" borderId="30" xfId="42" applyNumberFormat="1" applyFont="1" applyBorder="1" applyAlignment="1">
      <alignment horizontal="right"/>
    </xf>
    <xf numFmtId="209" fontId="11" fillId="0" borderId="30" xfId="42" applyNumberFormat="1" applyFont="1" applyBorder="1" applyAlignment="1">
      <alignment/>
    </xf>
    <xf numFmtId="0" fontId="24" fillId="0" borderId="0" xfId="60" applyFont="1" applyBorder="1">
      <alignment/>
      <protection/>
    </xf>
    <xf numFmtId="209" fontId="24" fillId="0" borderId="0" xfId="42" applyNumberFormat="1" applyFont="1" applyBorder="1" applyAlignment="1">
      <alignment/>
    </xf>
    <xf numFmtId="208" fontId="24" fillId="0" borderId="0" xfId="42" applyNumberFormat="1" applyFont="1" applyAlignment="1">
      <alignment horizontal="right"/>
    </xf>
    <xf numFmtId="0" fontId="24" fillId="0" borderId="30" xfId="0" applyFont="1" applyBorder="1" applyAlignment="1">
      <alignment/>
    </xf>
    <xf numFmtId="209" fontId="24" fillId="0" borderId="30" xfId="42" applyNumberFormat="1" applyFont="1" applyBorder="1" applyAlignment="1">
      <alignment vertical="top" wrapText="1"/>
    </xf>
    <xf numFmtId="208" fontId="24" fillId="0" borderId="30" xfId="42" applyNumberFormat="1" applyFont="1" applyBorder="1" applyAlignment="1">
      <alignment horizontal="right" vertical="top" wrapText="1"/>
    </xf>
    <xf numFmtId="0" fontId="24" fillId="0" borderId="30" xfId="0" applyFont="1" applyBorder="1" applyAlignment="1">
      <alignment vertical="top"/>
    </xf>
    <xf numFmtId="0" fontId="24" fillId="0" borderId="30" xfId="0" applyFont="1" applyBorder="1" applyAlignment="1">
      <alignment vertical="top" wrapText="1"/>
    </xf>
    <xf numFmtId="209" fontId="24" fillId="0" borderId="30" xfId="42" applyNumberFormat="1" applyFont="1" applyBorder="1" applyAlignment="1">
      <alignment horizontal="right"/>
    </xf>
    <xf numFmtId="208" fontId="24" fillId="0" borderId="30" xfId="42" applyNumberFormat="1" applyFont="1" applyBorder="1" applyAlignment="1">
      <alignment horizontal="right"/>
    </xf>
    <xf numFmtId="209" fontId="24" fillId="0" borderId="30" xfId="42" applyNumberFormat="1" applyFont="1" applyBorder="1" applyAlignment="1">
      <alignment/>
    </xf>
    <xf numFmtId="209" fontId="24" fillId="0" borderId="30" xfId="42" applyNumberFormat="1" applyFont="1" applyBorder="1" applyAlignment="1">
      <alignment horizontal="right" vertical="top" wrapText="1"/>
    </xf>
    <xf numFmtId="209" fontId="24" fillId="0" borderId="30" xfId="42" applyNumberFormat="1" applyFont="1" applyBorder="1" applyAlignment="1">
      <alignment horizontal="right" vertical="top"/>
    </xf>
    <xf numFmtId="209" fontId="24" fillId="0" borderId="30" xfId="42" applyNumberFormat="1" applyFont="1" applyBorder="1" applyAlignment="1">
      <alignment vertical="top"/>
    </xf>
    <xf numFmtId="0" fontId="24" fillId="0" borderId="30" xfId="60" applyFont="1" applyBorder="1">
      <alignment/>
      <protection/>
    </xf>
    <xf numFmtId="209" fontId="24" fillId="0" borderId="0" xfId="42" applyNumberFormat="1" applyFont="1" applyAlignment="1">
      <alignment horizontal="right"/>
    </xf>
    <xf numFmtId="209" fontId="24" fillId="0" borderId="0" xfId="42" applyNumberFormat="1" applyFont="1" applyAlignment="1">
      <alignment/>
    </xf>
    <xf numFmtId="0" fontId="4" fillId="0" borderId="30" xfId="0" applyFont="1" applyBorder="1" applyAlignment="1">
      <alignment/>
    </xf>
    <xf numFmtId="0" fontId="5" fillId="33" borderId="33" xfId="60" applyFont="1" applyFill="1" applyBorder="1">
      <alignment/>
      <protection/>
    </xf>
    <xf numFmtId="209" fontId="5" fillId="0" borderId="29" xfId="42" applyNumberFormat="1" applyFont="1" applyBorder="1" applyAlignment="1">
      <alignment horizontal="right"/>
    </xf>
    <xf numFmtId="209" fontId="5" fillId="0" borderId="29" xfId="42" applyNumberFormat="1" applyFont="1" applyBorder="1" applyAlignment="1">
      <alignment/>
    </xf>
    <xf numFmtId="209" fontId="4" fillId="0" borderId="29" xfId="42" applyNumberFormat="1" applyFont="1" applyBorder="1" applyAlignment="1">
      <alignment horizontal="right"/>
    </xf>
    <xf numFmtId="208" fontId="4" fillId="0" borderId="29" xfId="42" applyNumberFormat="1" applyFont="1" applyBorder="1" applyAlignment="1">
      <alignment horizontal="right"/>
    </xf>
    <xf numFmtId="209" fontId="4" fillId="0" borderId="29" xfId="42" applyNumberFormat="1" applyFont="1" applyBorder="1" applyAlignment="1">
      <alignment/>
    </xf>
    <xf numFmtId="0" fontId="24" fillId="0" borderId="30" xfId="0" applyFont="1" applyBorder="1" applyAlignment="1">
      <alignment horizontal="center" vertical="top" wrapText="1"/>
    </xf>
    <xf numFmtId="0" fontId="5" fillId="0" borderId="30" xfId="0" applyFont="1" applyBorder="1" applyAlignment="1">
      <alignment/>
    </xf>
    <xf numFmtId="209" fontId="5" fillId="0" borderId="29" xfId="42" applyNumberFormat="1" applyFont="1" applyFill="1" applyBorder="1" applyAlignment="1">
      <alignment horizontal="right"/>
    </xf>
    <xf numFmtId="209" fontId="5" fillId="0" borderId="29" xfId="42" applyNumberFormat="1" applyFont="1" applyFill="1" applyBorder="1" applyAlignment="1">
      <alignment/>
    </xf>
    <xf numFmtId="0" fontId="4" fillId="33" borderId="33" xfId="60" applyFont="1" applyFill="1" applyBorder="1">
      <alignment/>
      <protection/>
    </xf>
    <xf numFmtId="0" fontId="4" fillId="0" borderId="30" xfId="60" applyFont="1" applyBorder="1" applyAlignment="1">
      <alignment horizontal="center" vertical="top" wrapText="1"/>
      <protection/>
    </xf>
    <xf numFmtId="208" fontId="24" fillId="0" borderId="30" xfId="42" applyNumberFormat="1" applyFont="1" applyFill="1" applyBorder="1" applyAlignment="1">
      <alignment horizontal="right" vertical="top" wrapText="1"/>
    </xf>
    <xf numFmtId="209" fontId="24" fillId="0" borderId="30" xfId="42" applyNumberFormat="1" applyFont="1" applyFill="1" applyBorder="1" applyAlignment="1">
      <alignment horizontal="right" vertical="top"/>
    </xf>
    <xf numFmtId="209" fontId="24" fillId="0" borderId="30" xfId="42" applyNumberFormat="1" applyFont="1" applyFill="1" applyBorder="1" applyAlignment="1">
      <alignment vertical="top"/>
    </xf>
    <xf numFmtId="208" fontId="24" fillId="0" borderId="30" xfId="42" applyNumberFormat="1" applyFont="1" applyFill="1" applyBorder="1" applyAlignment="1">
      <alignment horizontal="right" vertical="top"/>
    </xf>
    <xf numFmtId="0" fontId="24" fillId="0" borderId="0" xfId="60" applyFont="1" applyBorder="1" applyAlignment="1">
      <alignment horizontal="center" vertical="top"/>
      <protection/>
    </xf>
    <xf numFmtId="0" fontId="4" fillId="0" borderId="30" xfId="60" applyFont="1" applyBorder="1" applyAlignment="1">
      <alignment horizontal="center" vertical="top"/>
      <protection/>
    </xf>
    <xf numFmtId="0" fontId="4" fillId="33" borderId="33" xfId="60" applyFont="1" applyFill="1" applyBorder="1" applyAlignment="1">
      <alignment horizontal="center" vertical="top"/>
      <protection/>
    </xf>
    <xf numFmtId="0" fontId="4" fillId="0" borderId="29" xfId="60" applyFont="1" applyBorder="1" applyAlignment="1">
      <alignment horizontal="center" vertical="top"/>
      <protection/>
    </xf>
    <xf numFmtId="0" fontId="5" fillId="0" borderId="29" xfId="60" applyFont="1" applyBorder="1" applyAlignment="1">
      <alignment horizontal="center" vertical="top"/>
      <protection/>
    </xf>
    <xf numFmtId="204" fontId="24" fillId="0" borderId="0" xfId="45" applyNumberFormat="1" applyFont="1" applyBorder="1" applyAlignment="1">
      <alignment horizontal="right" vertical="top"/>
    </xf>
    <xf numFmtId="205" fontId="24" fillId="0" borderId="0" xfId="45" applyNumberFormat="1" applyFont="1" applyBorder="1" applyAlignment="1">
      <alignment horizontal="right" vertical="top"/>
    </xf>
    <xf numFmtId="204" fontId="24" fillId="0" borderId="0" xfId="45" applyNumberFormat="1" applyFont="1" applyBorder="1" applyAlignment="1">
      <alignment horizontal="right"/>
    </xf>
    <xf numFmtId="0" fontId="4" fillId="0" borderId="0" xfId="61" applyFont="1">
      <alignment/>
      <protection/>
    </xf>
    <xf numFmtId="0" fontId="4" fillId="0" borderId="0" xfId="0" applyFont="1" applyAlignment="1">
      <alignment/>
    </xf>
    <xf numFmtId="0" fontId="5" fillId="33" borderId="10" xfId="61" applyFont="1" applyFill="1" applyBorder="1" applyAlignment="1">
      <alignment horizontal="center" vertical="center"/>
      <protection/>
    </xf>
    <xf numFmtId="0" fontId="5" fillId="33" borderId="17" xfId="61" applyFont="1" applyFill="1" applyBorder="1" applyAlignment="1">
      <alignment horizontal="left" vertical="center" wrapText="1"/>
      <protection/>
    </xf>
    <xf numFmtId="0" fontId="4" fillId="33" borderId="17" xfId="61" applyFont="1" applyFill="1" applyBorder="1">
      <alignment/>
      <protection/>
    </xf>
    <xf numFmtId="0" fontId="4" fillId="0" borderId="0" xfId="61" applyFont="1">
      <alignment/>
      <protection/>
    </xf>
    <xf numFmtId="0" fontId="4" fillId="33" borderId="17" xfId="61" applyFont="1" applyFill="1" applyBorder="1" applyAlignment="1">
      <alignment horizontal="left"/>
      <protection/>
    </xf>
    <xf numFmtId="0" fontId="5" fillId="0" borderId="0" xfId="61" applyFont="1">
      <alignment/>
      <protection/>
    </xf>
    <xf numFmtId="0" fontId="7" fillId="0" borderId="0" xfId="61" applyFont="1" applyBorder="1" applyAlignment="1">
      <alignment horizontal="left"/>
      <protection/>
    </xf>
    <xf numFmtId="0" fontId="10" fillId="0" borderId="0" xfId="61" applyFont="1" applyAlignment="1">
      <alignment horizontal="center"/>
      <protection/>
    </xf>
    <xf numFmtId="0" fontId="10" fillId="0" borderId="0" xfId="61" applyFont="1" applyBorder="1">
      <alignment/>
      <protection/>
    </xf>
    <xf numFmtId="0" fontId="10" fillId="0" borderId="0" xfId="61" applyFont="1">
      <alignment/>
      <protection/>
    </xf>
    <xf numFmtId="0" fontId="10" fillId="0" borderId="0" xfId="60" applyFont="1" applyBorder="1" applyAlignment="1">
      <alignment horizontal="left"/>
      <protection/>
    </xf>
    <xf numFmtId="204" fontId="7" fillId="0" borderId="0" xfId="45" applyNumberFormat="1" applyFont="1" applyBorder="1" applyAlignment="1">
      <alignment/>
    </xf>
    <xf numFmtId="0" fontId="7" fillId="0" borderId="0" xfId="60" applyFont="1" applyBorder="1" applyAlignment="1">
      <alignment horizontal="left"/>
      <protection/>
    </xf>
    <xf numFmtId="204" fontId="7" fillId="0" borderId="0" xfId="46" applyNumberFormat="1" applyFont="1" applyBorder="1" applyAlignment="1">
      <alignment vertical="center"/>
    </xf>
    <xf numFmtId="0" fontId="10" fillId="0" borderId="0" xfId="61" applyFont="1" applyBorder="1" applyAlignment="1">
      <alignment horizontal="left"/>
      <protection/>
    </xf>
    <xf numFmtId="204" fontId="22" fillId="0" borderId="0" xfId="46" applyNumberFormat="1" applyFont="1" applyBorder="1" applyAlignment="1">
      <alignment vertical="center"/>
    </xf>
    <xf numFmtId="0" fontId="10" fillId="0" borderId="0" xfId="61" applyFont="1" applyFill="1">
      <alignment/>
      <protection/>
    </xf>
    <xf numFmtId="37" fontId="7" fillId="0" borderId="0" xfId="42" applyNumberFormat="1" applyFont="1" applyBorder="1" applyAlignment="1">
      <alignment horizontal="right"/>
    </xf>
    <xf numFmtId="0" fontId="7" fillId="0" borderId="0" xfId="61" applyFont="1" applyFill="1" applyBorder="1" applyAlignment="1">
      <alignment horizontal="center"/>
      <protection/>
    </xf>
    <xf numFmtId="0" fontId="23" fillId="0" borderId="0" xfId="0" applyFont="1" applyFill="1" applyAlignment="1">
      <alignment/>
    </xf>
    <xf numFmtId="0" fontId="10" fillId="0" borderId="0" xfId="61" applyFont="1" applyAlignment="1">
      <alignment horizontal="center"/>
      <protection/>
    </xf>
    <xf numFmtId="0" fontId="10" fillId="0" borderId="0" xfId="61" applyFont="1" applyFill="1">
      <alignment/>
      <protection/>
    </xf>
    <xf numFmtId="0" fontId="5" fillId="0" borderId="13" xfId="61" applyFont="1" applyBorder="1" applyAlignment="1">
      <alignment horizontal="center" vertical="center"/>
      <protection/>
    </xf>
    <xf numFmtId="0" fontId="5" fillId="0" borderId="13" xfId="61" applyFont="1" applyBorder="1" applyAlignment="1">
      <alignment horizontal="left" vertical="center" wrapText="1"/>
      <protection/>
    </xf>
    <xf numFmtId="0" fontId="5" fillId="0" borderId="13" xfId="61" applyFont="1" applyFill="1" applyBorder="1" applyAlignment="1">
      <alignment horizontal="center" vertical="center"/>
      <protection/>
    </xf>
    <xf numFmtId="203" fontId="5" fillId="0" borderId="13" xfId="46" applyNumberFormat="1" applyFont="1" applyBorder="1" applyAlignment="1">
      <alignment horizontal="center" vertical="center" wrapText="1"/>
    </xf>
    <xf numFmtId="0" fontId="5" fillId="0" borderId="15" xfId="61" applyFont="1" applyBorder="1" applyAlignment="1">
      <alignment horizontal="left" vertical="top"/>
      <protection/>
    </xf>
    <xf numFmtId="0" fontId="32" fillId="0" borderId="0" xfId="61" applyFont="1" applyFill="1" applyBorder="1" applyAlignment="1">
      <alignment horizontal="left" vertical="top" wrapText="1"/>
      <protection/>
    </xf>
    <xf numFmtId="0" fontId="24" fillId="0" borderId="0" xfId="61" applyFont="1" applyBorder="1" applyAlignment="1">
      <alignment horizontal="center" vertical="top"/>
      <protection/>
    </xf>
    <xf numFmtId="206" fontId="24" fillId="0" borderId="0" xfId="46" applyNumberFormat="1" applyFont="1" applyBorder="1" applyAlignment="1">
      <alignment horizontal="right" vertical="top" wrapText="1"/>
    </xf>
    <xf numFmtId="0" fontId="24" fillId="0" borderId="10" xfId="61" applyFont="1" applyBorder="1" applyAlignment="1">
      <alignment horizontal="center" vertical="top" wrapText="1"/>
      <protection/>
    </xf>
    <xf numFmtId="206" fontId="24" fillId="0" borderId="10" xfId="46" applyNumberFormat="1" applyFont="1" applyBorder="1" applyAlignment="1">
      <alignment horizontal="right" vertical="top" wrapText="1"/>
    </xf>
    <xf numFmtId="0" fontId="24" fillId="0" borderId="0" xfId="61" applyFont="1" applyBorder="1" applyAlignment="1">
      <alignment horizontal="center" vertical="top" wrapText="1"/>
      <protection/>
    </xf>
    <xf numFmtId="0" fontId="5" fillId="33" borderId="17" xfId="61" applyFont="1" applyFill="1" applyBorder="1" applyAlignment="1">
      <alignment horizontal="left" vertical="top" wrapText="1"/>
      <protection/>
    </xf>
    <xf numFmtId="0" fontId="5" fillId="0" borderId="17" xfId="61" applyFont="1" applyBorder="1">
      <alignment/>
      <protection/>
    </xf>
    <xf numFmtId="0" fontId="33" fillId="0" borderId="17" xfId="0" applyFont="1" applyBorder="1" applyAlignment="1">
      <alignment/>
    </xf>
    <xf numFmtId="0" fontId="33" fillId="0" borderId="0" xfId="0" applyFont="1" applyAlignment="1">
      <alignment/>
    </xf>
    <xf numFmtId="0" fontId="5" fillId="33" borderId="16" xfId="61" applyFont="1" applyFill="1" applyBorder="1" applyAlignment="1">
      <alignment horizontal="left"/>
      <protection/>
    </xf>
    <xf numFmtId="0" fontId="5" fillId="33" borderId="16" xfId="61" applyFont="1" applyFill="1" applyBorder="1" applyAlignment="1">
      <alignment horizontal="center" vertical="center"/>
      <protection/>
    </xf>
    <xf numFmtId="0" fontId="5" fillId="33" borderId="16" xfId="61" applyFont="1" applyFill="1" applyBorder="1">
      <alignment/>
      <protection/>
    </xf>
    <xf numFmtId="206" fontId="5" fillId="33" borderId="16" xfId="61" applyNumberFormat="1" applyFont="1" applyFill="1" applyBorder="1" applyAlignment="1">
      <alignment horizontal="right" vertical="center"/>
      <protection/>
    </xf>
    <xf numFmtId="0" fontId="5" fillId="0" borderId="13" xfId="61" applyFont="1" applyBorder="1" applyAlignment="1">
      <alignment horizontal="left"/>
      <protection/>
    </xf>
    <xf numFmtId="0" fontId="5" fillId="0" borderId="13" xfId="61" applyFont="1" applyBorder="1" applyAlignment="1">
      <alignment vertical="center"/>
      <protection/>
    </xf>
    <xf numFmtId="0" fontId="33" fillId="0" borderId="0" xfId="0" applyFont="1" applyBorder="1" applyAlignment="1">
      <alignment/>
    </xf>
    <xf numFmtId="0" fontId="7" fillId="0" borderId="0" xfId="61" applyFont="1" applyBorder="1" applyAlignment="1">
      <alignment horizontal="center"/>
      <protection/>
    </xf>
    <xf numFmtId="3" fontId="5" fillId="33" borderId="17" xfId="61" applyNumberFormat="1" applyFont="1" applyFill="1" applyBorder="1" applyAlignment="1">
      <alignment horizontal="center" vertical="top"/>
      <protection/>
    </xf>
    <xf numFmtId="204" fontId="5" fillId="0" borderId="13" xfId="46" applyNumberFormat="1" applyFont="1" applyBorder="1" applyAlignment="1">
      <alignment horizontal="center" vertical="center"/>
    </xf>
    <xf numFmtId="0" fontId="23" fillId="0" borderId="0" xfId="0" applyFont="1" applyAlignment="1">
      <alignment horizontal="center"/>
    </xf>
    <xf numFmtId="0" fontId="24" fillId="0" borderId="30" xfId="60" applyFont="1" applyBorder="1" applyAlignment="1">
      <alignment horizontal="left" vertical="top" wrapText="1"/>
      <protection/>
    </xf>
    <xf numFmtId="0" fontId="4" fillId="0" borderId="0" xfId="60" applyFont="1" applyBorder="1" quotePrefix="1">
      <alignment/>
      <protection/>
    </xf>
    <xf numFmtId="203" fontId="13" fillId="0" borderId="0" xfId="45" applyNumberFormat="1" applyFont="1" applyBorder="1" applyAlignment="1">
      <alignment/>
    </xf>
    <xf numFmtId="0" fontId="4" fillId="0" borderId="11" xfId="60" applyFont="1" applyBorder="1" quotePrefix="1">
      <alignment/>
      <protection/>
    </xf>
    <xf numFmtId="0" fontId="4" fillId="0" borderId="0" xfId="60" applyFont="1" applyBorder="1" applyAlignment="1">
      <alignment horizontal="center"/>
      <protection/>
    </xf>
    <xf numFmtId="205" fontId="4" fillId="0" borderId="0" xfId="45" applyNumberFormat="1" applyFont="1" applyBorder="1" applyAlignment="1">
      <alignment/>
    </xf>
    <xf numFmtId="204" fontId="4" fillId="0" borderId="0" xfId="45" applyNumberFormat="1" applyFont="1" applyBorder="1" applyAlignment="1">
      <alignment/>
    </xf>
    <xf numFmtId="204" fontId="4" fillId="0" borderId="0" xfId="45" applyNumberFormat="1" applyFont="1" applyBorder="1" applyAlignment="1">
      <alignment horizontal="center"/>
    </xf>
    <xf numFmtId="0" fontId="4" fillId="0" borderId="0" xfId="60" applyFont="1" applyBorder="1">
      <alignment/>
      <protection/>
    </xf>
    <xf numFmtId="205" fontId="4" fillId="0" borderId="0" xfId="60" applyNumberFormat="1" applyFont="1" applyBorder="1">
      <alignment/>
      <protection/>
    </xf>
    <xf numFmtId="208" fontId="5" fillId="33" borderId="13" xfId="42" applyNumberFormat="1" applyFont="1" applyFill="1" applyBorder="1" applyAlignment="1">
      <alignment horizontal="center"/>
    </xf>
    <xf numFmtId="209" fontId="5" fillId="33" borderId="13" xfId="42" applyNumberFormat="1" applyFont="1" applyFill="1" applyBorder="1" applyAlignment="1">
      <alignment/>
    </xf>
    <xf numFmtId="209" fontId="5" fillId="33" borderId="13" xfId="42" applyNumberFormat="1" applyFont="1" applyFill="1" applyBorder="1" applyAlignment="1">
      <alignment horizontal="center"/>
    </xf>
    <xf numFmtId="209" fontId="13" fillId="33" borderId="13" xfId="42" applyNumberFormat="1" applyFont="1" applyFill="1" applyBorder="1" applyAlignment="1">
      <alignment/>
    </xf>
    <xf numFmtId="0" fontId="20" fillId="0" borderId="12" xfId="60" applyFont="1" applyBorder="1" applyAlignment="1">
      <alignment horizontal="right" vertical="center"/>
      <protection/>
    </xf>
    <xf numFmtId="205" fontId="20" fillId="0" borderId="12" xfId="45" applyNumberFormat="1" applyFont="1" applyBorder="1" applyAlignment="1">
      <alignment horizontal="center" vertical="center"/>
    </xf>
    <xf numFmtId="0" fontId="20" fillId="0" borderId="12" xfId="60" applyFont="1" applyBorder="1" applyAlignment="1">
      <alignment horizontal="center" vertical="center"/>
      <protection/>
    </xf>
    <xf numFmtId="205" fontId="5" fillId="0" borderId="0" xfId="60" applyNumberFormat="1" applyFont="1" applyBorder="1">
      <alignment/>
      <protection/>
    </xf>
    <xf numFmtId="0" fontId="24" fillId="0" borderId="11" xfId="61" applyFont="1" applyBorder="1">
      <alignment/>
      <protection/>
    </xf>
    <xf numFmtId="208" fontId="5" fillId="0" borderId="13" xfId="42" applyNumberFormat="1" applyFont="1" applyBorder="1" applyAlignment="1">
      <alignment vertical="center"/>
    </xf>
    <xf numFmtId="208" fontId="5" fillId="0" borderId="0" xfId="42" applyNumberFormat="1" applyFont="1" applyBorder="1" applyAlignment="1">
      <alignment vertical="center"/>
    </xf>
    <xf numFmtId="0" fontId="24" fillId="34" borderId="0" xfId="61" applyFont="1" applyFill="1" applyBorder="1" applyAlignment="1">
      <alignment vertical="top"/>
      <protection/>
    </xf>
    <xf numFmtId="204" fontId="7" fillId="35" borderId="19" xfId="68" applyNumberFormat="1" applyFont="1" applyFill="1" applyBorder="1">
      <alignment/>
      <protection/>
    </xf>
    <xf numFmtId="205" fontId="7" fillId="35" borderId="0" xfId="68" applyNumberFormat="1" applyFont="1" applyFill="1" applyBorder="1">
      <alignment/>
      <protection/>
    </xf>
    <xf numFmtId="204" fontId="7" fillId="35" borderId="0" xfId="68" applyNumberFormat="1" applyFont="1" applyFill="1" applyBorder="1">
      <alignment/>
      <protection/>
    </xf>
    <xf numFmtId="205" fontId="7" fillId="35" borderId="21" xfId="68" applyNumberFormat="1" applyFont="1" applyFill="1" applyBorder="1">
      <alignment/>
      <protection/>
    </xf>
    <xf numFmtId="203" fontId="7" fillId="35" borderId="19" xfId="68" applyNumberFormat="1" applyFont="1" applyFill="1" applyBorder="1" applyAlignment="1">
      <alignment horizontal="right"/>
      <protection/>
    </xf>
    <xf numFmtId="203" fontId="7" fillId="35" borderId="0" xfId="68" applyNumberFormat="1" applyFont="1" applyFill="1" applyBorder="1">
      <alignment/>
      <protection/>
    </xf>
    <xf numFmtId="204" fontId="7" fillId="35" borderId="21" xfId="68" applyNumberFormat="1" applyFont="1" applyFill="1" applyBorder="1">
      <alignment/>
      <protection/>
    </xf>
    <xf numFmtId="203" fontId="7" fillId="0" borderId="22" xfId="68" applyNumberFormat="1" applyFont="1" applyBorder="1" applyAlignment="1">
      <alignment horizontal="right"/>
      <protection/>
    </xf>
    <xf numFmtId="204" fontId="7" fillId="0" borderId="11" xfId="60" applyNumberFormat="1" applyFont="1" applyBorder="1">
      <alignment/>
      <protection/>
    </xf>
    <xf numFmtId="0" fontId="16" fillId="0" borderId="11" xfId="60" applyFont="1" applyFill="1" applyBorder="1">
      <alignment/>
      <protection/>
    </xf>
    <xf numFmtId="204" fontId="0" fillId="0" borderId="11" xfId="0" applyNumberFormat="1" applyFont="1" applyFill="1" applyBorder="1" applyAlignment="1">
      <alignment/>
    </xf>
    <xf numFmtId="0" fontId="0" fillId="0" borderId="11" xfId="0" applyFont="1" applyFill="1" applyBorder="1" applyAlignment="1">
      <alignment/>
    </xf>
    <xf numFmtId="0" fontId="13" fillId="0" borderId="11" xfId="60" applyFont="1" applyFill="1" applyBorder="1">
      <alignment/>
      <protection/>
    </xf>
    <xf numFmtId="0" fontId="16" fillId="0" borderId="13" xfId="60" applyFont="1" applyBorder="1" applyAlignment="1">
      <alignment horizontal="center" vertical="center"/>
      <protection/>
    </xf>
    <xf numFmtId="204" fontId="16" fillId="0" borderId="13" xfId="60" applyNumberFormat="1" applyFont="1" applyBorder="1" applyAlignment="1">
      <alignment vertical="center"/>
      <protection/>
    </xf>
    <xf numFmtId="204" fontId="13" fillId="0" borderId="13" xfId="60" applyNumberFormat="1" applyFont="1" applyBorder="1" applyAlignment="1">
      <alignment vertical="center"/>
      <protection/>
    </xf>
    <xf numFmtId="0" fontId="16" fillId="0" borderId="13" xfId="60" applyFont="1" applyBorder="1" applyAlignment="1">
      <alignment vertical="center"/>
      <protection/>
    </xf>
    <xf numFmtId="0" fontId="0" fillId="0" borderId="13" xfId="0" applyFont="1" applyBorder="1" applyAlignment="1">
      <alignment/>
    </xf>
    <xf numFmtId="205" fontId="7" fillId="35" borderId="16" xfId="68" applyNumberFormat="1" applyFont="1" applyFill="1" applyBorder="1" applyAlignment="1">
      <alignment horizontal="right"/>
      <protection/>
    </xf>
    <xf numFmtId="205" fontId="7" fillId="35" borderId="34" xfId="68" applyNumberFormat="1" applyFont="1" applyFill="1" applyBorder="1" applyAlignment="1">
      <alignment horizontal="right"/>
      <protection/>
    </xf>
    <xf numFmtId="204" fontId="11" fillId="0" borderId="11" xfId="45" applyNumberFormat="1" applyFont="1" applyBorder="1" applyAlignment="1">
      <alignment/>
    </xf>
    <xf numFmtId="208" fontId="11" fillId="0" borderId="11" xfId="42" applyNumberFormat="1" applyFont="1" applyBorder="1" applyAlignment="1">
      <alignment/>
    </xf>
    <xf numFmtId="208" fontId="7" fillId="0" borderId="21" xfId="42" applyNumberFormat="1" applyFont="1" applyBorder="1" applyAlignment="1">
      <alignment horizontal="right"/>
    </xf>
    <xf numFmtId="208" fontId="7" fillId="0" borderId="0" xfId="42" applyNumberFormat="1" applyFont="1" applyAlignment="1">
      <alignment/>
    </xf>
    <xf numFmtId="208" fontId="7" fillId="0" borderId="11" xfId="42" applyNumberFormat="1" applyFont="1" applyBorder="1" applyAlignment="1">
      <alignment/>
    </xf>
    <xf numFmtId="208" fontId="7" fillId="35" borderId="0" xfId="42" applyNumberFormat="1" applyFont="1" applyFill="1" applyAlignment="1">
      <alignment/>
    </xf>
    <xf numFmtId="208" fontId="7" fillId="0" borderId="13" xfId="42" applyNumberFormat="1" applyFont="1" applyBorder="1" applyAlignment="1">
      <alignment/>
    </xf>
    <xf numFmtId="208" fontId="7" fillId="0" borderId="0" xfId="42" applyNumberFormat="1" applyFont="1" applyBorder="1" applyAlignment="1">
      <alignment horizontal="right"/>
    </xf>
    <xf numFmtId="208" fontId="7" fillId="0" borderId="11" xfId="42" applyNumberFormat="1" applyFont="1" applyBorder="1" applyAlignment="1">
      <alignment horizontal="right"/>
    </xf>
    <xf numFmtId="208" fontId="11" fillId="35" borderId="0" xfId="42" applyNumberFormat="1" applyFont="1" applyFill="1" applyBorder="1" applyAlignment="1">
      <alignment/>
    </xf>
    <xf numFmtId="208" fontId="0" fillId="36" borderId="13" xfId="42" applyNumberFormat="1" applyFont="1" applyFill="1" applyBorder="1" applyAlignment="1">
      <alignment/>
    </xf>
    <xf numFmtId="208" fontId="0" fillId="36" borderId="13" xfId="42" applyNumberFormat="1" applyFont="1" applyFill="1" applyBorder="1" applyAlignment="1">
      <alignment horizontal="right"/>
    </xf>
    <xf numFmtId="209" fontId="0" fillId="36" borderId="13" xfId="42" applyNumberFormat="1" applyFont="1" applyFill="1" applyBorder="1" applyAlignment="1">
      <alignment/>
    </xf>
    <xf numFmtId="0" fontId="5" fillId="36" borderId="13" xfId="60" applyFont="1" applyFill="1" applyBorder="1" applyAlignment="1">
      <alignment horizontal="center"/>
      <protection/>
    </xf>
    <xf numFmtId="205" fontId="5" fillId="36" borderId="13" xfId="45" applyNumberFormat="1" applyFont="1" applyFill="1" applyBorder="1" applyAlignment="1">
      <alignment horizontal="center"/>
    </xf>
    <xf numFmtId="205" fontId="11" fillId="0" borderId="11" xfId="45" applyNumberFormat="1" applyFont="1" applyBorder="1" applyAlignment="1">
      <alignment/>
    </xf>
    <xf numFmtId="208" fontId="5" fillId="0" borderId="13" xfId="42" applyNumberFormat="1" applyFont="1" applyBorder="1" applyAlignment="1">
      <alignment horizontal="center" vertical="top"/>
    </xf>
    <xf numFmtId="208" fontId="5" fillId="0" borderId="13" xfId="42" applyNumberFormat="1" applyFont="1" applyBorder="1" applyAlignment="1">
      <alignment vertical="top"/>
    </xf>
    <xf numFmtId="208" fontId="5" fillId="0" borderId="13" xfId="42" applyNumberFormat="1" applyFont="1" applyBorder="1" applyAlignment="1">
      <alignment horizontal="right" vertical="top"/>
    </xf>
    <xf numFmtId="208" fontId="5" fillId="0" borderId="0" xfId="42" applyNumberFormat="1" applyFont="1" applyAlignment="1">
      <alignment/>
    </xf>
    <xf numFmtId="208" fontId="0" fillId="0" borderId="12" xfId="42" applyNumberFormat="1" applyFont="1" applyBorder="1" applyAlignment="1">
      <alignment/>
    </xf>
    <xf numFmtId="208" fontId="20" fillId="0" borderId="12" xfId="42" applyNumberFormat="1" applyFont="1" applyBorder="1" applyAlignment="1">
      <alignment horizontal="right" vertical="center"/>
    </xf>
    <xf numFmtId="208" fontId="24" fillId="0" borderId="0" xfId="42" applyNumberFormat="1" applyFont="1" applyAlignment="1">
      <alignment/>
    </xf>
    <xf numFmtId="208" fontId="0" fillId="0" borderId="0" xfId="42" applyNumberFormat="1" applyFont="1" applyAlignment="1">
      <alignment/>
    </xf>
    <xf numFmtId="208" fontId="4" fillId="0" borderId="0" xfId="42" applyNumberFormat="1" applyFont="1" applyAlignment="1">
      <alignment/>
    </xf>
    <xf numFmtId="0" fontId="24" fillId="0" borderId="0" xfId="61" applyFont="1" applyBorder="1">
      <alignment/>
      <protection/>
    </xf>
    <xf numFmtId="203" fontId="5" fillId="0" borderId="0" xfId="61" applyNumberFormat="1" applyFont="1" applyBorder="1" applyAlignment="1">
      <alignment vertical="center"/>
      <protection/>
    </xf>
    <xf numFmtId="203" fontId="5" fillId="0" borderId="11" xfId="61" applyNumberFormat="1" applyFont="1" applyBorder="1" applyAlignment="1">
      <alignment vertical="center"/>
      <protection/>
    </xf>
    <xf numFmtId="0" fontId="9" fillId="0" borderId="15" xfId="61" applyFont="1" applyBorder="1" applyAlignment="1">
      <alignment horizontal="center" vertical="center"/>
      <protection/>
    </xf>
    <xf numFmtId="0" fontId="11" fillId="0" borderId="15" xfId="61" applyFont="1" applyBorder="1" applyAlignment="1">
      <alignment horizontal="left" vertical="center" wrapText="1"/>
      <protection/>
    </xf>
    <xf numFmtId="0" fontId="9" fillId="0" borderId="15" xfId="61" applyFont="1" applyFill="1" applyBorder="1" applyAlignment="1">
      <alignment horizontal="center" vertical="center"/>
      <protection/>
    </xf>
    <xf numFmtId="0" fontId="24" fillId="0" borderId="12" xfId="61" applyFont="1" applyBorder="1" applyAlignment="1">
      <alignment horizontal="center"/>
      <protection/>
    </xf>
    <xf numFmtId="0" fontId="4" fillId="0" borderId="12" xfId="61" applyFill="1" applyBorder="1">
      <alignment/>
      <protection/>
    </xf>
    <xf numFmtId="0" fontId="4" fillId="0" borderId="12" xfId="61" applyBorder="1" applyAlignment="1">
      <alignment horizontal="center" vertical="center"/>
      <protection/>
    </xf>
    <xf numFmtId="209" fontId="5" fillId="0" borderId="32" xfId="42" applyNumberFormat="1" applyFont="1" applyBorder="1" applyAlignment="1">
      <alignment horizontal="center"/>
    </xf>
    <xf numFmtId="0" fontId="24" fillId="0" borderId="30" xfId="60" applyFont="1" applyBorder="1" applyAlignment="1" quotePrefix="1">
      <alignment vertical="top" wrapText="1"/>
      <protection/>
    </xf>
    <xf numFmtId="0" fontId="0" fillId="0" borderId="0" xfId="0" applyAlignment="1">
      <alignment horizontal="center"/>
    </xf>
    <xf numFmtId="0" fontId="7" fillId="0" borderId="0" xfId="61" applyFont="1" applyAlignment="1">
      <alignment horizontal="center"/>
      <protection/>
    </xf>
    <xf numFmtId="0" fontId="4" fillId="0" borderId="0" xfId="61" applyAlignment="1">
      <alignment horizontal="right"/>
      <protection/>
    </xf>
    <xf numFmtId="0" fontId="10" fillId="0" borderId="0" xfId="61" applyFont="1" applyAlignment="1">
      <alignment horizontal="right"/>
      <protection/>
    </xf>
    <xf numFmtId="0" fontId="5" fillId="0" borderId="0" xfId="61" applyFont="1" applyBorder="1" applyAlignment="1">
      <alignment horizontal="right"/>
      <protection/>
    </xf>
    <xf numFmtId="0" fontId="6" fillId="0" borderId="0" xfId="61" applyFont="1" applyAlignment="1">
      <alignment horizontal="right"/>
      <protection/>
    </xf>
    <xf numFmtId="0" fontId="0" fillId="0" borderId="0" xfId="0" applyAlignment="1">
      <alignment horizontal="right"/>
    </xf>
    <xf numFmtId="0" fontId="12" fillId="0" borderId="0" xfId="61" applyFont="1" applyAlignment="1">
      <alignment horizontal="right"/>
      <protection/>
    </xf>
    <xf numFmtId="0" fontId="11" fillId="0" borderId="30" xfId="61" applyFont="1" applyBorder="1" applyAlignment="1">
      <alignment horizontal="center" vertical="top" wrapText="1"/>
      <protection/>
    </xf>
    <xf numFmtId="0" fontId="31" fillId="0" borderId="30" xfId="61" applyFont="1" applyFill="1" applyBorder="1" applyAlignment="1">
      <alignment horizontal="left" vertical="top" wrapText="1"/>
      <protection/>
    </xf>
    <xf numFmtId="0" fontId="4" fillId="0" borderId="30" xfId="61" applyFont="1" applyBorder="1" applyAlignment="1">
      <alignment horizontal="center" vertical="top"/>
      <protection/>
    </xf>
    <xf numFmtId="0" fontId="4" fillId="0" borderId="30" xfId="61" applyFont="1" applyBorder="1" applyAlignment="1">
      <alignment horizontal="right" vertical="top"/>
      <protection/>
    </xf>
    <xf numFmtId="0" fontId="11" fillId="33" borderId="35" xfId="61" applyFont="1" applyFill="1" applyBorder="1" applyAlignment="1">
      <alignment horizontal="center" vertical="center"/>
      <protection/>
    </xf>
    <xf numFmtId="0" fontId="24" fillId="33" borderId="33" xfId="61" applyFont="1" applyFill="1" applyBorder="1" applyAlignment="1">
      <alignment horizontal="left" vertical="center" wrapText="1"/>
      <protection/>
    </xf>
    <xf numFmtId="0" fontId="11" fillId="33" borderId="33" xfId="61" applyFont="1" applyFill="1" applyBorder="1" applyAlignment="1">
      <alignment horizontal="center" vertical="center"/>
      <protection/>
    </xf>
    <xf numFmtId="0" fontId="5" fillId="33" borderId="33" xfId="61" applyFont="1" applyFill="1" applyBorder="1" applyAlignment="1">
      <alignment horizontal="center" vertical="center"/>
      <protection/>
    </xf>
    <xf numFmtId="0" fontId="5" fillId="33" borderId="33" xfId="61" applyFont="1" applyFill="1" applyBorder="1" applyAlignment="1">
      <alignment horizontal="right" vertical="center"/>
      <protection/>
    </xf>
    <xf numFmtId="0" fontId="5" fillId="0" borderId="21" xfId="61" applyFont="1" applyBorder="1" applyAlignment="1">
      <alignment horizontal="center" vertical="top" wrapText="1"/>
      <protection/>
    </xf>
    <xf numFmtId="205" fontId="5" fillId="33" borderId="33" xfId="61" applyNumberFormat="1" applyFont="1" applyFill="1" applyBorder="1" applyAlignment="1">
      <alignment horizontal="right" vertical="center"/>
      <protection/>
    </xf>
    <xf numFmtId="0" fontId="7" fillId="0" borderId="36" xfId="61" applyFont="1" applyBorder="1" applyAlignment="1">
      <alignment horizontal="center" vertical="top"/>
      <protection/>
    </xf>
    <xf numFmtId="0" fontId="24" fillId="0" borderId="37" xfId="61" applyFont="1" applyBorder="1" applyAlignment="1">
      <alignment horizontal="left" vertical="top"/>
      <protection/>
    </xf>
    <xf numFmtId="0" fontId="7" fillId="0" borderId="37" xfId="61" applyFont="1" applyBorder="1" applyAlignment="1">
      <alignment horizontal="center" vertical="top"/>
      <protection/>
    </xf>
    <xf numFmtId="0" fontId="5" fillId="0" borderId="37" xfId="61" applyFont="1" applyFill="1" applyBorder="1" applyAlignment="1">
      <alignment horizontal="center" vertical="top"/>
      <protection/>
    </xf>
    <xf numFmtId="204" fontId="5" fillId="0" borderId="37" xfId="46" applyNumberFormat="1" applyFont="1" applyBorder="1" applyAlignment="1">
      <alignment vertical="top"/>
    </xf>
    <xf numFmtId="0" fontId="4" fillId="0" borderId="30" xfId="61" applyFont="1" applyBorder="1" applyAlignment="1">
      <alignment horizontal="left" vertical="top" wrapText="1"/>
      <protection/>
    </xf>
    <xf numFmtId="0" fontId="11" fillId="0" borderId="35" xfId="61" applyFont="1" applyBorder="1" applyAlignment="1">
      <alignment horizontal="center" vertical="top" wrapText="1"/>
      <protection/>
    </xf>
    <xf numFmtId="0" fontId="24" fillId="0" borderId="33" xfId="61" applyFont="1" applyBorder="1" applyAlignment="1">
      <alignment horizontal="left" vertical="top" wrapText="1"/>
      <protection/>
    </xf>
    <xf numFmtId="0" fontId="11" fillId="0" borderId="33" xfId="61" applyFont="1" applyBorder="1" applyAlignment="1">
      <alignment horizontal="center" vertical="top" wrapText="1"/>
      <protection/>
    </xf>
    <xf numFmtId="0" fontId="31" fillId="0" borderId="33" xfId="61" applyFont="1" applyFill="1" applyBorder="1" applyAlignment="1" quotePrefix="1">
      <alignment vertical="top" wrapText="1"/>
      <protection/>
    </xf>
    <xf numFmtId="0" fontId="11" fillId="0" borderId="33" xfId="61" applyFont="1" applyBorder="1" applyAlignment="1">
      <alignment horizontal="center" vertical="top"/>
      <protection/>
    </xf>
    <xf numFmtId="0" fontId="24" fillId="0" borderId="33" xfId="61" applyFont="1" applyBorder="1" applyAlignment="1">
      <alignment horizontal="center" vertical="top"/>
      <protection/>
    </xf>
    <xf numFmtId="0" fontId="24" fillId="0" borderId="33" xfId="61" applyFont="1" applyBorder="1" applyAlignment="1">
      <alignment horizontal="right" vertical="top"/>
      <protection/>
    </xf>
    <xf numFmtId="0" fontId="31" fillId="0" borderId="33" xfId="61" applyFont="1" applyFill="1" applyBorder="1" applyAlignment="1">
      <alignment vertical="top" wrapText="1"/>
      <protection/>
    </xf>
    <xf numFmtId="0" fontId="31" fillId="0" borderId="33" xfId="61" applyFont="1" applyFill="1" applyBorder="1" applyAlignment="1">
      <alignment horizontal="left" vertical="top" wrapText="1"/>
      <protection/>
    </xf>
    <xf numFmtId="0" fontId="4" fillId="0" borderId="33" xfId="61" applyFont="1" applyBorder="1" applyAlignment="1">
      <alignment horizontal="center" vertical="top"/>
      <protection/>
    </xf>
    <xf numFmtId="0" fontId="4" fillId="0" borderId="33" xfId="61" applyFont="1" applyBorder="1" applyAlignment="1">
      <alignment horizontal="right" vertical="top"/>
      <protection/>
    </xf>
    <xf numFmtId="0" fontId="11" fillId="0" borderId="33" xfId="61" applyFont="1" applyFill="1" applyBorder="1" applyAlignment="1">
      <alignment vertical="top" wrapText="1"/>
      <protection/>
    </xf>
    <xf numFmtId="0" fontId="5" fillId="0" borderId="35" xfId="61" applyFont="1" applyBorder="1" applyAlignment="1">
      <alignment horizontal="center" vertical="top" wrapText="1"/>
      <protection/>
    </xf>
    <xf numFmtId="0" fontId="24" fillId="0" borderId="33" xfId="61" applyFont="1" applyBorder="1" applyAlignment="1">
      <alignment horizontal="left" vertical="top"/>
      <protection/>
    </xf>
    <xf numFmtId="0" fontId="24" fillId="0" borderId="30" xfId="60" applyFont="1" applyBorder="1" applyAlignment="1" quotePrefix="1">
      <alignment horizontal="left"/>
      <protection/>
    </xf>
    <xf numFmtId="0" fontId="4" fillId="0" borderId="0" xfId="61" applyAlignment="1">
      <alignment/>
      <protection/>
    </xf>
    <xf numFmtId="208" fontId="5" fillId="0" borderId="32" xfId="42" applyNumberFormat="1" applyFont="1" applyBorder="1" applyAlignment="1">
      <alignment/>
    </xf>
    <xf numFmtId="206" fontId="11" fillId="0" borderId="30" xfId="61" applyNumberFormat="1" applyFont="1" applyBorder="1" applyAlignment="1">
      <alignment vertical="top" wrapText="1"/>
      <protection/>
    </xf>
    <xf numFmtId="206" fontId="11" fillId="0" borderId="33" xfId="46" applyNumberFormat="1" applyFont="1" applyBorder="1" applyAlignment="1">
      <alignment vertical="top" wrapText="1"/>
    </xf>
    <xf numFmtId="206" fontId="4" fillId="0" borderId="33" xfId="61" applyNumberFormat="1" applyFont="1" applyBorder="1" applyAlignment="1">
      <alignment vertical="top" wrapText="1"/>
      <protection/>
    </xf>
    <xf numFmtId="206" fontId="11" fillId="0" borderId="33" xfId="46" applyNumberFormat="1" applyFont="1" applyBorder="1" applyAlignment="1">
      <alignment vertical="top"/>
    </xf>
    <xf numFmtId="0" fontId="5" fillId="33" borderId="33" xfId="61" applyFont="1" applyFill="1" applyBorder="1" applyAlignment="1">
      <alignment vertical="center"/>
      <protection/>
    </xf>
    <xf numFmtId="205" fontId="5" fillId="33" borderId="33" xfId="61" applyNumberFormat="1" applyFont="1" applyFill="1" applyBorder="1" applyAlignment="1">
      <alignment vertical="center"/>
      <protection/>
    </xf>
    <xf numFmtId="206" fontId="5" fillId="0" borderId="37" xfId="46" applyNumberFormat="1" applyFont="1" applyBorder="1" applyAlignment="1">
      <alignment vertical="top"/>
    </xf>
    <xf numFmtId="206" fontId="11" fillId="0" borderId="0" xfId="45" applyNumberFormat="1" applyFont="1" applyBorder="1" applyAlignment="1">
      <alignment/>
    </xf>
    <xf numFmtId="206" fontId="4" fillId="0" borderId="0" xfId="61" applyNumberFormat="1" applyAlignment="1">
      <alignment/>
      <protection/>
    </xf>
    <xf numFmtId="206" fontId="5" fillId="0" borderId="0" xfId="42" applyNumberFormat="1" applyFont="1" applyBorder="1" applyAlignment="1">
      <alignment/>
    </xf>
    <xf numFmtId="206" fontId="7" fillId="0" borderId="0" xfId="46" applyNumberFormat="1" applyFont="1" applyBorder="1" applyAlignment="1">
      <alignment/>
    </xf>
    <xf numFmtId="206" fontId="0" fillId="0" borderId="0" xfId="0" applyNumberFormat="1" applyAlignment="1">
      <alignment/>
    </xf>
    <xf numFmtId="0" fontId="0" fillId="0" borderId="0" xfId="0" applyAlignment="1">
      <alignment/>
    </xf>
    <xf numFmtId="0" fontId="12" fillId="0" borderId="0" xfId="61" applyFont="1" applyAlignment="1">
      <alignment/>
      <protection/>
    </xf>
    <xf numFmtId="0" fontId="4" fillId="0" borderId="30" xfId="61" applyFont="1" applyBorder="1" applyAlignment="1">
      <alignment vertical="top"/>
      <protection/>
    </xf>
    <xf numFmtId="0" fontId="24" fillId="0" borderId="33" xfId="61" applyFont="1" applyBorder="1" applyAlignment="1">
      <alignment vertical="top"/>
      <protection/>
    </xf>
    <xf numFmtId="0" fontId="24" fillId="0" borderId="33" xfId="61" applyFont="1" applyBorder="1" applyAlignment="1">
      <alignment/>
      <protection/>
    </xf>
    <xf numFmtId="0" fontId="7" fillId="0" borderId="0" xfId="61" applyFont="1" applyAlignment="1">
      <alignment/>
      <protection/>
    </xf>
    <xf numFmtId="0" fontId="10" fillId="0" borderId="0" xfId="61" applyFont="1" applyAlignment="1">
      <alignment/>
      <protection/>
    </xf>
    <xf numFmtId="0" fontId="5" fillId="0" borderId="0" xfId="61" applyFont="1" applyBorder="1" applyAlignment="1">
      <alignment/>
      <protection/>
    </xf>
    <xf numFmtId="0" fontId="6" fillId="0" borderId="0" xfId="61" applyFont="1" applyAlignment="1">
      <alignment/>
      <protection/>
    </xf>
    <xf numFmtId="206" fontId="4" fillId="0" borderId="30" xfId="61" applyNumberFormat="1" applyFont="1" applyBorder="1" applyAlignment="1">
      <alignment horizontal="right" vertical="top"/>
      <protection/>
    </xf>
    <xf numFmtId="206" fontId="4" fillId="0" borderId="33" xfId="61" applyNumberFormat="1" applyFont="1" applyBorder="1" applyAlignment="1">
      <alignment horizontal="right" vertical="top"/>
      <protection/>
    </xf>
    <xf numFmtId="0" fontId="5" fillId="33" borderId="29" xfId="60" applyFont="1" applyFill="1" applyBorder="1">
      <alignment/>
      <protection/>
    </xf>
    <xf numFmtId="0" fontId="4" fillId="33" borderId="29" xfId="60" applyFont="1" applyFill="1" applyBorder="1" applyAlignment="1">
      <alignment horizontal="center" vertical="top"/>
      <protection/>
    </xf>
    <xf numFmtId="0" fontId="5" fillId="33" borderId="29" xfId="60" applyFont="1" applyFill="1" applyBorder="1" applyAlignment="1">
      <alignment horizontal="right"/>
      <protection/>
    </xf>
    <xf numFmtId="209" fontId="5" fillId="33" borderId="29" xfId="42" applyNumberFormat="1" applyFont="1" applyFill="1" applyBorder="1" applyAlignment="1">
      <alignment horizontal="right"/>
    </xf>
    <xf numFmtId="208" fontId="5" fillId="33" borderId="29" xfId="42" applyNumberFormat="1" applyFont="1" applyFill="1" applyBorder="1" applyAlignment="1">
      <alignment horizontal="right"/>
    </xf>
    <xf numFmtId="209" fontId="5" fillId="33" borderId="37" xfId="42" applyNumberFormat="1" applyFont="1" applyFill="1" applyBorder="1" applyAlignment="1">
      <alignment horizontal="right" vertical="center"/>
    </xf>
    <xf numFmtId="208" fontId="5" fillId="33" borderId="37" xfId="42" applyNumberFormat="1" applyFont="1" applyFill="1" applyBorder="1" applyAlignment="1">
      <alignment horizontal="right" vertical="center"/>
    </xf>
    <xf numFmtId="204" fontId="11" fillId="0" borderId="13" xfId="45" applyNumberFormat="1" applyFont="1" applyBorder="1" applyAlignment="1">
      <alignment horizontal="right" vertical="top"/>
    </xf>
    <xf numFmtId="0" fontId="9" fillId="0" borderId="38" xfId="61" applyFont="1" applyBorder="1" applyAlignment="1">
      <alignment horizontal="left" vertical="center" wrapText="1"/>
      <protection/>
    </xf>
    <xf numFmtId="0" fontId="11" fillId="0" borderId="38" xfId="61" applyFont="1" applyBorder="1" applyAlignment="1">
      <alignment horizontal="left" vertical="center" wrapText="1"/>
      <protection/>
    </xf>
    <xf numFmtId="0" fontId="9" fillId="0" borderId="38" xfId="61" applyFont="1" applyBorder="1" applyAlignment="1">
      <alignment horizontal="center" vertical="center"/>
      <protection/>
    </xf>
    <xf numFmtId="0" fontId="9" fillId="0" borderId="38" xfId="61" applyFont="1" applyFill="1" applyBorder="1" applyAlignment="1">
      <alignment horizontal="center" vertical="center"/>
      <protection/>
    </xf>
    <xf numFmtId="0" fontId="4" fillId="0" borderId="32" xfId="61" applyBorder="1" applyAlignment="1">
      <alignment horizontal="center"/>
      <protection/>
    </xf>
    <xf numFmtId="0" fontId="24" fillId="0" borderId="32" xfId="61" applyFont="1" applyBorder="1" applyAlignment="1">
      <alignment horizontal="center"/>
      <protection/>
    </xf>
    <xf numFmtId="0" fontId="4" fillId="0" borderId="32" xfId="61" applyBorder="1" applyAlignment="1">
      <alignment horizontal="center" vertical="center"/>
      <protection/>
    </xf>
    <xf numFmtId="0" fontId="4" fillId="0" borderId="32" xfId="61" applyFill="1" applyBorder="1">
      <alignment/>
      <protection/>
    </xf>
    <xf numFmtId="0" fontId="5" fillId="0" borderId="38" xfId="61" applyFont="1" applyBorder="1" applyAlignment="1">
      <alignment horizontal="left" vertical="top" wrapText="1"/>
      <protection/>
    </xf>
    <xf numFmtId="0" fontId="4" fillId="0" borderId="38" xfId="61" applyFont="1" applyBorder="1" applyAlignment="1">
      <alignment horizontal="left" vertical="top" wrapText="1"/>
      <protection/>
    </xf>
    <xf numFmtId="0" fontId="11" fillId="0" borderId="38" xfId="61" applyFont="1" applyBorder="1" applyAlignment="1">
      <alignment horizontal="center" vertical="top" wrapText="1"/>
      <protection/>
    </xf>
    <xf numFmtId="0" fontId="31" fillId="0" borderId="38" xfId="61" applyFont="1" applyFill="1" applyBorder="1" applyAlignment="1">
      <alignment horizontal="left" vertical="top" wrapText="1"/>
      <protection/>
    </xf>
    <xf numFmtId="206" fontId="11" fillId="0" borderId="38" xfId="61" applyNumberFormat="1" applyFont="1" applyBorder="1" applyAlignment="1">
      <alignment horizontal="right" vertical="top" wrapText="1"/>
      <protection/>
    </xf>
    <xf numFmtId="0" fontId="4" fillId="0" borderId="38" xfId="61" applyFont="1" applyBorder="1" applyAlignment="1">
      <alignment horizontal="center" vertical="top"/>
      <protection/>
    </xf>
    <xf numFmtId="0" fontId="4" fillId="0" borderId="38" xfId="0" applyFont="1" applyBorder="1" applyAlignment="1">
      <alignment vertical="top"/>
    </xf>
    <xf numFmtId="0" fontId="4" fillId="0" borderId="38" xfId="61" applyFont="1" applyBorder="1" applyAlignment="1">
      <alignment vertical="top"/>
      <protection/>
    </xf>
    <xf numFmtId="206" fontId="4" fillId="0" borderId="38" xfId="61" applyNumberFormat="1" applyFont="1" applyBorder="1" applyAlignment="1">
      <alignment vertical="top"/>
      <protection/>
    </xf>
    <xf numFmtId="0" fontId="11" fillId="0" borderId="30" xfId="61" applyFont="1" applyBorder="1" applyAlignment="1">
      <alignment horizontal="left" vertical="top" wrapText="1"/>
      <protection/>
    </xf>
    <xf numFmtId="0" fontId="24" fillId="0" borderId="30" xfId="61" applyFont="1" applyBorder="1" applyAlignment="1">
      <alignment horizontal="left" vertical="top" wrapText="1"/>
      <protection/>
    </xf>
    <xf numFmtId="0" fontId="31" fillId="0" borderId="30" xfId="61" applyFont="1" applyFill="1" applyBorder="1" applyAlignment="1">
      <alignment vertical="top" wrapText="1"/>
      <protection/>
    </xf>
    <xf numFmtId="0" fontId="11" fillId="0" borderId="30" xfId="61" applyFont="1" applyBorder="1" applyAlignment="1">
      <alignment horizontal="center" vertical="top"/>
      <protection/>
    </xf>
    <xf numFmtId="0" fontId="24" fillId="0" borderId="30" xfId="61" applyFont="1" applyBorder="1" applyAlignment="1">
      <alignment horizontal="center" vertical="top"/>
      <protection/>
    </xf>
    <xf numFmtId="0" fontId="24" fillId="0" borderId="30" xfId="61" applyFont="1" applyBorder="1" applyAlignment="1">
      <alignment vertical="top"/>
      <protection/>
    </xf>
    <xf numFmtId="206" fontId="4" fillId="0" borderId="30" xfId="61" applyNumberFormat="1" applyFont="1" applyBorder="1" applyAlignment="1">
      <alignment vertical="top"/>
      <protection/>
    </xf>
    <xf numFmtId="206" fontId="5" fillId="33" borderId="33" xfId="46" applyNumberFormat="1" applyFont="1" applyFill="1" applyBorder="1" applyAlignment="1">
      <alignment horizontal="right" vertical="center" wrapText="1"/>
    </xf>
    <xf numFmtId="0" fontId="5" fillId="0" borderId="30" xfId="61" applyFont="1" applyBorder="1" applyAlignment="1">
      <alignment horizontal="left" vertical="top" wrapText="1"/>
      <protection/>
    </xf>
    <xf numFmtId="0" fontId="4" fillId="0" borderId="30" xfId="0" applyFont="1" applyBorder="1" applyAlignment="1">
      <alignment vertical="top"/>
    </xf>
    <xf numFmtId="0" fontId="5" fillId="0" borderId="29" xfId="61" applyFont="1" applyBorder="1" applyAlignment="1">
      <alignment horizontal="left" vertical="top"/>
      <protection/>
    </xf>
    <xf numFmtId="0" fontId="24" fillId="0" borderId="30" xfId="61" applyFont="1" applyBorder="1" applyAlignment="1">
      <alignment horizontal="left" vertical="top"/>
      <protection/>
    </xf>
    <xf numFmtId="49" fontId="11" fillId="0" borderId="30" xfId="61" applyNumberFormat="1" applyFont="1" applyBorder="1" applyAlignment="1">
      <alignment horizontal="center" vertical="top" wrapText="1"/>
      <protection/>
    </xf>
    <xf numFmtId="206" fontId="11" fillId="0" borderId="30" xfId="46" applyNumberFormat="1" applyFont="1" applyBorder="1" applyAlignment="1">
      <alignment vertical="top"/>
    </xf>
    <xf numFmtId="0" fontId="11" fillId="0" borderId="30" xfId="61" applyFont="1" applyBorder="1" applyAlignment="1">
      <alignment vertical="top"/>
      <protection/>
    </xf>
    <xf numFmtId="206" fontId="11" fillId="0" borderId="30" xfId="61" applyNumberFormat="1" applyFont="1" applyBorder="1" applyAlignment="1">
      <alignment vertical="top"/>
      <protection/>
    </xf>
    <xf numFmtId="0" fontId="11" fillId="0" borderId="30" xfId="61" applyFont="1" applyBorder="1" applyAlignment="1">
      <alignment horizontal="left" vertical="top"/>
      <protection/>
    </xf>
    <xf numFmtId="0" fontId="31" fillId="0" borderId="30" xfId="61" applyFont="1" applyFill="1" applyBorder="1" applyAlignment="1" quotePrefix="1">
      <alignment vertical="top" wrapText="1"/>
      <protection/>
    </xf>
    <xf numFmtId="205" fontId="11" fillId="0" borderId="30" xfId="61" applyNumberFormat="1" applyFont="1" applyBorder="1" applyAlignment="1">
      <alignment vertical="top"/>
      <protection/>
    </xf>
    <xf numFmtId="0" fontId="5" fillId="0" borderId="30" xfId="61" applyFont="1" applyBorder="1" applyAlignment="1">
      <alignment horizontal="left" vertical="top"/>
      <protection/>
    </xf>
    <xf numFmtId="0" fontId="31" fillId="0" borderId="30" xfId="61" applyFont="1" applyBorder="1" applyAlignment="1">
      <alignment horizontal="center" vertical="top" wrapText="1"/>
      <protection/>
    </xf>
    <xf numFmtId="205" fontId="5" fillId="33" borderId="33" xfId="61" applyNumberFormat="1" applyFont="1" applyFill="1" applyBorder="1" applyAlignment="1">
      <alignment horizontal="center" vertical="center"/>
      <protection/>
    </xf>
    <xf numFmtId="0" fontId="31" fillId="0" borderId="30" xfId="61" applyFont="1" applyBorder="1" applyAlignment="1">
      <alignment horizontal="center" vertical="top"/>
      <protection/>
    </xf>
    <xf numFmtId="0" fontId="24" fillId="34" borderId="30" xfId="61" applyFont="1" applyFill="1" applyBorder="1" applyAlignment="1">
      <alignment vertical="top"/>
      <protection/>
    </xf>
    <xf numFmtId="0" fontId="11" fillId="0" borderId="30" xfId="61" applyFont="1" applyFill="1" applyBorder="1" applyAlignment="1">
      <alignment horizontal="left" vertical="top" wrapText="1"/>
      <protection/>
    </xf>
    <xf numFmtId="0" fontId="11" fillId="0" borderId="30" xfId="61" applyFont="1" applyFill="1" applyBorder="1" applyAlignment="1">
      <alignment vertical="top" wrapText="1"/>
      <protection/>
    </xf>
    <xf numFmtId="0" fontId="24" fillId="0" borderId="30" xfId="61" applyFont="1" applyBorder="1" applyAlignment="1">
      <alignment horizontal="center" vertical="top" wrapText="1"/>
      <protection/>
    </xf>
    <xf numFmtId="0" fontId="24" fillId="0" borderId="30" xfId="61" applyFont="1" applyBorder="1" applyAlignment="1">
      <alignment vertical="top" wrapText="1"/>
      <protection/>
    </xf>
    <xf numFmtId="0" fontId="5" fillId="0" borderId="29" xfId="61" applyFont="1" applyBorder="1" applyAlignment="1">
      <alignment horizontal="left" vertical="top" wrapText="1"/>
      <protection/>
    </xf>
    <xf numFmtId="0" fontId="24" fillId="0" borderId="29" xfId="61" applyFont="1" applyBorder="1" applyAlignment="1">
      <alignment horizontal="left" vertical="top" wrapText="1"/>
      <protection/>
    </xf>
    <xf numFmtId="0" fontId="11" fillId="0" borderId="29" xfId="61" applyFont="1" applyBorder="1" applyAlignment="1">
      <alignment horizontal="center" vertical="top" wrapText="1"/>
      <protection/>
    </xf>
    <xf numFmtId="0" fontId="11" fillId="0" borderId="29" xfId="61" applyFont="1" applyFill="1" applyBorder="1" applyAlignment="1">
      <alignment horizontal="left" vertical="top" wrapText="1"/>
      <protection/>
    </xf>
    <xf numFmtId="206" fontId="11" fillId="0" borderId="29" xfId="46" applyNumberFormat="1" applyFont="1" applyBorder="1" applyAlignment="1">
      <alignment vertical="top" wrapText="1"/>
    </xf>
    <xf numFmtId="0" fontId="24" fillId="0" borderId="29" xfId="0" applyFont="1" applyBorder="1" applyAlignment="1">
      <alignment vertical="top" wrapText="1"/>
    </xf>
    <xf numFmtId="0" fontId="11" fillId="0" borderId="29" xfId="61" applyFont="1" applyBorder="1" applyAlignment="1">
      <alignment vertical="top" wrapText="1"/>
      <protection/>
    </xf>
    <xf numFmtId="0" fontId="5" fillId="0" borderId="37" xfId="61" applyFont="1" applyBorder="1" applyAlignment="1">
      <alignment horizontal="left" vertical="top"/>
      <protection/>
    </xf>
    <xf numFmtId="192" fontId="11" fillId="0" borderId="30" xfId="61" applyNumberFormat="1" applyFont="1" applyBorder="1" applyAlignment="1">
      <alignment vertical="top"/>
      <protection/>
    </xf>
    <xf numFmtId="3" fontId="5" fillId="33" borderId="33" xfId="46" applyNumberFormat="1" applyFont="1" applyFill="1" applyBorder="1" applyAlignment="1">
      <alignment horizontal="right" vertical="center" wrapText="1"/>
    </xf>
    <xf numFmtId="1" fontId="5" fillId="33" borderId="33" xfId="61" applyNumberFormat="1" applyFont="1" applyFill="1" applyBorder="1" applyAlignment="1">
      <alignment horizontal="right" vertical="center"/>
      <protection/>
    </xf>
    <xf numFmtId="194" fontId="5" fillId="33" borderId="33" xfId="61" applyNumberFormat="1" applyFont="1" applyFill="1" applyBorder="1" applyAlignment="1">
      <alignment horizontal="center" vertical="center"/>
      <protection/>
    </xf>
    <xf numFmtId="1" fontId="5" fillId="33" borderId="33" xfId="61" applyNumberFormat="1" applyFont="1" applyFill="1" applyBorder="1" applyAlignment="1">
      <alignment vertical="center"/>
      <protection/>
    </xf>
    <xf numFmtId="0" fontId="24" fillId="0" borderId="30" xfId="0" applyFont="1" applyBorder="1" applyAlignment="1" quotePrefix="1">
      <alignment horizontal="left"/>
    </xf>
    <xf numFmtId="194" fontId="5" fillId="33" borderId="29" xfId="61" applyNumberFormat="1" applyFont="1" applyFill="1" applyBorder="1" applyAlignment="1">
      <alignment horizontal="center" vertical="center"/>
      <protection/>
    </xf>
    <xf numFmtId="206" fontId="5" fillId="33" borderId="29" xfId="46" applyNumberFormat="1" applyFont="1" applyFill="1" applyBorder="1" applyAlignment="1">
      <alignment horizontal="right" vertical="center" wrapText="1"/>
    </xf>
    <xf numFmtId="0" fontId="5" fillId="33" borderId="29" xfId="61" applyFont="1" applyFill="1" applyBorder="1" applyAlignment="1">
      <alignment horizontal="right" vertical="center"/>
      <protection/>
    </xf>
    <xf numFmtId="0" fontId="4" fillId="0" borderId="0" xfId="60" applyFont="1" applyBorder="1" applyAlignment="1">
      <alignment horizontal="center"/>
      <protection/>
    </xf>
    <xf numFmtId="203" fontId="4" fillId="0" borderId="0" xfId="60" applyNumberFormat="1" applyFont="1" applyBorder="1" applyAlignment="1">
      <alignment horizontal="center"/>
      <protection/>
    </xf>
    <xf numFmtId="205" fontId="4" fillId="0" borderId="0" xfId="60" applyNumberFormat="1" applyFont="1" applyBorder="1" applyAlignment="1">
      <alignment horizontal="center"/>
      <protection/>
    </xf>
    <xf numFmtId="194" fontId="4" fillId="0" borderId="0" xfId="60" applyNumberFormat="1" applyFont="1" applyBorder="1" applyAlignment="1">
      <alignment horizontal="center"/>
      <protection/>
    </xf>
    <xf numFmtId="0" fontId="4" fillId="0" borderId="10" xfId="60" applyFont="1" applyBorder="1" applyAlignment="1">
      <alignment horizontal="center"/>
      <protection/>
    </xf>
    <xf numFmtId="203" fontId="4" fillId="0" borderId="10" xfId="45" applyNumberFormat="1" applyFont="1" applyBorder="1" applyAlignment="1">
      <alignment/>
    </xf>
    <xf numFmtId="205" fontId="4" fillId="0" borderId="10" xfId="45" applyNumberFormat="1" applyFont="1" applyBorder="1" applyAlignment="1">
      <alignment/>
    </xf>
    <xf numFmtId="204" fontId="4" fillId="0" borderId="10" xfId="45" applyNumberFormat="1" applyFont="1" applyBorder="1" applyAlignment="1">
      <alignment horizontal="center"/>
    </xf>
    <xf numFmtId="205" fontId="4" fillId="0" borderId="10" xfId="45" applyNumberFormat="1" applyFont="1" applyBorder="1" applyAlignment="1">
      <alignment horizontal="center"/>
    </xf>
    <xf numFmtId="203" fontId="4" fillId="0" borderId="10" xfId="45" applyNumberFormat="1" applyFont="1" applyBorder="1" applyAlignment="1">
      <alignment horizontal="center"/>
    </xf>
    <xf numFmtId="204" fontId="4" fillId="0" borderId="10" xfId="45" applyNumberFormat="1" applyFont="1" applyBorder="1" applyAlignment="1">
      <alignment/>
    </xf>
    <xf numFmtId="203" fontId="4" fillId="0" borderId="10" xfId="60" applyNumberFormat="1" applyFont="1" applyBorder="1" applyAlignment="1">
      <alignment horizontal="center"/>
      <protection/>
    </xf>
    <xf numFmtId="205" fontId="4" fillId="0" borderId="10" xfId="60" applyNumberFormat="1" applyFont="1" applyBorder="1" applyAlignment="1">
      <alignment horizontal="center"/>
      <protection/>
    </xf>
    <xf numFmtId="209" fontId="4" fillId="0" borderId="0" xfId="60" applyNumberFormat="1" applyFont="1" applyBorder="1" applyAlignment="1">
      <alignment horizontal="center"/>
      <protection/>
    </xf>
    <xf numFmtId="203" fontId="4" fillId="0" borderId="10" xfId="45" applyNumberFormat="1" applyFont="1" applyBorder="1" applyAlignment="1">
      <alignment horizontal="right"/>
    </xf>
    <xf numFmtId="205" fontId="4" fillId="0" borderId="10" xfId="45" applyNumberFormat="1" applyFont="1" applyBorder="1" applyAlignment="1">
      <alignment horizontal="right"/>
    </xf>
    <xf numFmtId="204" fontId="4" fillId="0" borderId="10" xfId="45" applyNumberFormat="1" applyFont="1" applyBorder="1" applyAlignment="1">
      <alignment horizontal="right"/>
    </xf>
    <xf numFmtId="0" fontId="4" fillId="0" borderId="11" xfId="60" applyFont="1" applyBorder="1" applyAlignment="1">
      <alignment horizontal="center"/>
      <protection/>
    </xf>
    <xf numFmtId="203" fontId="4" fillId="0" borderId="11" xfId="45" applyNumberFormat="1" applyFont="1" applyBorder="1" applyAlignment="1">
      <alignment horizontal="right"/>
    </xf>
    <xf numFmtId="205" fontId="4" fillId="0" borderId="11" xfId="45" applyNumberFormat="1" applyFont="1" applyBorder="1" applyAlignment="1">
      <alignment horizontal="right"/>
    </xf>
    <xf numFmtId="204" fontId="4" fillId="0" borderId="11" xfId="45" applyNumberFormat="1" applyFont="1" applyBorder="1" applyAlignment="1">
      <alignment horizontal="right"/>
    </xf>
    <xf numFmtId="0" fontId="4" fillId="0" borderId="0" xfId="60" applyFont="1" applyAlignment="1">
      <alignment horizontal="center"/>
      <protection/>
    </xf>
    <xf numFmtId="203" fontId="4" fillId="0" borderId="0" xfId="45" applyNumberFormat="1" applyFont="1" applyAlignment="1">
      <alignment/>
    </xf>
    <xf numFmtId="205" fontId="4" fillId="0" borderId="0" xfId="45" applyNumberFormat="1" applyFont="1" applyAlignment="1">
      <alignment/>
    </xf>
    <xf numFmtId="204" fontId="4" fillId="0" borderId="0" xfId="45" applyNumberFormat="1" applyFont="1" applyAlignment="1">
      <alignment/>
    </xf>
    <xf numFmtId="0" fontId="4" fillId="0" borderId="0" xfId="60" applyFont="1">
      <alignment/>
      <protection/>
    </xf>
    <xf numFmtId="205" fontId="4" fillId="0" borderId="0" xfId="60" applyNumberFormat="1" applyFont="1">
      <alignment/>
      <protection/>
    </xf>
    <xf numFmtId="204" fontId="4" fillId="0" borderId="0" xfId="45" applyNumberFormat="1" applyFont="1" applyAlignment="1">
      <alignment horizontal="center"/>
    </xf>
    <xf numFmtId="203" fontId="4" fillId="0" borderId="0" xfId="60" applyNumberFormat="1" applyFont="1">
      <alignment/>
      <protection/>
    </xf>
    <xf numFmtId="208" fontId="4" fillId="0" borderId="0" xfId="60" applyNumberFormat="1" applyFont="1" applyBorder="1" applyAlignment="1">
      <alignment horizontal="center"/>
      <protection/>
    </xf>
    <xf numFmtId="209" fontId="4" fillId="0" borderId="10" xfId="45" applyNumberFormat="1" applyFont="1" applyBorder="1" applyAlignment="1">
      <alignment horizontal="center"/>
    </xf>
    <xf numFmtId="203" fontId="11" fillId="0" borderId="0" xfId="45" applyNumberFormat="1" applyFont="1" applyBorder="1" applyAlignment="1">
      <alignment horizontal="center"/>
    </xf>
    <xf numFmtId="203" fontId="11" fillId="0" borderId="11" xfId="45" applyNumberFormat="1" applyFont="1" applyBorder="1" applyAlignment="1">
      <alignment horizontal="center"/>
    </xf>
    <xf numFmtId="0" fontId="5" fillId="0" borderId="16" xfId="61" applyFont="1" applyBorder="1" applyAlignment="1">
      <alignment vertical="center"/>
      <protection/>
    </xf>
    <xf numFmtId="204" fontId="11" fillId="0" borderId="16" xfId="46" applyNumberFormat="1" applyFont="1" applyBorder="1" applyAlignment="1">
      <alignment horizontal="right" vertical="center"/>
    </xf>
    <xf numFmtId="205" fontId="11" fillId="0" borderId="16" xfId="46" applyNumberFormat="1" applyFont="1" applyBorder="1" applyAlignment="1">
      <alignment horizontal="right" vertical="center"/>
    </xf>
    <xf numFmtId="209" fontId="4" fillId="0" borderId="30" xfId="42" applyNumberFormat="1" applyFont="1" applyBorder="1" applyAlignment="1">
      <alignment horizontal="right"/>
    </xf>
    <xf numFmtId="208" fontId="4" fillId="0" borderId="30" xfId="42" applyNumberFormat="1" applyFont="1" applyBorder="1" applyAlignment="1">
      <alignment horizontal="right"/>
    </xf>
    <xf numFmtId="209" fontId="4" fillId="0" borderId="30" xfId="42" applyNumberFormat="1" applyFont="1" applyBorder="1" applyAlignment="1">
      <alignment/>
    </xf>
    <xf numFmtId="208" fontId="5" fillId="0" borderId="30" xfId="42" applyNumberFormat="1" applyFont="1" applyFill="1" applyBorder="1" applyAlignment="1">
      <alignment horizontal="right"/>
    </xf>
    <xf numFmtId="204" fontId="24" fillId="0" borderId="0" xfId="45" applyNumberFormat="1" applyFont="1" applyAlignment="1">
      <alignment horizontal="left"/>
    </xf>
    <xf numFmtId="1" fontId="7" fillId="0" borderId="20" xfId="68" applyNumberFormat="1" applyFont="1" applyBorder="1" applyAlignment="1">
      <alignment horizontal="right"/>
      <protection/>
    </xf>
    <xf numFmtId="1" fontId="7" fillId="0" borderId="11" xfId="68" applyNumberFormat="1" applyFont="1" applyBorder="1" applyAlignment="1">
      <alignment horizontal="right"/>
      <protection/>
    </xf>
    <xf numFmtId="205" fontId="7" fillId="35" borderId="39" xfId="68" applyNumberFormat="1" applyFont="1" applyFill="1" applyBorder="1" applyAlignment="1">
      <alignment horizontal="right"/>
      <protection/>
    </xf>
    <xf numFmtId="205" fontId="7" fillId="35" borderId="10" xfId="68" applyNumberFormat="1" applyFont="1" applyFill="1" applyBorder="1" applyAlignment="1">
      <alignment horizontal="right"/>
      <protection/>
    </xf>
    <xf numFmtId="205" fontId="7" fillId="35" borderId="40" xfId="68" applyNumberFormat="1" applyFont="1" applyFill="1" applyBorder="1" applyAlignment="1">
      <alignment horizontal="right"/>
      <protection/>
    </xf>
    <xf numFmtId="204" fontId="0" fillId="0" borderId="0" xfId="0" applyNumberFormat="1" applyFont="1" applyBorder="1" applyAlignment="1">
      <alignment/>
    </xf>
    <xf numFmtId="204" fontId="0" fillId="0" borderId="0" xfId="0" applyNumberFormat="1" applyFont="1" applyFill="1" applyBorder="1" applyAlignment="1">
      <alignment/>
    </xf>
    <xf numFmtId="0" fontId="0" fillId="0" borderId="0" xfId="0" applyFont="1" applyFill="1" applyBorder="1" applyAlignment="1">
      <alignment/>
    </xf>
    <xf numFmtId="0" fontId="13" fillId="0" borderId="0" xfId="60" applyFont="1" applyFill="1" applyBorder="1">
      <alignment/>
      <protection/>
    </xf>
    <xf numFmtId="1" fontId="7" fillId="35" borderId="41" xfId="68" applyNumberFormat="1" applyFont="1" applyFill="1" applyBorder="1" applyAlignment="1">
      <alignment horizontal="right"/>
      <protection/>
    </xf>
    <xf numFmtId="205" fontId="13" fillId="0" borderId="20" xfId="45" applyNumberFormat="1" applyFont="1" applyBorder="1" applyAlignment="1">
      <alignment/>
    </xf>
    <xf numFmtId="205" fontId="13" fillId="0" borderId="11" xfId="45" applyNumberFormat="1" applyFont="1" applyBorder="1" applyAlignment="1">
      <alignment/>
    </xf>
    <xf numFmtId="205" fontId="13" fillId="0" borderId="22" xfId="45" applyNumberFormat="1" applyFont="1" applyBorder="1" applyAlignment="1">
      <alignment/>
    </xf>
    <xf numFmtId="203" fontId="7" fillId="35" borderId="41" xfId="68" applyNumberFormat="1" applyFont="1" applyFill="1" applyBorder="1" applyAlignment="1">
      <alignment horizontal="right"/>
      <protection/>
    </xf>
    <xf numFmtId="203" fontId="7" fillId="35" borderId="16" xfId="68" applyNumberFormat="1" applyFont="1" applyFill="1" applyBorder="1" applyAlignment="1">
      <alignment horizontal="right"/>
      <protection/>
    </xf>
    <xf numFmtId="203" fontId="7" fillId="35" borderId="34" xfId="68" applyNumberFormat="1" applyFont="1" applyFill="1" applyBorder="1" applyAlignment="1">
      <alignment horizontal="right"/>
      <protection/>
    </xf>
    <xf numFmtId="0" fontId="5" fillId="34" borderId="0" xfId="61" applyFont="1" applyFill="1" applyBorder="1">
      <alignment/>
      <protection/>
    </xf>
    <xf numFmtId="0" fontId="5" fillId="0" borderId="13" xfId="60" applyFont="1" applyBorder="1" applyAlignment="1">
      <alignment horizontal="center"/>
      <protection/>
    </xf>
    <xf numFmtId="205" fontId="5" fillId="0" borderId="13" xfId="45" applyNumberFormat="1" applyFont="1" applyBorder="1" applyAlignment="1">
      <alignment horizontal="center"/>
    </xf>
    <xf numFmtId="205" fontId="7" fillId="0" borderId="0" xfId="60" applyNumberFormat="1" applyFont="1" applyAlignment="1">
      <alignment/>
      <protection/>
    </xf>
    <xf numFmtId="205" fontId="5" fillId="0" borderId="13" xfId="45" applyNumberFormat="1" applyFont="1" applyBorder="1" applyAlignment="1">
      <alignment/>
    </xf>
    <xf numFmtId="205" fontId="12" fillId="0" borderId="0" xfId="45" applyNumberFormat="1" applyFont="1" applyBorder="1" applyAlignment="1">
      <alignment/>
    </xf>
    <xf numFmtId="205" fontId="5" fillId="0" borderId="0" xfId="45" applyNumberFormat="1" applyFont="1" applyBorder="1" applyAlignment="1">
      <alignment/>
    </xf>
    <xf numFmtId="205" fontId="5" fillId="0" borderId="11" xfId="45" applyNumberFormat="1" applyFont="1" applyBorder="1" applyAlignment="1">
      <alignment/>
    </xf>
    <xf numFmtId="205" fontId="5" fillId="0" borderId="10" xfId="45" applyNumberFormat="1" applyFont="1" applyBorder="1" applyAlignment="1">
      <alignment/>
    </xf>
    <xf numFmtId="208" fontId="5" fillId="33" borderId="13" xfId="42" applyNumberFormat="1" applyFont="1" applyFill="1" applyBorder="1" applyAlignment="1">
      <alignment/>
    </xf>
    <xf numFmtId="0" fontId="4" fillId="0" borderId="0" xfId="61" applyFont="1" applyAlignment="1">
      <alignment/>
      <protection/>
    </xf>
    <xf numFmtId="205" fontId="0" fillId="0" borderId="0" xfId="0" applyNumberFormat="1" applyFont="1" applyAlignment="1">
      <alignment/>
    </xf>
    <xf numFmtId="0" fontId="4" fillId="0" borderId="11" xfId="60" applyFont="1" applyBorder="1" applyAlignment="1">
      <alignment horizontal="center"/>
      <protection/>
    </xf>
    <xf numFmtId="205" fontId="4" fillId="0" borderId="11" xfId="45" applyNumberFormat="1" applyFont="1" applyBorder="1" applyAlignment="1">
      <alignment/>
    </xf>
    <xf numFmtId="204" fontId="4" fillId="0" borderId="11" xfId="45" applyNumberFormat="1" applyFont="1" applyBorder="1" applyAlignment="1">
      <alignment/>
    </xf>
    <xf numFmtId="0" fontId="4" fillId="0" borderId="11" xfId="60" applyFont="1" applyBorder="1">
      <alignment/>
      <protection/>
    </xf>
    <xf numFmtId="205" fontId="4" fillId="0" borderId="11" xfId="60" applyNumberFormat="1" applyFont="1" applyBorder="1">
      <alignment/>
      <protection/>
    </xf>
    <xf numFmtId="206" fontId="5" fillId="33" borderId="33" xfId="61" applyNumberFormat="1" applyFont="1" applyFill="1" applyBorder="1" applyAlignment="1">
      <alignment vertical="center"/>
      <protection/>
    </xf>
    <xf numFmtId="3" fontId="5" fillId="33" borderId="33" xfId="61" applyNumberFormat="1" applyFont="1" applyFill="1" applyBorder="1" applyAlignment="1">
      <alignment vertical="center"/>
      <protection/>
    </xf>
    <xf numFmtId="0" fontId="24" fillId="0" borderId="11" xfId="60" applyFont="1" applyBorder="1">
      <alignment/>
      <protection/>
    </xf>
    <xf numFmtId="0" fontId="35" fillId="0" borderId="0" xfId="60" applyFont="1">
      <alignment/>
      <protection/>
    </xf>
    <xf numFmtId="209" fontId="5" fillId="36" borderId="13" xfId="42" applyNumberFormat="1" applyFont="1" applyFill="1" applyBorder="1" applyAlignment="1">
      <alignment/>
    </xf>
    <xf numFmtId="206" fontId="7" fillId="0" borderId="0" xfId="61" applyNumberFormat="1" applyFont="1" applyAlignment="1">
      <alignment horizontal="right"/>
      <protection/>
    </xf>
    <xf numFmtId="205" fontId="3" fillId="0" borderId="0" xfId="56" applyNumberFormat="1" applyAlignment="1" applyProtection="1">
      <alignment/>
      <protection/>
    </xf>
    <xf numFmtId="208" fontId="5" fillId="0" borderId="32" xfId="42" applyNumberFormat="1" applyFont="1" applyBorder="1" applyAlignment="1">
      <alignment horizontal="center"/>
    </xf>
    <xf numFmtId="205" fontId="5" fillId="0" borderId="13" xfId="46" applyNumberFormat="1" applyFont="1" applyBorder="1" applyAlignment="1">
      <alignment horizontal="center" vertical="center"/>
    </xf>
    <xf numFmtId="205" fontId="5" fillId="0" borderId="13" xfId="61" applyNumberFormat="1" applyFont="1" applyBorder="1" applyAlignment="1">
      <alignment horizontal="center" vertical="center"/>
      <protection/>
    </xf>
    <xf numFmtId="43" fontId="0" fillId="0" borderId="0" xfId="0" applyNumberFormat="1" applyFont="1" applyAlignment="1">
      <alignment/>
    </xf>
    <xf numFmtId="204" fontId="7" fillId="0" borderId="20" xfId="60" applyNumberFormat="1" applyFont="1" applyBorder="1">
      <alignment/>
      <protection/>
    </xf>
    <xf numFmtId="0" fontId="24" fillId="0" borderId="0" xfId="61" applyFont="1" applyBorder="1" applyAlignment="1">
      <alignment vertical="top" wrapText="1"/>
      <protection/>
    </xf>
    <xf numFmtId="0" fontId="24" fillId="0" borderId="0" xfId="61" applyFont="1" applyBorder="1" applyAlignment="1">
      <alignment horizontal="left" vertical="top" wrapText="1"/>
      <protection/>
    </xf>
    <xf numFmtId="209" fontId="24" fillId="0" borderId="30" xfId="42" applyNumberFormat="1" applyFont="1" applyFill="1" applyBorder="1" applyAlignment="1">
      <alignment vertical="top"/>
    </xf>
    <xf numFmtId="209" fontId="24" fillId="0" borderId="30" xfId="42" applyNumberFormat="1" applyFont="1" applyFill="1" applyBorder="1" applyAlignment="1">
      <alignment horizontal="right" vertical="top"/>
    </xf>
    <xf numFmtId="208" fontId="24" fillId="0" borderId="30" xfId="42" applyNumberFormat="1" applyFont="1" applyFill="1" applyBorder="1" applyAlignment="1">
      <alignment horizontal="right" vertical="top" wrapText="1"/>
    </xf>
    <xf numFmtId="0" fontId="24" fillId="0" borderId="30" xfId="0" applyFont="1" applyBorder="1" applyAlignment="1">
      <alignment vertical="top" wrapText="1"/>
    </xf>
    <xf numFmtId="208" fontId="24" fillId="0" borderId="30" xfId="42" applyNumberFormat="1" applyFont="1" applyBorder="1" applyAlignment="1">
      <alignment horizontal="right" vertical="top"/>
    </xf>
    <xf numFmtId="0" fontId="24" fillId="0" borderId="30" xfId="0" applyFont="1" applyBorder="1" applyAlignment="1">
      <alignment/>
    </xf>
    <xf numFmtId="0" fontId="24" fillId="0" borderId="30" xfId="60" applyFont="1" applyBorder="1" applyAlignment="1">
      <alignment vertical="top" wrapText="1"/>
      <protection/>
    </xf>
    <xf numFmtId="0" fontId="24" fillId="0" borderId="30" xfId="60" applyFont="1" applyFill="1" applyBorder="1" applyAlignment="1">
      <alignment vertical="top" wrapText="1"/>
      <protection/>
    </xf>
    <xf numFmtId="0" fontId="24" fillId="0" borderId="0" xfId="0" applyFont="1" applyBorder="1" applyAlignment="1">
      <alignment/>
    </xf>
    <xf numFmtId="0" fontId="24" fillId="0" borderId="30" xfId="60" applyFont="1" applyBorder="1" applyAlignment="1">
      <alignment wrapText="1"/>
      <protection/>
    </xf>
    <xf numFmtId="208" fontId="24" fillId="0" borderId="30" xfId="42" applyNumberFormat="1" applyFont="1" applyFill="1" applyBorder="1" applyAlignment="1">
      <alignment horizontal="right" vertical="top"/>
    </xf>
    <xf numFmtId="208" fontId="24" fillId="0" borderId="30" xfId="42" applyNumberFormat="1" applyFont="1" applyFill="1" applyBorder="1" applyAlignment="1">
      <alignment vertical="top"/>
    </xf>
    <xf numFmtId="0" fontId="24" fillId="0" borderId="0" xfId="0" applyFont="1" applyAlignment="1">
      <alignment vertical="top" wrapText="1"/>
    </xf>
    <xf numFmtId="208" fontId="24" fillId="0" borderId="30" xfId="42" applyNumberFormat="1" applyFont="1" applyBorder="1" applyAlignment="1">
      <alignment horizontal="right" vertical="top" wrapText="1"/>
    </xf>
    <xf numFmtId="0" fontId="24" fillId="0" borderId="30" xfId="60" applyFont="1" applyBorder="1" applyAlignment="1">
      <alignment horizontal="left" vertical="top" wrapText="1"/>
      <protection/>
    </xf>
    <xf numFmtId="0" fontId="24" fillId="0" borderId="30" xfId="60" applyFont="1" applyFill="1" applyBorder="1" applyAlignment="1">
      <alignment horizontal="left" vertical="top" wrapText="1"/>
      <protection/>
    </xf>
    <xf numFmtId="0" fontId="24" fillId="0" borderId="30" xfId="60" applyFont="1" applyFill="1" applyBorder="1" applyAlignment="1" quotePrefix="1">
      <alignment horizontal="left" vertical="top" wrapText="1"/>
      <protection/>
    </xf>
    <xf numFmtId="0" fontId="24" fillId="0" borderId="0" xfId="60" applyFont="1" applyBorder="1" applyAlignment="1">
      <alignment vertical="top" wrapText="1"/>
      <protection/>
    </xf>
    <xf numFmtId="0" fontId="24" fillId="0" borderId="30" xfId="60" applyFont="1" applyBorder="1" applyAlignment="1" quotePrefix="1">
      <alignment vertical="top" wrapText="1"/>
      <protection/>
    </xf>
    <xf numFmtId="204" fontId="24" fillId="0" borderId="0" xfId="45" applyNumberFormat="1" applyFont="1" applyBorder="1" applyAlignment="1">
      <alignment horizontal="right" vertical="top"/>
    </xf>
    <xf numFmtId="205" fontId="24" fillId="0" borderId="0" xfId="45" applyNumberFormat="1" applyFont="1" applyBorder="1" applyAlignment="1">
      <alignment horizontal="right" vertical="top"/>
    </xf>
    <xf numFmtId="204" fontId="24" fillId="0" borderId="0" xfId="45" applyNumberFormat="1" applyFont="1" applyAlignment="1">
      <alignment vertical="top" wrapText="1"/>
    </xf>
    <xf numFmtId="205" fontId="24" fillId="0" borderId="0" xfId="0" applyNumberFormat="1" applyFont="1" applyAlignment="1">
      <alignment vertical="top"/>
    </xf>
    <xf numFmtId="209" fontId="5" fillId="33" borderId="29" xfId="42" applyNumberFormat="1" applyFont="1" applyFill="1" applyBorder="1" applyAlignment="1">
      <alignment/>
    </xf>
    <xf numFmtId="0" fontId="5" fillId="0" borderId="29" xfId="60" applyFont="1" applyBorder="1" applyAlignment="1">
      <alignment vertical="top" wrapText="1"/>
      <protection/>
    </xf>
    <xf numFmtId="208" fontId="5" fillId="33" borderId="33" xfId="42" applyNumberFormat="1" applyFont="1" applyFill="1" applyBorder="1" applyAlignment="1">
      <alignment/>
    </xf>
    <xf numFmtId="209" fontId="5" fillId="0" borderId="30" xfId="42" applyNumberFormat="1" applyFont="1" applyBorder="1" applyAlignment="1">
      <alignment horizontal="center"/>
    </xf>
    <xf numFmtId="208" fontId="5" fillId="0" borderId="30" xfId="42" applyNumberFormat="1" applyFont="1" applyBorder="1" applyAlignment="1">
      <alignment horizontal="center"/>
    </xf>
    <xf numFmtId="208" fontId="5" fillId="0" borderId="30" xfId="42" applyNumberFormat="1" applyFont="1" applyBorder="1" applyAlignment="1">
      <alignment horizontal="right" vertical="center" textRotation="60"/>
    </xf>
    <xf numFmtId="208" fontId="5" fillId="0" borderId="30" xfId="42" applyNumberFormat="1" applyFont="1" applyBorder="1" applyAlignment="1">
      <alignment horizontal="center" vertical="center"/>
    </xf>
    <xf numFmtId="208" fontId="4" fillId="0" borderId="30" xfId="42" applyNumberFormat="1" applyFont="1" applyBorder="1" applyAlignment="1">
      <alignment horizontal="center" vertical="top"/>
    </xf>
    <xf numFmtId="209" fontId="5" fillId="0" borderId="30" xfId="42" applyNumberFormat="1" applyFont="1" applyBorder="1" applyAlignment="1">
      <alignment horizontal="right" vertical="top"/>
    </xf>
    <xf numFmtId="208" fontId="5" fillId="0" borderId="30" xfId="42" applyNumberFormat="1" applyFont="1" applyBorder="1" applyAlignment="1">
      <alignment horizontal="right" vertical="top"/>
    </xf>
    <xf numFmtId="209" fontId="5" fillId="0" borderId="30" xfId="42" applyNumberFormat="1" applyFont="1" applyBorder="1" applyAlignment="1">
      <alignment horizontal="center" vertical="top"/>
    </xf>
    <xf numFmtId="208" fontId="5" fillId="0" borderId="30" xfId="42" applyNumberFormat="1" applyFont="1" applyBorder="1" applyAlignment="1">
      <alignment horizontal="center" vertical="top"/>
    </xf>
    <xf numFmtId="209" fontId="4" fillId="0" borderId="30" xfId="42" applyNumberFormat="1" applyFont="1" applyBorder="1" applyAlignment="1">
      <alignment horizontal="center" vertical="top"/>
    </xf>
    <xf numFmtId="0" fontId="4" fillId="0" borderId="30" xfId="60" applyFont="1" applyBorder="1">
      <alignment/>
      <protection/>
    </xf>
    <xf numFmtId="208" fontId="4" fillId="0" borderId="30" xfId="42" applyNumberFormat="1" applyFont="1" applyBorder="1" applyAlignment="1">
      <alignment horizontal="right"/>
    </xf>
    <xf numFmtId="0" fontId="11" fillId="0" borderId="30" xfId="60" applyFont="1" applyBorder="1" applyAlignment="1">
      <alignment horizontal="left" vertical="top" wrapText="1"/>
      <protection/>
    </xf>
    <xf numFmtId="209" fontId="4" fillId="0" borderId="30" xfId="42" applyNumberFormat="1" applyFont="1" applyBorder="1" applyAlignment="1">
      <alignment horizontal="right"/>
    </xf>
    <xf numFmtId="205" fontId="13" fillId="0" borderId="0" xfId="45" applyNumberFormat="1" applyFont="1" applyBorder="1" applyAlignment="1">
      <alignment horizontal="right" vertical="top"/>
    </xf>
    <xf numFmtId="208" fontId="24" fillId="0" borderId="0" xfId="42" applyNumberFormat="1" applyFont="1" applyBorder="1" applyAlignment="1">
      <alignment horizontal="right" vertical="top"/>
    </xf>
    <xf numFmtId="203" fontId="24" fillId="0" borderId="0" xfId="45" applyNumberFormat="1" applyFont="1" applyBorder="1" applyAlignment="1">
      <alignment horizontal="right" vertical="top"/>
    </xf>
    <xf numFmtId="203" fontId="24" fillId="0" borderId="0" xfId="45" applyNumberFormat="1" applyFont="1" applyBorder="1" applyAlignment="1">
      <alignment horizontal="right" vertical="top"/>
    </xf>
    <xf numFmtId="203" fontId="5" fillId="0" borderId="0" xfId="45" applyNumberFormat="1" applyFont="1" applyBorder="1" applyAlignment="1">
      <alignment horizontal="center"/>
    </xf>
    <xf numFmtId="0" fontId="24" fillId="0" borderId="30" xfId="61" applyFont="1" applyBorder="1" applyAlignment="1">
      <alignment horizontal="center" vertical="top"/>
      <protection/>
    </xf>
    <xf numFmtId="206" fontId="24" fillId="0" borderId="30" xfId="46" applyNumberFormat="1" applyFont="1" applyBorder="1" applyAlignment="1">
      <alignment vertical="top"/>
    </xf>
    <xf numFmtId="0" fontId="24" fillId="0" borderId="30" xfId="61" applyFont="1" applyBorder="1" applyAlignment="1">
      <alignment vertical="top"/>
      <protection/>
    </xf>
    <xf numFmtId="205" fontId="24" fillId="0" borderId="30" xfId="61" applyNumberFormat="1" applyFont="1" applyBorder="1" applyAlignment="1">
      <alignment vertical="top"/>
      <protection/>
    </xf>
    <xf numFmtId="0" fontId="11" fillId="0" borderId="0" xfId="61" applyFont="1" applyBorder="1" applyAlignment="1">
      <alignment vertical="top" wrapText="1"/>
      <protection/>
    </xf>
    <xf numFmtId="0" fontId="24" fillId="0" borderId="29" xfId="61" applyFont="1" applyBorder="1" applyAlignment="1">
      <alignment horizontal="center" vertical="top" wrapText="1"/>
      <protection/>
    </xf>
    <xf numFmtId="206" fontId="24" fillId="0" borderId="29" xfId="46" applyNumberFormat="1" applyFont="1" applyBorder="1" applyAlignment="1">
      <alignment vertical="top" wrapText="1"/>
    </xf>
    <xf numFmtId="209" fontId="5" fillId="33" borderId="33" xfId="61" applyNumberFormat="1" applyFont="1" applyFill="1" applyBorder="1" applyAlignment="1">
      <alignment horizontal="center" vertical="center"/>
      <protection/>
    </xf>
    <xf numFmtId="0" fontId="24" fillId="0" borderId="30" xfId="60" applyFont="1" applyBorder="1" applyAlignment="1">
      <alignment horizontal="left" vertical="top"/>
      <protection/>
    </xf>
    <xf numFmtId="0" fontId="24" fillId="0" borderId="30" xfId="61" applyFont="1" applyBorder="1" applyAlignment="1">
      <alignment horizontal="center" vertical="top" wrapText="1"/>
      <protection/>
    </xf>
    <xf numFmtId="206" fontId="24" fillId="0" borderId="30" xfId="61" applyNumberFormat="1" applyFont="1" applyBorder="1" applyAlignment="1">
      <alignment horizontal="right" vertical="top" wrapText="1"/>
      <protection/>
    </xf>
    <xf numFmtId="206" fontId="24" fillId="0" borderId="30" xfId="46" applyNumberFormat="1" applyFont="1" applyBorder="1" applyAlignment="1">
      <alignment vertical="top" wrapText="1"/>
    </xf>
    <xf numFmtId="206" fontId="24" fillId="0" borderId="30" xfId="46" applyNumberFormat="1" applyFont="1" applyBorder="1" applyAlignment="1">
      <alignment horizontal="right" vertical="top" wrapText="1"/>
    </xf>
    <xf numFmtId="1" fontId="5" fillId="33" borderId="33" xfId="61" applyNumberFormat="1" applyFont="1" applyFill="1" applyBorder="1" applyAlignment="1">
      <alignment horizontal="center" vertical="center"/>
      <protection/>
    </xf>
    <xf numFmtId="208" fontId="5" fillId="33" borderId="33" xfId="61" applyNumberFormat="1" applyFont="1" applyFill="1" applyBorder="1" applyAlignment="1">
      <alignment horizontal="center" vertical="center"/>
      <protection/>
    </xf>
    <xf numFmtId="209" fontId="5" fillId="33" borderId="29" xfId="61" applyNumberFormat="1" applyFont="1" applyFill="1" applyBorder="1" applyAlignment="1">
      <alignment horizontal="center" vertical="center"/>
      <protection/>
    </xf>
    <xf numFmtId="208" fontId="5" fillId="33" borderId="29" xfId="61" applyNumberFormat="1" applyFont="1" applyFill="1" applyBorder="1" applyAlignment="1">
      <alignment horizontal="center" vertical="center"/>
      <protection/>
    </xf>
    <xf numFmtId="0" fontId="11" fillId="0" borderId="30" xfId="61" applyFont="1" applyBorder="1" applyAlignment="1">
      <alignment vertical="top" wrapText="1"/>
      <protection/>
    </xf>
    <xf numFmtId="192" fontId="11" fillId="0" borderId="31" xfId="61" applyNumberFormat="1" applyFont="1" applyBorder="1" applyAlignment="1">
      <alignment vertical="top"/>
      <protection/>
    </xf>
    <xf numFmtId="206" fontId="11" fillId="0" borderId="31" xfId="61" applyNumberFormat="1" applyFont="1" applyBorder="1" applyAlignment="1">
      <alignment vertical="top"/>
      <protection/>
    </xf>
    <xf numFmtId="192" fontId="11" fillId="0" borderId="29" xfId="61" applyNumberFormat="1" applyFont="1" applyBorder="1" applyAlignment="1">
      <alignment vertical="top"/>
      <protection/>
    </xf>
    <xf numFmtId="206" fontId="11" fillId="0" borderId="29" xfId="61" applyNumberFormat="1" applyFont="1" applyBorder="1" applyAlignment="1">
      <alignment vertical="top"/>
      <protection/>
    </xf>
    <xf numFmtId="0" fontId="5" fillId="0" borderId="31" xfId="61" applyFont="1" applyBorder="1" applyAlignment="1">
      <alignment horizontal="left" vertical="top" wrapText="1"/>
      <protection/>
    </xf>
    <xf numFmtId="0" fontId="24" fillId="0" borderId="31" xfId="61" applyFont="1" applyBorder="1" applyAlignment="1">
      <alignment horizontal="left" vertical="top" wrapText="1"/>
      <protection/>
    </xf>
    <xf numFmtId="0" fontId="11" fillId="0" borderId="31" xfId="61" applyFont="1" applyFill="1" applyBorder="1" applyAlignment="1">
      <alignment horizontal="left" vertical="top" wrapText="1"/>
      <protection/>
    </xf>
    <xf numFmtId="0" fontId="11" fillId="0" borderId="31" xfId="61" applyFont="1" applyBorder="1" applyAlignment="1">
      <alignment horizontal="center" vertical="top" wrapText="1"/>
      <protection/>
    </xf>
    <xf numFmtId="0" fontId="24" fillId="0" borderId="31" xfId="61" applyFont="1" applyBorder="1" applyAlignment="1">
      <alignment horizontal="center" vertical="top" wrapText="1"/>
      <protection/>
    </xf>
    <xf numFmtId="206" fontId="24" fillId="0" borderId="31" xfId="46" applyNumberFormat="1" applyFont="1" applyBorder="1" applyAlignment="1">
      <alignment vertical="top" wrapText="1"/>
    </xf>
    <xf numFmtId="0" fontId="11" fillId="0" borderId="31" xfId="61" applyFont="1" applyBorder="1" applyAlignment="1">
      <alignment vertical="top" wrapText="1"/>
      <protection/>
    </xf>
    <xf numFmtId="0" fontId="11" fillId="0" borderId="19" xfId="61" applyFont="1" applyBorder="1" applyAlignment="1">
      <alignment vertical="top" wrapText="1"/>
      <protection/>
    </xf>
    <xf numFmtId="0" fontId="11" fillId="0" borderId="20" xfId="61" applyFont="1" applyBorder="1" applyAlignment="1">
      <alignment vertical="top" wrapText="1"/>
      <protection/>
    </xf>
    <xf numFmtId="3" fontId="5" fillId="0" borderId="37" xfId="46" applyNumberFormat="1" applyFont="1" applyBorder="1" applyAlignment="1">
      <alignment vertical="top"/>
    </xf>
    <xf numFmtId="204" fontId="11" fillId="0" borderId="10" xfId="46" applyNumberFormat="1" applyFont="1" applyBorder="1" applyAlignment="1">
      <alignment horizontal="right" vertical="center"/>
    </xf>
    <xf numFmtId="205" fontId="11" fillId="0" borderId="10" xfId="46" applyNumberFormat="1" applyFont="1" applyBorder="1" applyAlignment="1">
      <alignment horizontal="right" vertical="center"/>
    </xf>
    <xf numFmtId="43" fontId="1" fillId="0" borderId="0" xfId="0" applyNumberFormat="1" applyFont="1" applyAlignment="1">
      <alignment/>
    </xf>
    <xf numFmtId="194" fontId="5" fillId="37" borderId="37" xfId="61" applyNumberFormat="1" applyFont="1" applyFill="1" applyBorder="1" applyAlignment="1">
      <alignment horizontal="center" vertical="center"/>
      <protection/>
    </xf>
    <xf numFmtId="0" fontId="24" fillId="0" borderId="33" xfId="61" applyFont="1" applyBorder="1" applyAlignment="1">
      <alignment horizontal="center" vertical="top"/>
      <protection/>
    </xf>
    <xf numFmtId="206" fontId="24" fillId="0" borderId="33" xfId="46" applyNumberFormat="1" applyFont="1" applyBorder="1" applyAlignment="1">
      <alignment vertical="top" wrapText="1"/>
    </xf>
    <xf numFmtId="206" fontId="24" fillId="0" borderId="33" xfId="46" applyNumberFormat="1" applyFont="1" applyBorder="1" applyAlignment="1">
      <alignment vertical="top"/>
    </xf>
    <xf numFmtId="0" fontId="24" fillId="0" borderId="33" xfId="61" applyFont="1" applyBorder="1" applyAlignment="1">
      <alignment horizontal="center" vertical="top" wrapText="1"/>
      <protection/>
    </xf>
    <xf numFmtId="206" fontId="24" fillId="0" borderId="33" xfId="61" applyNumberFormat="1" applyFont="1" applyBorder="1" applyAlignment="1">
      <alignment vertical="top" wrapText="1"/>
      <protection/>
    </xf>
    <xf numFmtId="1" fontId="24" fillId="0" borderId="33" xfId="61" applyNumberFormat="1" applyFont="1" applyBorder="1" applyAlignment="1">
      <alignment horizontal="right" vertical="top"/>
      <protection/>
    </xf>
    <xf numFmtId="205" fontId="13" fillId="0" borderId="19" xfId="45" applyNumberFormat="1" applyFont="1" applyBorder="1" applyAlignment="1">
      <alignment/>
    </xf>
    <xf numFmtId="205" fontId="13" fillId="0" borderId="0" xfId="45" applyNumberFormat="1" applyFont="1" applyBorder="1" applyAlignment="1">
      <alignment/>
    </xf>
    <xf numFmtId="0" fontId="13" fillId="0" borderId="0" xfId="60" applyFont="1" applyBorder="1" applyAlignment="1">
      <alignment horizontal="center"/>
      <protection/>
    </xf>
    <xf numFmtId="0" fontId="13" fillId="0" borderId="0" xfId="60" applyFont="1" applyBorder="1" applyAlignment="1">
      <alignment horizontal="left"/>
      <protection/>
    </xf>
    <xf numFmtId="205" fontId="13" fillId="0" borderId="21" xfId="45" applyNumberFormat="1" applyFont="1" applyBorder="1" applyAlignment="1">
      <alignment/>
    </xf>
    <xf numFmtId="209" fontId="24" fillId="0" borderId="30" xfId="42" applyNumberFormat="1" applyFont="1" applyBorder="1" applyAlignment="1">
      <alignment vertical="top"/>
    </xf>
    <xf numFmtId="206" fontId="5" fillId="33" borderId="33" xfId="61" applyNumberFormat="1" applyFont="1" applyFill="1" applyBorder="1" applyAlignment="1">
      <alignment horizontal="center" vertical="center"/>
      <protection/>
    </xf>
    <xf numFmtId="0" fontId="24" fillId="0" borderId="0" xfId="0" applyFont="1" applyBorder="1" applyAlignment="1">
      <alignment vertical="top"/>
    </xf>
    <xf numFmtId="208" fontId="5" fillId="33" borderId="29" xfId="42" applyNumberFormat="1" applyFont="1" applyFill="1" applyBorder="1" applyAlignment="1">
      <alignment/>
    </xf>
    <xf numFmtId="208" fontId="5" fillId="0" borderId="13" xfId="42" applyNumberFormat="1" applyFont="1" applyBorder="1" applyAlignment="1">
      <alignment horizontal="center"/>
    </xf>
    <xf numFmtId="205" fontId="11" fillId="0" borderId="0" xfId="61" applyNumberFormat="1" applyFont="1" applyBorder="1" applyAlignment="1">
      <alignment horizontal="right"/>
      <protection/>
    </xf>
    <xf numFmtId="203" fontId="11" fillId="0" borderId="0" xfId="42" applyNumberFormat="1" applyFont="1" applyBorder="1" applyAlignment="1">
      <alignment horizontal="right"/>
    </xf>
    <xf numFmtId="0" fontId="11" fillId="0" borderId="33" xfId="61" applyFont="1" applyFill="1" applyBorder="1" applyAlignment="1" quotePrefix="1">
      <alignment vertical="top" wrapText="1"/>
      <protection/>
    </xf>
    <xf numFmtId="208" fontId="24" fillId="0" borderId="33" xfId="42" applyNumberFormat="1" applyFont="1" applyBorder="1" applyAlignment="1">
      <alignment horizontal="right" vertical="top"/>
    </xf>
    <xf numFmtId="208" fontId="24" fillId="0" borderId="33" xfId="42" applyNumberFormat="1" applyFont="1" applyBorder="1" applyAlignment="1">
      <alignment horizontal="right" vertical="top"/>
    </xf>
    <xf numFmtId="208" fontId="5" fillId="33" borderId="33" xfId="42" applyNumberFormat="1" applyFont="1" applyFill="1" applyBorder="1" applyAlignment="1">
      <alignment horizontal="center" vertical="center"/>
    </xf>
    <xf numFmtId="205" fontId="24" fillId="0" borderId="33" xfId="61" applyNumberFormat="1" applyFont="1" applyBorder="1" applyAlignment="1">
      <alignment horizontal="right" vertical="top"/>
      <protection/>
    </xf>
    <xf numFmtId="209" fontId="24" fillId="0" borderId="30" xfId="42" applyNumberFormat="1" applyFont="1" applyBorder="1" applyAlignment="1">
      <alignment horizontal="right" vertical="top"/>
    </xf>
    <xf numFmtId="209" fontId="11" fillId="0" borderId="30" xfId="42" applyNumberFormat="1" applyFont="1" applyBorder="1" applyAlignment="1">
      <alignment horizontal="center" vertical="top"/>
    </xf>
    <xf numFmtId="208" fontId="11" fillId="0" borderId="30" xfId="42" applyNumberFormat="1" applyFont="1" applyBorder="1" applyAlignment="1">
      <alignment horizontal="center" vertical="top"/>
    </xf>
    <xf numFmtId="209" fontId="24" fillId="0" borderId="30" xfId="42" applyNumberFormat="1" applyFont="1" applyBorder="1" applyAlignment="1">
      <alignment horizontal="center" vertical="top"/>
    </xf>
    <xf numFmtId="208" fontId="24" fillId="0" borderId="30" xfId="42" applyNumberFormat="1" applyFont="1" applyBorder="1" applyAlignment="1">
      <alignment horizontal="center" vertical="top"/>
    </xf>
    <xf numFmtId="208" fontId="24" fillId="0" borderId="30" xfId="42" applyNumberFormat="1" applyFont="1" applyBorder="1" applyAlignment="1">
      <alignment horizontal="right"/>
    </xf>
    <xf numFmtId="209" fontId="24" fillId="0" borderId="30" xfId="42" applyNumberFormat="1" applyFont="1" applyBorder="1" applyAlignment="1">
      <alignment vertical="top" wrapText="1"/>
    </xf>
    <xf numFmtId="209" fontId="24" fillId="0" borderId="30" xfId="42" applyNumberFormat="1" applyFont="1" applyBorder="1" applyAlignment="1">
      <alignment horizontal="right"/>
    </xf>
    <xf numFmtId="209" fontId="24" fillId="0" borderId="30" xfId="42" applyNumberFormat="1" applyFont="1" applyBorder="1" applyAlignment="1">
      <alignment/>
    </xf>
    <xf numFmtId="0" fontId="24" fillId="0" borderId="30" xfId="0" applyFont="1" applyBorder="1" applyAlignment="1">
      <alignment vertical="top"/>
    </xf>
    <xf numFmtId="208" fontId="24" fillId="0" borderId="30" xfId="42" applyNumberFormat="1" applyFont="1" applyBorder="1" applyAlignment="1">
      <alignment vertical="top"/>
    </xf>
    <xf numFmtId="209" fontId="24" fillId="0" borderId="30" xfId="42" applyNumberFormat="1" applyFont="1" applyBorder="1" applyAlignment="1">
      <alignment horizontal="right" vertical="top" wrapText="1"/>
    </xf>
    <xf numFmtId="209" fontId="4" fillId="0" borderId="30" xfId="42" applyNumberFormat="1" applyFont="1" applyFill="1" applyBorder="1" applyAlignment="1">
      <alignment horizontal="right" vertical="top"/>
    </xf>
    <xf numFmtId="208" fontId="4" fillId="0" borderId="30" xfId="42" applyNumberFormat="1" applyFont="1" applyFill="1" applyBorder="1" applyAlignment="1">
      <alignment horizontal="right" vertical="top" wrapText="1"/>
    </xf>
    <xf numFmtId="209" fontId="4" fillId="0" borderId="30" xfId="42" applyNumberFormat="1" applyFont="1" applyFill="1" applyBorder="1" applyAlignment="1">
      <alignment vertical="top"/>
    </xf>
    <xf numFmtId="208" fontId="4" fillId="0" borderId="30" xfId="42" applyNumberFormat="1" applyFont="1" applyFill="1" applyBorder="1" applyAlignment="1">
      <alignment horizontal="right" vertical="top"/>
    </xf>
    <xf numFmtId="1" fontId="7" fillId="0" borderId="11" xfId="45" applyNumberFormat="1" applyFont="1" applyBorder="1" applyAlignment="1">
      <alignment/>
    </xf>
    <xf numFmtId="205" fontId="7" fillId="0" borderId="11" xfId="45" applyNumberFormat="1" applyFont="1" applyBorder="1" applyAlignment="1">
      <alignment/>
    </xf>
    <xf numFmtId="1" fontId="7" fillId="0" borderId="0" xfId="45" applyNumberFormat="1" applyFont="1" applyBorder="1" applyAlignment="1">
      <alignment/>
    </xf>
    <xf numFmtId="205" fontId="7" fillId="0" borderId="0" xfId="45" applyNumberFormat="1" applyFont="1" applyBorder="1" applyAlignment="1">
      <alignment/>
    </xf>
    <xf numFmtId="204" fontId="13" fillId="0" borderId="11" xfId="45" applyNumberFormat="1" applyFont="1" applyBorder="1" applyAlignment="1">
      <alignment/>
    </xf>
    <xf numFmtId="204" fontId="13" fillId="0" borderId="0" xfId="45" applyNumberFormat="1" applyFont="1" applyBorder="1" applyAlignment="1">
      <alignment/>
    </xf>
    <xf numFmtId="0" fontId="13" fillId="0" borderId="19" xfId="60" applyFont="1" applyBorder="1" applyAlignment="1">
      <alignment horizontal="center"/>
      <protection/>
    </xf>
    <xf numFmtId="0" fontId="13" fillId="0" borderId="21" xfId="60" applyFont="1" applyBorder="1" applyAlignment="1">
      <alignment horizontal="center"/>
      <protection/>
    </xf>
    <xf numFmtId="0" fontId="13" fillId="0" borderId="20" xfId="60" applyFont="1" applyBorder="1" applyAlignment="1">
      <alignment horizontal="center"/>
      <protection/>
    </xf>
    <xf numFmtId="0" fontId="13" fillId="0" borderId="22" xfId="60" applyFont="1" applyBorder="1" applyAlignment="1">
      <alignment horizontal="center"/>
      <protection/>
    </xf>
    <xf numFmtId="0" fontId="10" fillId="0" borderId="19" xfId="60" applyFont="1" applyBorder="1" applyAlignment="1">
      <alignment horizontal="center"/>
      <protection/>
    </xf>
    <xf numFmtId="0" fontId="11" fillId="0" borderId="42" xfId="61" applyFont="1" applyBorder="1" applyAlignment="1">
      <alignment horizontal="center" vertical="top" wrapText="1"/>
      <protection/>
    </xf>
    <xf numFmtId="0" fontId="36" fillId="0" borderId="42" xfId="0" applyFont="1" applyBorder="1" applyAlignment="1">
      <alignment horizontal="left" vertical="top" wrapText="1"/>
    </xf>
    <xf numFmtId="0" fontId="4" fillId="0" borderId="0" xfId="60" applyFont="1" applyBorder="1" quotePrefix="1">
      <alignment/>
      <protection/>
    </xf>
    <xf numFmtId="0" fontId="4" fillId="0" borderId="0" xfId="60" applyFont="1" applyFill="1" applyBorder="1">
      <alignment/>
      <protection/>
    </xf>
    <xf numFmtId="0" fontId="4" fillId="0" borderId="11" xfId="60" applyFont="1" applyFill="1" applyBorder="1">
      <alignment/>
      <protection/>
    </xf>
    <xf numFmtId="204" fontId="7" fillId="0" borderId="23" xfId="68" applyNumberFormat="1" applyFont="1" applyBorder="1" applyAlignment="1">
      <alignment vertical="center"/>
      <protection/>
    </xf>
    <xf numFmtId="203" fontId="7" fillId="0" borderId="36" xfId="68" applyNumberFormat="1" applyFont="1" applyBorder="1" applyAlignment="1">
      <alignment horizontal="right" vertical="center"/>
      <protection/>
    </xf>
    <xf numFmtId="208" fontId="5" fillId="0" borderId="0" xfId="42" applyNumberFormat="1" applyFont="1" applyBorder="1" applyAlignment="1">
      <alignment/>
    </xf>
    <xf numFmtId="208" fontId="5" fillId="0" borderId="11" xfId="42" applyNumberFormat="1" applyFont="1" applyBorder="1" applyAlignment="1">
      <alignment/>
    </xf>
    <xf numFmtId="0" fontId="5" fillId="0" borderId="0" xfId="60" applyFont="1" applyBorder="1" quotePrefix="1">
      <alignment/>
      <protection/>
    </xf>
    <xf numFmtId="0" fontId="5" fillId="0" borderId="13" xfId="60" applyFont="1" applyBorder="1">
      <alignment/>
      <protection/>
    </xf>
    <xf numFmtId="0" fontId="16" fillId="0" borderId="0" xfId="60" applyFont="1" applyBorder="1" applyAlignment="1">
      <alignment horizontal="right"/>
      <protection/>
    </xf>
    <xf numFmtId="205" fontId="16" fillId="0" borderId="0" xfId="60" applyNumberFormat="1" applyFont="1" applyBorder="1" applyAlignment="1">
      <alignment horizontal="right"/>
      <protection/>
    </xf>
    <xf numFmtId="192" fontId="16" fillId="0" borderId="0" xfId="60" applyNumberFormat="1" applyFont="1" applyBorder="1" applyAlignment="1">
      <alignment horizontal="right"/>
      <protection/>
    </xf>
    <xf numFmtId="1" fontId="16" fillId="0" borderId="0" xfId="60" applyNumberFormat="1" applyFont="1" applyBorder="1" applyAlignment="1">
      <alignment horizontal="right"/>
      <protection/>
    </xf>
    <xf numFmtId="0" fontId="16" fillId="0" borderId="11" xfId="60" applyFont="1" applyBorder="1" applyAlignment="1">
      <alignment horizontal="right"/>
      <protection/>
    </xf>
    <xf numFmtId="205" fontId="16" fillId="0" borderId="11" xfId="60" applyNumberFormat="1" applyFont="1" applyBorder="1" applyAlignment="1">
      <alignment horizontal="right"/>
      <protection/>
    </xf>
    <xf numFmtId="0" fontId="16" fillId="0" borderId="12" xfId="60" applyFont="1" applyBorder="1" applyAlignment="1">
      <alignment horizontal="right"/>
      <protection/>
    </xf>
    <xf numFmtId="205" fontId="16" fillId="0" borderId="12" xfId="60" applyNumberFormat="1" applyFont="1" applyBorder="1" applyAlignment="1">
      <alignment horizontal="right"/>
      <protection/>
    </xf>
    <xf numFmtId="1" fontId="16" fillId="0" borderId="12" xfId="60" applyNumberFormat="1" applyFont="1" applyBorder="1" applyAlignment="1">
      <alignment horizontal="right"/>
      <protection/>
    </xf>
    <xf numFmtId="205" fontId="16" fillId="37" borderId="12" xfId="60" applyNumberFormat="1" applyFont="1" applyFill="1" applyBorder="1" applyAlignment="1">
      <alignment horizontal="right"/>
      <protection/>
    </xf>
    <xf numFmtId="0" fontId="16" fillId="0" borderId="0" xfId="60" applyFont="1" applyBorder="1" applyAlignment="1">
      <alignment horizontal="center"/>
      <protection/>
    </xf>
    <xf numFmtId="205" fontId="16" fillId="0" borderId="0" xfId="60" applyNumberFormat="1" applyFont="1" applyBorder="1" applyAlignment="1">
      <alignment horizontal="center"/>
      <protection/>
    </xf>
    <xf numFmtId="0" fontId="16" fillId="0" borderId="0" xfId="60" applyFont="1" applyBorder="1" applyAlignment="1">
      <alignment horizontal="right"/>
      <protection/>
    </xf>
    <xf numFmtId="205" fontId="16" fillId="0" borderId="0" xfId="60" applyNumberFormat="1" applyFont="1" applyBorder="1" applyAlignment="1">
      <alignment horizontal="right"/>
      <protection/>
    </xf>
    <xf numFmtId="0" fontId="16" fillId="0" borderId="11" xfId="60" applyFont="1" applyBorder="1" applyAlignment="1">
      <alignment horizontal="center"/>
      <protection/>
    </xf>
    <xf numFmtId="205" fontId="16" fillId="0" borderId="11" xfId="60" applyNumberFormat="1" applyFont="1" applyBorder="1" applyAlignment="1">
      <alignment horizontal="center"/>
      <protection/>
    </xf>
    <xf numFmtId="0" fontId="16" fillId="0" borderId="11" xfId="60" applyFont="1" applyBorder="1" applyAlignment="1">
      <alignment horizontal="right"/>
      <protection/>
    </xf>
    <xf numFmtId="0" fontId="13" fillId="0" borderId="0" xfId="60" applyFont="1" applyBorder="1" applyAlignment="1">
      <alignment horizontal="right"/>
      <protection/>
    </xf>
    <xf numFmtId="208" fontId="16" fillId="0" borderId="0" xfId="42" applyNumberFormat="1" applyFont="1" applyBorder="1" applyAlignment="1">
      <alignment horizontal="right"/>
    </xf>
    <xf numFmtId="208" fontId="16" fillId="0" borderId="11" xfId="42" applyNumberFormat="1" applyFont="1" applyBorder="1" applyAlignment="1">
      <alignment horizontal="right"/>
    </xf>
    <xf numFmtId="208" fontId="0" fillId="0" borderId="0" xfId="42" applyNumberFormat="1" applyFont="1" applyAlignment="1">
      <alignment/>
    </xf>
    <xf numFmtId="208" fontId="26" fillId="0" borderId="12" xfId="42" applyNumberFormat="1" applyFont="1" applyBorder="1" applyAlignment="1">
      <alignment horizontal="center"/>
    </xf>
    <xf numFmtId="208" fontId="12" fillId="0" borderId="0" xfId="42" applyNumberFormat="1" applyFont="1" applyBorder="1" applyAlignment="1">
      <alignment/>
    </xf>
    <xf numFmtId="208" fontId="16" fillId="0" borderId="12" xfId="42" applyNumberFormat="1" applyFont="1" applyBorder="1" applyAlignment="1">
      <alignment horizontal="right"/>
    </xf>
    <xf numFmtId="208" fontId="5" fillId="0" borderId="12" xfId="42" applyNumberFormat="1" applyFont="1" applyBorder="1" applyAlignment="1">
      <alignment/>
    </xf>
    <xf numFmtId="208" fontId="5" fillId="0" borderId="0" xfId="42" applyNumberFormat="1" applyFont="1" applyBorder="1" applyAlignment="1">
      <alignment/>
    </xf>
    <xf numFmtId="208" fontId="5" fillId="0" borderId="0" xfId="42" applyNumberFormat="1" applyFont="1" applyBorder="1" applyAlignment="1">
      <alignment horizontal="center"/>
    </xf>
    <xf numFmtId="208" fontId="16" fillId="0" borderId="0" xfId="42" applyNumberFormat="1" applyFont="1" applyBorder="1" applyAlignment="1">
      <alignment horizontal="center"/>
    </xf>
    <xf numFmtId="208" fontId="16" fillId="0" borderId="11" xfId="42" applyNumberFormat="1" applyFont="1" applyBorder="1" applyAlignment="1">
      <alignment horizontal="center"/>
    </xf>
    <xf numFmtId="208" fontId="16" fillId="0" borderId="0" xfId="42" applyNumberFormat="1" applyFont="1" applyBorder="1" applyAlignment="1">
      <alignment horizontal="right"/>
    </xf>
    <xf numFmtId="208" fontId="7" fillId="0" borderId="16" xfId="42" applyNumberFormat="1" applyFont="1" applyBorder="1" applyAlignment="1">
      <alignment horizontal="right"/>
    </xf>
    <xf numFmtId="208" fontId="5" fillId="0" borderId="13" xfId="42" applyNumberFormat="1" applyFont="1" applyBorder="1" applyAlignment="1">
      <alignment horizontal="right"/>
    </xf>
    <xf numFmtId="208" fontId="16" fillId="0" borderId="11" xfId="42" applyNumberFormat="1" applyFont="1" applyBorder="1" applyAlignment="1">
      <alignment horizontal="right"/>
    </xf>
    <xf numFmtId="208" fontId="13" fillId="0" borderId="0" xfId="42" applyNumberFormat="1" applyFont="1" applyBorder="1" applyAlignment="1">
      <alignment horizontal="right"/>
    </xf>
    <xf numFmtId="208" fontId="4" fillId="0" borderId="0" xfId="42" applyNumberFormat="1" applyFont="1" applyAlignment="1">
      <alignment horizontal="right"/>
    </xf>
    <xf numFmtId="208" fontId="7" fillId="0" borderId="0" xfId="42" applyNumberFormat="1" applyFont="1" applyAlignment="1">
      <alignment horizontal="right"/>
    </xf>
    <xf numFmtId="208" fontId="26" fillId="0" borderId="12" xfId="42" applyNumberFormat="1" applyFont="1" applyBorder="1" applyAlignment="1">
      <alignment horizontal="right"/>
    </xf>
    <xf numFmtId="208" fontId="12" fillId="0" borderId="0" xfId="42" applyNumberFormat="1" applyFont="1" applyBorder="1" applyAlignment="1">
      <alignment horizontal="right"/>
    </xf>
    <xf numFmtId="208" fontId="5" fillId="0" borderId="16" xfId="42" applyNumberFormat="1" applyFont="1" applyBorder="1" applyAlignment="1">
      <alignment horizontal="right"/>
    </xf>
    <xf numFmtId="208" fontId="5" fillId="0" borderId="12" xfId="42" applyNumberFormat="1" applyFont="1" applyBorder="1" applyAlignment="1">
      <alignment horizontal="right"/>
    </xf>
    <xf numFmtId="208" fontId="0" fillId="0" borderId="0" xfId="42" applyNumberFormat="1" applyFont="1" applyAlignment="1">
      <alignment horizontal="right"/>
    </xf>
    <xf numFmtId="208" fontId="4" fillId="0" borderId="30" xfId="42" applyNumberFormat="1" applyFont="1" applyBorder="1" applyAlignment="1">
      <alignment horizontal="right" vertical="top" wrapText="1"/>
    </xf>
    <xf numFmtId="0" fontId="4" fillId="0" borderId="17" xfId="61" applyBorder="1" applyAlignment="1">
      <alignment horizontal="center"/>
      <protection/>
    </xf>
    <xf numFmtId="208" fontId="5" fillId="0" borderId="13" xfId="42" applyNumberFormat="1" applyFont="1" applyBorder="1" applyAlignment="1">
      <alignment horizontal="center"/>
    </xf>
    <xf numFmtId="208" fontId="11" fillId="0" borderId="0" xfId="42" applyNumberFormat="1" applyFont="1" applyBorder="1" applyAlignment="1">
      <alignment horizontal="center"/>
    </xf>
    <xf numFmtId="208" fontId="11" fillId="0" borderId="11" xfId="42" applyNumberFormat="1" applyFont="1" applyBorder="1" applyAlignment="1">
      <alignment horizontal="center"/>
    </xf>
    <xf numFmtId="208" fontId="4" fillId="0" borderId="0" xfId="42" applyNumberFormat="1" applyFont="1" applyBorder="1" applyAlignment="1" quotePrefix="1">
      <alignment/>
    </xf>
    <xf numFmtId="208" fontId="11" fillId="0" borderId="10" xfId="42" applyNumberFormat="1" applyFont="1" applyBorder="1" applyAlignment="1">
      <alignment horizontal="right"/>
    </xf>
    <xf numFmtId="208" fontId="4" fillId="0" borderId="11" xfId="42" applyNumberFormat="1" applyFont="1" applyBorder="1" applyAlignment="1">
      <alignment/>
    </xf>
    <xf numFmtId="208" fontId="4" fillId="0" borderId="0" xfId="42" applyNumberFormat="1" applyFont="1" applyBorder="1" applyAlignment="1">
      <alignment/>
    </xf>
    <xf numFmtId="208" fontId="0" fillId="0" borderId="0" xfId="42" applyNumberFormat="1" applyFont="1" applyAlignment="1">
      <alignment/>
    </xf>
    <xf numFmtId="208" fontId="24" fillId="0" borderId="0" xfId="42" applyNumberFormat="1" applyFont="1" applyBorder="1" applyAlignment="1">
      <alignment/>
    </xf>
    <xf numFmtId="208" fontId="7" fillId="0" borderId="0" xfId="42" applyNumberFormat="1" applyFont="1" applyAlignment="1">
      <alignment/>
    </xf>
    <xf numFmtId="208" fontId="24" fillId="0" borderId="11" xfId="42" applyNumberFormat="1" applyFont="1" applyBorder="1" applyAlignment="1">
      <alignment/>
    </xf>
    <xf numFmtId="208" fontId="7" fillId="0" borderId="0" xfId="42" applyNumberFormat="1" applyFont="1" applyAlignment="1">
      <alignment/>
    </xf>
    <xf numFmtId="208" fontId="5" fillId="36" borderId="13" xfId="42" applyNumberFormat="1" applyFont="1" applyFill="1" applyBorder="1" applyAlignment="1">
      <alignment horizontal="center"/>
    </xf>
    <xf numFmtId="208" fontId="12" fillId="35" borderId="0" xfId="42" applyNumberFormat="1" applyFont="1" applyFill="1" applyBorder="1" applyAlignment="1">
      <alignment/>
    </xf>
    <xf numFmtId="208" fontId="11" fillId="0" borderId="0" xfId="42" applyNumberFormat="1" applyFont="1" applyBorder="1" applyAlignment="1">
      <alignment/>
    </xf>
    <xf numFmtId="208" fontId="11" fillId="0" borderId="11" xfId="42" applyNumberFormat="1" applyFont="1" applyBorder="1" applyAlignment="1">
      <alignment/>
    </xf>
    <xf numFmtId="208" fontId="35" fillId="0" borderId="0" xfId="42" applyNumberFormat="1" applyFont="1" applyAlignment="1">
      <alignment/>
    </xf>
    <xf numFmtId="208" fontId="0" fillId="0" borderId="0" xfId="42" applyNumberFormat="1" applyFont="1" applyAlignment="1">
      <alignment/>
    </xf>
    <xf numFmtId="203" fontId="7" fillId="0" borderId="13" xfId="68" applyNumberFormat="1" applyFont="1" applyBorder="1" applyAlignment="1">
      <alignment vertical="center"/>
      <protection/>
    </xf>
    <xf numFmtId="204" fontId="7" fillId="0" borderId="13" xfId="68" applyNumberFormat="1" applyFont="1" applyBorder="1" applyAlignment="1">
      <alignment vertical="center"/>
      <protection/>
    </xf>
    <xf numFmtId="203" fontId="7" fillId="0" borderId="36" xfId="68" applyNumberFormat="1" applyFont="1" applyBorder="1" applyAlignment="1">
      <alignment vertical="center"/>
      <protection/>
    </xf>
    <xf numFmtId="0" fontId="24" fillId="0" borderId="30" xfId="60" applyFont="1" applyBorder="1" applyAlignment="1">
      <alignment vertical="top"/>
      <protection/>
    </xf>
    <xf numFmtId="0" fontId="24" fillId="0" borderId="0" xfId="60" applyFont="1" applyBorder="1" applyAlignment="1">
      <alignment horizontal="right"/>
      <protection/>
    </xf>
    <xf numFmtId="205" fontId="24" fillId="0" borderId="0" xfId="45" applyNumberFormat="1" applyFont="1" applyBorder="1" applyAlignment="1">
      <alignment horizontal="right"/>
    </xf>
    <xf numFmtId="1" fontId="24" fillId="0" borderId="0" xfId="60" applyNumberFormat="1" applyFont="1" applyBorder="1" applyAlignment="1">
      <alignment horizontal="right"/>
      <protection/>
    </xf>
    <xf numFmtId="205" fontId="24" fillId="0" borderId="0" xfId="60" applyNumberFormat="1" applyFont="1" applyBorder="1" applyAlignment="1">
      <alignment horizontal="right"/>
      <protection/>
    </xf>
    <xf numFmtId="0" fontId="24" fillId="0" borderId="10" xfId="60" applyFont="1" applyBorder="1" applyAlignment="1">
      <alignment horizontal="right"/>
      <protection/>
    </xf>
    <xf numFmtId="205" fontId="24" fillId="0" borderId="10" xfId="45" applyNumberFormat="1" applyFont="1" applyBorder="1" applyAlignment="1">
      <alignment/>
    </xf>
    <xf numFmtId="204" fontId="24" fillId="0" borderId="10" xfId="45" applyNumberFormat="1" applyFont="1" applyBorder="1" applyAlignment="1">
      <alignment/>
    </xf>
    <xf numFmtId="204" fontId="24" fillId="0" borderId="10" xfId="45" applyNumberFormat="1" applyFont="1" applyBorder="1" applyAlignment="1">
      <alignment horizontal="center"/>
    </xf>
    <xf numFmtId="0" fontId="24" fillId="0" borderId="0" xfId="60" applyFont="1">
      <alignment/>
      <protection/>
    </xf>
    <xf numFmtId="204" fontId="24" fillId="0" borderId="0" xfId="45" applyNumberFormat="1" applyFont="1" applyBorder="1" applyAlignment="1">
      <alignment horizontal="center"/>
    </xf>
    <xf numFmtId="203" fontId="24" fillId="0" borderId="0" xfId="45" applyNumberFormat="1" applyFont="1" applyBorder="1" applyAlignment="1">
      <alignment horizontal="right"/>
    </xf>
    <xf numFmtId="203" fontId="11" fillId="0" borderId="0" xfId="60" applyNumberFormat="1" applyFont="1" applyAlignment="1">
      <alignment horizontal="right"/>
      <protection/>
    </xf>
    <xf numFmtId="205" fontId="16" fillId="0" borderId="11" xfId="60" applyNumberFormat="1" applyFont="1" applyBorder="1" applyAlignment="1">
      <alignment horizontal="right"/>
      <protection/>
    </xf>
    <xf numFmtId="0" fontId="13" fillId="0" borderId="11" xfId="60" applyFont="1" applyBorder="1" applyAlignment="1">
      <alignment horizontal="right"/>
      <protection/>
    </xf>
    <xf numFmtId="208" fontId="13" fillId="0" borderId="11" xfId="42" applyNumberFormat="1" applyFont="1" applyBorder="1" applyAlignment="1">
      <alignment horizontal="right"/>
    </xf>
    <xf numFmtId="0" fontId="24" fillId="0" borderId="29" xfId="61" applyFont="1" applyBorder="1" applyAlignment="1">
      <alignment horizontal="left" vertical="top"/>
      <protection/>
    </xf>
    <xf numFmtId="206" fontId="24" fillId="0" borderId="29" xfId="46" applyNumberFormat="1" applyFont="1" applyBorder="1" applyAlignment="1">
      <alignment horizontal="right" vertical="top" wrapText="1"/>
    </xf>
    <xf numFmtId="0" fontId="24" fillId="0" borderId="29" xfId="61" applyFont="1" applyBorder="1" applyAlignment="1">
      <alignment horizontal="center" vertical="top"/>
      <protection/>
    </xf>
    <xf numFmtId="0" fontId="24" fillId="0" borderId="29" xfId="0" applyFont="1" applyBorder="1" applyAlignment="1">
      <alignment vertical="top"/>
    </xf>
    <xf numFmtId="0" fontId="24" fillId="0" borderId="29" xfId="61" applyFont="1" applyBorder="1" applyAlignment="1">
      <alignment vertical="top"/>
      <protection/>
    </xf>
    <xf numFmtId="0" fontId="5" fillId="0" borderId="13" xfId="61" applyFont="1" applyBorder="1" applyAlignment="1">
      <alignment vertical="center"/>
      <protection/>
    </xf>
    <xf numFmtId="204" fontId="11" fillId="0" borderId="13" xfId="46" applyNumberFormat="1" applyFont="1" applyBorder="1" applyAlignment="1">
      <alignment horizontal="right" vertical="center"/>
    </xf>
    <xf numFmtId="205" fontId="11" fillId="0" borderId="13" xfId="46" applyNumberFormat="1" applyFont="1" applyBorder="1" applyAlignment="1">
      <alignment horizontal="right" vertical="center"/>
    </xf>
    <xf numFmtId="204" fontId="5" fillId="0" borderId="13" xfId="61" applyNumberFormat="1" applyFont="1" applyBorder="1" applyAlignment="1">
      <alignment vertical="center"/>
      <protection/>
    </xf>
    <xf numFmtId="208" fontId="24" fillId="37" borderId="30" xfId="42" applyNumberFormat="1" applyFont="1" applyFill="1" applyBorder="1" applyAlignment="1">
      <alignment horizontal="right" vertical="top"/>
    </xf>
    <xf numFmtId="203" fontId="5" fillId="0" borderId="14" xfId="46" applyNumberFormat="1" applyFont="1" applyBorder="1" applyAlignment="1">
      <alignment horizontal="center" vertical="center"/>
    </xf>
    <xf numFmtId="204" fontId="5" fillId="0" borderId="10" xfId="46" applyNumberFormat="1" applyFont="1" applyBorder="1" applyAlignment="1">
      <alignment horizontal="center"/>
    </xf>
    <xf numFmtId="0" fontId="8" fillId="36" borderId="15" xfId="61" applyFont="1" applyFill="1" applyBorder="1" applyAlignment="1">
      <alignment horizontal="center" vertical="center"/>
      <protection/>
    </xf>
    <xf numFmtId="0" fontId="8" fillId="36" borderId="12" xfId="61" applyFont="1" applyFill="1" applyBorder="1" applyAlignment="1">
      <alignment horizontal="center" vertical="center"/>
      <protection/>
    </xf>
    <xf numFmtId="0" fontId="9" fillId="36" borderId="13" xfId="61" applyFont="1" applyFill="1" applyBorder="1" applyAlignment="1">
      <alignment horizontal="center" vertical="center"/>
      <protection/>
    </xf>
    <xf numFmtId="204" fontId="9" fillId="36" borderId="13" xfId="45" applyNumberFormat="1" applyFont="1" applyFill="1" applyBorder="1" applyAlignment="1">
      <alignment horizontal="center" vertical="center"/>
    </xf>
    <xf numFmtId="204" fontId="9" fillId="36" borderId="13" xfId="45" applyNumberFormat="1" applyFont="1" applyFill="1" applyBorder="1" applyAlignment="1">
      <alignment horizontal="center" vertical="center" wrapText="1"/>
    </xf>
    <xf numFmtId="0" fontId="19" fillId="36" borderId="15" xfId="60" applyFont="1" applyFill="1" applyBorder="1" applyAlignment="1">
      <alignment horizontal="center" vertical="center"/>
      <protection/>
    </xf>
    <xf numFmtId="0" fontId="19" fillId="36" borderId="12" xfId="60" applyFont="1" applyFill="1" applyBorder="1" applyAlignment="1">
      <alignment vertical="center"/>
      <protection/>
    </xf>
    <xf numFmtId="204" fontId="20" fillId="36" borderId="13" xfId="45" applyNumberFormat="1" applyFont="1" applyFill="1" applyBorder="1" applyAlignment="1">
      <alignment horizontal="center" vertical="center" textRotation="59" wrapText="1"/>
    </xf>
    <xf numFmtId="204" fontId="21" fillId="36" borderId="13" xfId="45" applyNumberFormat="1" applyFont="1" applyFill="1" applyBorder="1" applyAlignment="1">
      <alignment horizontal="center" vertical="center" textRotation="61" wrapText="1"/>
    </xf>
    <xf numFmtId="204" fontId="21" fillId="36" borderId="13" xfId="45" applyNumberFormat="1" applyFont="1" applyFill="1" applyBorder="1" applyAlignment="1">
      <alignment horizontal="center" vertical="center" textRotation="60" wrapText="1"/>
    </xf>
    <xf numFmtId="204" fontId="21" fillId="36" borderId="15" xfId="45" applyNumberFormat="1" applyFont="1" applyFill="1" applyBorder="1" applyAlignment="1">
      <alignment vertical="center" textRotation="60" wrapText="1"/>
    </xf>
    <xf numFmtId="204" fontId="21" fillId="36" borderId="13" xfId="45" applyNumberFormat="1" applyFont="1" applyFill="1" applyBorder="1" applyAlignment="1">
      <alignment vertical="center" textRotation="61" wrapText="1"/>
    </xf>
    <xf numFmtId="204" fontId="21" fillId="36" borderId="15" xfId="45" applyNumberFormat="1" applyFont="1" applyFill="1" applyBorder="1" applyAlignment="1">
      <alignment vertical="center" textRotation="61" wrapText="1"/>
    </xf>
    <xf numFmtId="204" fontId="9" fillId="36" borderId="13" xfId="45" applyNumberFormat="1" applyFont="1" applyFill="1" applyBorder="1" applyAlignment="1">
      <alignment vertical="center"/>
    </xf>
    <xf numFmtId="204" fontId="5" fillId="36" borderId="15" xfId="45" applyNumberFormat="1" applyFont="1" applyFill="1" applyBorder="1" applyAlignment="1">
      <alignment horizontal="center" vertical="center"/>
    </xf>
    <xf numFmtId="0" fontId="0" fillId="36" borderId="43" xfId="0" applyFont="1" applyFill="1" applyBorder="1" applyAlignment="1">
      <alignment horizontal="center" vertical="center"/>
    </xf>
    <xf numFmtId="0" fontId="5" fillId="36" borderId="43" xfId="68" applyFont="1" applyFill="1" applyBorder="1" applyAlignment="1">
      <alignment horizontal="center" vertical="center"/>
      <protection/>
    </xf>
    <xf numFmtId="0" fontId="5" fillId="36" borderId="44" xfId="68" applyFont="1" applyFill="1" applyBorder="1" applyAlignment="1">
      <alignment horizontal="center" vertical="center"/>
      <protection/>
    </xf>
    <xf numFmtId="204" fontId="5" fillId="36" borderId="45" xfId="45" applyNumberFormat="1" applyFont="1" applyFill="1" applyBorder="1" applyAlignment="1">
      <alignment horizontal="center" vertical="center" wrapText="1"/>
    </xf>
    <xf numFmtId="204" fontId="5" fillId="36" borderId="15" xfId="45" applyNumberFormat="1"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5" fillId="36" borderId="46" xfId="68" applyFont="1" applyFill="1" applyBorder="1" applyAlignment="1">
      <alignment horizontal="center" vertical="center"/>
      <protection/>
    </xf>
    <xf numFmtId="204" fontId="5" fillId="36" borderId="47" xfId="45" applyNumberFormat="1" applyFont="1" applyFill="1" applyBorder="1" applyAlignment="1">
      <alignment horizontal="center" vertical="center"/>
    </xf>
    <xf numFmtId="204" fontId="5" fillId="36" borderId="18" xfId="45" applyNumberFormat="1" applyFont="1" applyFill="1" applyBorder="1" applyAlignment="1">
      <alignment horizontal="center" vertical="center"/>
    </xf>
    <xf numFmtId="204" fontId="5" fillId="36" borderId="48" xfId="45" applyNumberFormat="1" applyFont="1" applyFill="1" applyBorder="1" applyAlignment="1">
      <alignment horizontal="center" vertical="center"/>
    </xf>
    <xf numFmtId="204" fontId="5" fillId="36" borderId="24" xfId="45" applyNumberFormat="1" applyFont="1" applyFill="1" applyBorder="1" applyAlignment="1">
      <alignment horizontal="center" vertical="center"/>
    </xf>
    <xf numFmtId="0" fontId="5" fillId="36" borderId="15" xfId="60" applyFont="1" applyFill="1" applyBorder="1" applyAlignment="1">
      <alignment horizontal="center" vertical="center"/>
      <protection/>
    </xf>
    <xf numFmtId="0" fontId="0" fillId="36" borderId="0" xfId="0" applyFill="1" applyAlignment="1">
      <alignment/>
    </xf>
    <xf numFmtId="0" fontId="0" fillId="36" borderId="12" xfId="0" applyFill="1" applyBorder="1" applyAlignment="1">
      <alignment/>
    </xf>
    <xf numFmtId="0" fontId="5" fillId="36" borderId="47" xfId="68" applyFont="1" applyFill="1" applyBorder="1" applyAlignment="1">
      <alignment horizontal="center" vertical="center"/>
      <protection/>
    </xf>
    <xf numFmtId="0" fontId="5" fillId="36" borderId="18" xfId="68" applyFont="1" applyFill="1" applyBorder="1" applyAlignment="1">
      <alignment horizontal="center" vertical="center"/>
      <protection/>
    </xf>
    <xf numFmtId="0" fontId="5" fillId="36" borderId="48" xfId="68" applyFont="1" applyFill="1" applyBorder="1" applyAlignment="1">
      <alignment horizontal="center" vertical="center"/>
      <protection/>
    </xf>
    <xf numFmtId="203" fontId="5" fillId="36" borderId="15" xfId="45" applyNumberFormat="1" applyFont="1" applyFill="1" applyBorder="1" applyAlignment="1">
      <alignment horizontal="center" vertical="center"/>
    </xf>
    <xf numFmtId="203" fontId="0" fillId="36" borderId="43" xfId="0" applyNumberFormat="1" applyFont="1" applyFill="1" applyBorder="1" applyAlignment="1">
      <alignment horizontal="center" vertical="center"/>
    </xf>
    <xf numFmtId="204" fontId="5" fillId="36" borderId="28" xfId="45" applyNumberFormat="1" applyFont="1" applyFill="1" applyBorder="1" applyAlignment="1">
      <alignment horizontal="center" vertical="center"/>
    </xf>
    <xf numFmtId="0" fontId="0" fillId="36" borderId="44" xfId="0" applyFont="1" applyFill="1" applyBorder="1" applyAlignment="1">
      <alignment horizontal="center" vertical="center"/>
    </xf>
    <xf numFmtId="204" fontId="26" fillId="0" borderId="13" xfId="45" applyNumberFormat="1" applyFont="1" applyFill="1" applyBorder="1" applyAlignment="1">
      <alignment horizontal="center" textRotation="60" wrapText="1"/>
    </xf>
    <xf numFmtId="204" fontId="26" fillId="0" borderId="15" xfId="45" applyNumberFormat="1" applyFont="1" applyFill="1" applyBorder="1" applyAlignment="1">
      <alignment horizontal="center" textRotation="60" wrapText="1"/>
    </xf>
    <xf numFmtId="204" fontId="26" fillId="0" borderId="15" xfId="45" applyNumberFormat="1" applyFont="1" applyBorder="1" applyAlignment="1">
      <alignment horizontal="center" textRotation="60" wrapText="1"/>
    </xf>
    <xf numFmtId="0" fontId="8" fillId="0" borderId="15" xfId="60" applyFont="1" applyBorder="1" applyAlignment="1">
      <alignment horizontal="center" vertical="center"/>
      <protection/>
    </xf>
    <xf numFmtId="0" fontId="8" fillId="0" borderId="12" xfId="60" applyFont="1" applyBorder="1" applyAlignment="1">
      <alignment vertical="center"/>
      <protection/>
    </xf>
    <xf numFmtId="204" fontId="26" fillId="0" borderId="13" xfId="45" applyNumberFormat="1" applyFont="1" applyBorder="1" applyAlignment="1">
      <alignment horizontal="center" textRotation="60" wrapText="1"/>
    </xf>
    <xf numFmtId="204" fontId="9" fillId="0" borderId="13" xfId="45" applyNumberFormat="1" applyFont="1" applyBorder="1" applyAlignment="1">
      <alignment horizontal="center" vertical="center"/>
    </xf>
    <xf numFmtId="0" fontId="11" fillId="0" borderId="30" xfId="60" applyFont="1" applyBorder="1" applyAlignment="1">
      <alignment vertical="top" wrapText="1"/>
      <protection/>
    </xf>
    <xf numFmtId="0" fontId="0" fillId="0" borderId="30" xfId="0" applyBorder="1" applyAlignment="1">
      <alignment vertical="top" wrapText="1"/>
    </xf>
    <xf numFmtId="0" fontId="5" fillId="33" borderId="37" xfId="60" applyFont="1" applyFill="1" applyBorder="1" applyAlignment="1">
      <alignment horizontal="center" vertical="center"/>
      <protection/>
    </xf>
    <xf numFmtId="194" fontId="5" fillId="0" borderId="37" xfId="42" applyFont="1" applyBorder="1" applyAlignment="1">
      <alignment horizontal="center"/>
    </xf>
    <xf numFmtId="208" fontId="5" fillId="0" borderId="38" xfId="42" applyNumberFormat="1" applyFont="1" applyBorder="1" applyAlignment="1">
      <alignment horizontal="right" vertical="center" textRotation="60"/>
    </xf>
    <xf numFmtId="208" fontId="5" fillId="0" borderId="32" xfId="42" applyNumberFormat="1" applyFont="1" applyBorder="1" applyAlignment="1">
      <alignment horizontal="right" vertical="center" textRotation="60"/>
    </xf>
    <xf numFmtId="208" fontId="5" fillId="0" borderId="38" xfId="42" applyNumberFormat="1" applyFont="1" applyBorder="1" applyAlignment="1">
      <alignment horizontal="center" vertical="center"/>
    </xf>
    <xf numFmtId="208" fontId="5" fillId="0" borderId="32" xfId="42" applyNumberFormat="1" applyFont="1" applyBorder="1" applyAlignment="1">
      <alignment horizontal="center" vertical="center"/>
    </xf>
    <xf numFmtId="0" fontId="5" fillId="0" borderId="38" xfId="60" applyFont="1" applyBorder="1" applyAlignment="1">
      <alignment horizontal="center" vertical="center"/>
      <protection/>
    </xf>
    <xf numFmtId="0" fontId="4" fillId="0" borderId="32" xfId="60" applyFont="1" applyBorder="1" applyAlignment="1">
      <alignment horizontal="center" vertical="center"/>
      <protection/>
    </xf>
    <xf numFmtId="0" fontId="4" fillId="0" borderId="38" xfId="60" applyFont="1" applyBorder="1" applyAlignment="1">
      <alignment horizontal="center" vertical="top"/>
      <protection/>
    </xf>
    <xf numFmtId="0" fontId="4" fillId="0" borderId="32" xfId="60" applyFont="1" applyBorder="1" applyAlignment="1">
      <alignment horizontal="center" vertical="top"/>
      <protection/>
    </xf>
    <xf numFmtId="0" fontId="5" fillId="0" borderId="32" xfId="60" applyFont="1" applyBorder="1" applyAlignment="1">
      <alignment horizontal="center" vertical="center"/>
      <protection/>
    </xf>
    <xf numFmtId="204" fontId="8" fillId="0" borderId="18" xfId="46" applyNumberFormat="1" applyFont="1" applyBorder="1" applyAlignment="1">
      <alignment horizontal="center" vertical="center"/>
    </xf>
    <xf numFmtId="204" fontId="26" fillId="0" borderId="18" xfId="46" applyNumberFormat="1" applyFont="1" applyBorder="1" applyAlignment="1">
      <alignment horizontal="center" textRotation="60" wrapText="1"/>
    </xf>
    <xf numFmtId="204" fontId="26" fillId="0" borderId="18" xfId="45" applyNumberFormat="1" applyFont="1" applyBorder="1" applyAlignment="1">
      <alignment horizontal="center" textRotation="69" wrapText="1"/>
    </xf>
    <xf numFmtId="204" fontId="26" fillId="0" borderId="13" xfId="45" applyNumberFormat="1" applyFont="1" applyBorder="1" applyAlignment="1">
      <alignment horizontal="center" textRotation="69" wrapText="1"/>
    </xf>
    <xf numFmtId="204" fontId="26" fillId="0" borderId="13" xfId="45" applyNumberFormat="1" applyFont="1" applyBorder="1" applyAlignment="1">
      <alignment horizontal="center" textRotation="70" wrapText="1"/>
    </xf>
    <xf numFmtId="204" fontId="26" fillId="0" borderId="13" xfId="45" applyNumberFormat="1" applyFont="1" applyBorder="1" applyAlignment="1">
      <alignment horizontal="left" textRotation="66" wrapText="1"/>
    </xf>
    <xf numFmtId="204" fontId="20" fillId="0" borderId="13" xfId="45" applyNumberFormat="1" applyFont="1" applyBorder="1" applyAlignment="1">
      <alignment horizontal="center" textRotation="60" wrapText="1"/>
    </xf>
    <xf numFmtId="204" fontId="20" fillId="0" borderId="15" xfId="45" applyNumberFormat="1" applyFont="1" applyBorder="1" applyAlignment="1">
      <alignment horizontal="center" textRotation="60" wrapText="1"/>
    </xf>
    <xf numFmtId="0" fontId="19" fillId="0" borderId="15" xfId="60" applyFont="1" applyBorder="1" applyAlignment="1">
      <alignment horizontal="center" vertical="center"/>
      <protection/>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8" fillId="0" borderId="18" xfId="0" applyFont="1" applyBorder="1" applyAlignment="1">
      <alignment horizontal="center" vertical="center"/>
    </xf>
    <xf numFmtId="0" fontId="0" fillId="0" borderId="18" xfId="0" applyBorder="1" applyAlignment="1">
      <alignment horizontal="center" vertical="center"/>
    </xf>
    <xf numFmtId="0" fontId="9" fillId="0" borderId="15" xfId="0" applyFont="1" applyBorder="1" applyAlignment="1">
      <alignment horizontal="left" vertical="center" textRotation="71"/>
    </xf>
    <xf numFmtId="0" fontId="0" fillId="0" borderId="12" xfId="0" applyBorder="1" applyAlignment="1">
      <alignment vertical="center"/>
    </xf>
    <xf numFmtId="0" fontId="0" fillId="0" borderId="12" xfId="0" applyBorder="1" applyAlignment="1">
      <alignment horizontal="left" vertical="center"/>
    </xf>
    <xf numFmtId="204" fontId="5" fillId="0" borderId="18" xfId="45" applyNumberFormat="1" applyFont="1" applyBorder="1" applyAlignment="1">
      <alignment horizontal="center" vertical="center"/>
    </xf>
    <xf numFmtId="0" fontId="0" fillId="0" borderId="18" xfId="0" applyBorder="1" applyAlignment="1">
      <alignment vertical="center"/>
    </xf>
    <xf numFmtId="0" fontId="9" fillId="0" borderId="15" xfId="61" applyFont="1" applyBorder="1" applyAlignment="1">
      <alignment horizontal="center" vertical="center"/>
      <protection/>
    </xf>
    <xf numFmtId="0" fontId="9" fillId="0" borderId="12" xfId="61" applyFont="1" applyBorder="1" applyAlignment="1">
      <alignment horizontal="center" vertical="center"/>
      <protection/>
    </xf>
    <xf numFmtId="0" fontId="26" fillId="0" borderId="13" xfId="61" applyFont="1" applyBorder="1" applyAlignment="1">
      <alignment horizontal="center" textRotation="58"/>
      <protection/>
    </xf>
    <xf numFmtId="0" fontId="26" fillId="0" borderId="13" xfId="61" applyFont="1" applyBorder="1" applyAlignment="1">
      <alignment horizontal="center" textRotation="58" wrapText="1"/>
      <protection/>
    </xf>
    <xf numFmtId="0" fontId="9" fillId="0" borderId="13" xfId="61" applyFont="1" applyBorder="1" applyAlignment="1">
      <alignment horizontal="center" vertical="center"/>
      <protection/>
    </xf>
    <xf numFmtId="204" fontId="26" fillId="0" borderId="13" xfId="46" applyNumberFormat="1" applyFont="1" applyBorder="1" applyAlignment="1">
      <alignment horizontal="center" textRotation="58" wrapText="1"/>
    </xf>
    <xf numFmtId="204" fontId="26" fillId="0" borderId="13" xfId="46" applyNumberFormat="1" applyFont="1" applyBorder="1" applyAlignment="1">
      <alignment horizontal="center" textRotation="58"/>
    </xf>
    <xf numFmtId="208" fontId="5" fillId="0" borderId="23" xfId="42" applyNumberFormat="1" applyFont="1" applyBorder="1" applyAlignment="1">
      <alignment horizontal="center" vertical="center"/>
    </xf>
    <xf numFmtId="208" fontId="5" fillId="0" borderId="36" xfId="42" applyNumberFormat="1" applyFont="1" applyBorder="1" applyAlignment="1">
      <alignment horizontal="center" vertical="center"/>
    </xf>
    <xf numFmtId="208" fontId="5" fillId="0" borderId="38" xfId="42" applyNumberFormat="1" applyFont="1" applyBorder="1" applyAlignment="1">
      <alignment horizontal="right" vertical="center"/>
    </xf>
    <xf numFmtId="208" fontId="5" fillId="0" borderId="32" xfId="42" applyNumberFormat="1" applyFont="1" applyBorder="1" applyAlignment="1">
      <alignment horizontal="right" vertical="center"/>
    </xf>
    <xf numFmtId="208" fontId="5" fillId="0" borderId="38" xfId="42" applyNumberFormat="1" applyFont="1" applyBorder="1" applyAlignment="1">
      <alignment vertical="center"/>
    </xf>
    <xf numFmtId="208" fontId="5" fillId="0" borderId="32" xfId="42" applyNumberFormat="1" applyFont="1" applyBorder="1" applyAlignment="1">
      <alignment vertical="center"/>
    </xf>
    <xf numFmtId="0" fontId="9" fillId="0" borderId="15" xfId="61" applyFont="1" applyBorder="1" applyAlignment="1">
      <alignment horizontal="center" vertical="center" wrapText="1"/>
      <protection/>
    </xf>
    <xf numFmtId="0" fontId="0" fillId="0" borderId="12" xfId="0" applyBorder="1" applyAlignment="1">
      <alignment horizontal="center" vertical="center" wrapText="1"/>
    </xf>
    <xf numFmtId="208" fontId="5" fillId="0" borderId="38" xfId="42" applyNumberFormat="1" applyFont="1" applyBorder="1" applyAlignment="1">
      <alignment vertical="center" textRotation="60"/>
    </xf>
    <xf numFmtId="208" fontId="5" fillId="0" borderId="32" xfId="42" applyNumberFormat="1" applyFont="1" applyBorder="1" applyAlignment="1">
      <alignment vertical="center" textRotation="60"/>
    </xf>
    <xf numFmtId="204" fontId="26" fillId="0" borderId="18" xfId="45" applyNumberFormat="1" applyFont="1" applyBorder="1" applyAlignment="1">
      <alignment horizontal="left" textRotation="78" wrapText="1"/>
    </xf>
    <xf numFmtId="204" fontId="26" fillId="0" borderId="18" xfId="45" applyNumberFormat="1" applyFont="1" applyBorder="1" applyAlignment="1">
      <alignment horizontal="center" textRotation="78" wrapText="1"/>
    </xf>
    <xf numFmtId="204" fontId="9" fillId="0" borderId="18" xfId="45" applyNumberFormat="1"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Ann Report 2005 June_30" xfId="44"/>
    <cellStyle name="Comma_Annual TICP Report 2005" xfId="45"/>
    <cellStyle name="Comma_Draft Ann Rep 2005 June_3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Annual Report 2001new" xfId="60"/>
    <cellStyle name="Normal_Publish Annual Report 2001new" xfId="61"/>
    <cellStyle name="Note" xfId="62"/>
    <cellStyle name="Output" xfId="63"/>
    <cellStyle name="Percent" xfId="64"/>
    <cellStyle name="Title" xfId="65"/>
    <cellStyle name="Total" xfId="66"/>
    <cellStyle name="Warning Text" xfId="67"/>
    <cellStyle name="ปกติ_Annual Report 2003 27Ju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 TargetMode="Externa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1:T127"/>
  <sheetViews>
    <sheetView tabSelected="1" zoomScalePageLayoutView="0" workbookViewId="0" topLeftCell="A1">
      <pane xSplit="1" ySplit="4" topLeftCell="B38" activePane="bottomRight" state="frozen"/>
      <selection pane="topLeft" activeCell="A1" sqref="A1"/>
      <selection pane="topRight" activeCell="B1" sqref="B1"/>
      <selection pane="bottomLeft" activeCell="A5" sqref="A5"/>
      <selection pane="bottomRight" activeCell="I7" sqref="I7"/>
    </sheetView>
  </sheetViews>
  <sheetFormatPr defaultColWidth="9.140625" defaultRowHeight="12.75"/>
  <cols>
    <col min="1" max="1" width="26.28125" style="26" customWidth="1"/>
    <col min="2" max="2" width="6.7109375" style="25" customWidth="1"/>
    <col min="3" max="3" width="10.57421875" style="457" customWidth="1"/>
    <col min="4" max="4" width="4.7109375" style="26" customWidth="1"/>
    <col min="5" max="5" width="9.28125" style="457" bestFit="1" customWidth="1"/>
    <col min="6" max="6" width="5.421875" style="31" customWidth="1"/>
    <col min="7" max="7" width="9.8515625" style="460" customWidth="1"/>
    <col min="8" max="8" width="5.8515625" style="24" customWidth="1"/>
    <col min="9" max="9" width="9.8515625" style="457" customWidth="1"/>
    <col min="10" max="10" width="6.57421875" style="25" customWidth="1"/>
    <col min="11" max="11" width="9.7109375" style="457" customWidth="1"/>
    <col min="12" max="12" width="5.28125" style="24" customWidth="1"/>
    <col min="13" max="13" width="9.57421875" style="24" customWidth="1"/>
    <col min="14" max="14" width="7.00390625" style="25" customWidth="1"/>
    <col min="15" max="15" width="10.140625" style="460" customWidth="1"/>
    <col min="16" max="16" width="10.7109375" style="65" customWidth="1"/>
    <col min="17" max="17" width="9.140625" style="65" customWidth="1"/>
    <col min="18" max="18" width="6.28125" style="65" customWidth="1"/>
    <col min="19" max="19" width="9.7109375" style="65" customWidth="1"/>
    <col min="20" max="20" width="9.140625" style="65" customWidth="1"/>
    <col min="21" max="16384" width="9.140625" style="136" customWidth="1"/>
  </cols>
  <sheetData>
    <row r="1" spans="1:15" ht="29.25" customHeight="1" thickBot="1">
      <c r="A1" s="1" t="s">
        <v>325</v>
      </c>
      <c r="B1" s="2"/>
      <c r="C1" s="451"/>
      <c r="D1" s="3"/>
      <c r="E1" s="451"/>
      <c r="F1" s="4"/>
      <c r="G1" s="459"/>
      <c r="H1" s="5"/>
      <c r="I1" s="451"/>
      <c r="J1" s="2"/>
      <c r="K1" s="451"/>
      <c r="L1" s="5"/>
      <c r="M1" s="555"/>
      <c r="O1" s="556" t="s">
        <v>101</v>
      </c>
    </row>
    <row r="2" spans="1:20" s="7" customFormat="1" ht="32.25" customHeight="1" thickBot="1">
      <c r="A2" s="1231" t="s">
        <v>1</v>
      </c>
      <c r="B2" s="1233" t="s">
        <v>2</v>
      </c>
      <c r="C2" s="1233"/>
      <c r="D2" s="1233" t="s">
        <v>3</v>
      </c>
      <c r="E2" s="1233"/>
      <c r="F2" s="1234" t="s">
        <v>4</v>
      </c>
      <c r="G2" s="1234"/>
      <c r="H2" s="1234" t="s">
        <v>5</v>
      </c>
      <c r="I2" s="1234"/>
      <c r="J2" s="1234" t="s">
        <v>6</v>
      </c>
      <c r="K2" s="1234"/>
      <c r="L2" s="1235" t="s">
        <v>145</v>
      </c>
      <c r="M2" s="1235"/>
      <c r="N2" s="1233" t="s">
        <v>7</v>
      </c>
      <c r="O2" s="1233"/>
      <c r="P2" s="65"/>
      <c r="Q2" s="65"/>
      <c r="R2" s="65"/>
      <c r="S2" s="65"/>
      <c r="T2" s="65"/>
    </row>
    <row r="3" spans="1:20" s="7" customFormat="1" ht="21.75" customHeight="1" thickBot="1">
      <c r="A3" s="1232"/>
      <c r="B3" s="510" t="s">
        <v>8</v>
      </c>
      <c r="C3" s="511" t="s">
        <v>9</v>
      </c>
      <c r="D3" s="510" t="s">
        <v>10</v>
      </c>
      <c r="E3" s="511" t="s">
        <v>9</v>
      </c>
      <c r="F3" s="512" t="s">
        <v>10</v>
      </c>
      <c r="G3" s="511" t="s">
        <v>9</v>
      </c>
      <c r="H3" s="512" t="s">
        <v>10</v>
      </c>
      <c r="I3" s="511" t="s">
        <v>9</v>
      </c>
      <c r="J3" s="510" t="s">
        <v>10</v>
      </c>
      <c r="K3" s="511" t="s">
        <v>9</v>
      </c>
      <c r="L3" s="510" t="s">
        <v>10</v>
      </c>
      <c r="M3" s="512" t="s">
        <v>9</v>
      </c>
      <c r="N3" s="510" t="s">
        <v>234</v>
      </c>
      <c r="O3" s="511" t="s">
        <v>9</v>
      </c>
      <c r="P3" s="65"/>
      <c r="Q3" s="65"/>
      <c r="R3" s="65"/>
      <c r="S3" s="65"/>
      <c r="T3" s="65"/>
    </row>
    <row r="4" spans="1:15" ht="21.75" customHeight="1">
      <c r="A4" s="481" t="s">
        <v>152</v>
      </c>
      <c r="B4" s="482"/>
      <c r="C4" s="483"/>
      <c r="D4" s="484"/>
      <c r="E4" s="483"/>
      <c r="F4" s="485"/>
      <c r="G4" s="486"/>
      <c r="H4" s="487"/>
      <c r="I4" s="483"/>
      <c r="J4" s="482"/>
      <c r="K4" s="483"/>
      <c r="L4" s="487"/>
      <c r="M4" s="487"/>
      <c r="N4" s="482"/>
      <c r="O4" s="486"/>
    </row>
    <row r="5" spans="1:16" ht="19.5" customHeight="1">
      <c r="A5" s="10" t="s">
        <v>11</v>
      </c>
      <c r="B5" s="11">
        <f>ApIII!R6</f>
        <v>81</v>
      </c>
      <c r="C5" s="453">
        <f>ApIII!S6</f>
        <v>49242.299999999996</v>
      </c>
      <c r="D5" s="12"/>
      <c r="E5" s="458">
        <f>ApVII!S5</f>
        <v>1117.4</v>
      </c>
      <c r="F5" s="11">
        <f>ApX!R5</f>
        <v>10</v>
      </c>
      <c r="G5" s="402">
        <f>ApX!S5</f>
        <v>966.9</v>
      </c>
      <c r="H5" s="11"/>
      <c r="I5" s="453"/>
      <c r="J5" s="13">
        <f>ApXII!T5</f>
        <v>33</v>
      </c>
      <c r="K5" s="453">
        <f>ApXII!U5</f>
        <v>1395.1999999999998</v>
      </c>
      <c r="L5" s="12">
        <f>19+10+22+6+2</f>
        <v>59</v>
      </c>
      <c r="M5" s="431">
        <f>1768.1+425.1+897+89.4+39.9+32.5</f>
        <v>3252</v>
      </c>
      <c r="N5" s="180">
        <f aca="true" t="shared" si="0" ref="N5:O8">SUM(B5,D5,F5,H5,J5,L5)</f>
        <v>183</v>
      </c>
      <c r="O5" s="462">
        <f t="shared" si="0"/>
        <v>55973.799999999996</v>
      </c>
      <c r="P5" s="993"/>
    </row>
    <row r="6" spans="1:16" ht="19.5" customHeight="1">
      <c r="A6" s="10" t="s">
        <v>13</v>
      </c>
      <c r="B6" s="11">
        <f>ApIII!R7</f>
        <v>457</v>
      </c>
      <c r="C6" s="453">
        <f>ApIII!S7</f>
        <v>103069.98000000001</v>
      </c>
      <c r="D6" s="12"/>
      <c r="E6" s="458">
        <f>ApVII!S6</f>
        <v>2398.8</v>
      </c>
      <c r="F6" s="11">
        <f>ApX!R6</f>
        <v>2</v>
      </c>
      <c r="G6" s="402">
        <f>ApX!S6</f>
        <v>132</v>
      </c>
      <c r="H6" s="11"/>
      <c r="I6" s="453"/>
      <c r="J6" s="13">
        <f>ApXII!T6</f>
        <v>144</v>
      </c>
      <c r="K6" s="453">
        <f>ApXII!U6</f>
        <v>4093.1000000000004</v>
      </c>
      <c r="L6" s="12">
        <f>11+10+22+9+2</f>
        <v>54</v>
      </c>
      <c r="M6" s="431">
        <f>4813.5+425.1+762.1+118.2+65.2</f>
        <v>6184.1</v>
      </c>
      <c r="N6" s="180">
        <f t="shared" si="0"/>
        <v>657</v>
      </c>
      <c r="O6" s="462">
        <f t="shared" si="0"/>
        <v>115877.98000000003</v>
      </c>
      <c r="P6" s="993"/>
    </row>
    <row r="7" spans="1:16" ht="19.5" customHeight="1">
      <c r="A7" s="10" t="s">
        <v>14</v>
      </c>
      <c r="B7" s="11">
        <f>ApIII!R8</f>
        <v>500</v>
      </c>
      <c r="C7" s="453">
        <f>ApIII!S8</f>
        <v>38330.100000000006</v>
      </c>
      <c r="D7" s="12">
        <f>ApVII!R7</f>
        <v>1</v>
      </c>
      <c r="E7" s="458">
        <f>ApVII!S7</f>
        <v>5619.5</v>
      </c>
      <c r="F7" s="11">
        <f>ApX!R7</f>
        <v>17</v>
      </c>
      <c r="G7" s="402">
        <f>ApX!S7</f>
        <v>1770.7999999999997</v>
      </c>
      <c r="H7" s="11"/>
      <c r="I7" s="453"/>
      <c r="J7" s="13">
        <f>ApXII!T7</f>
        <v>28</v>
      </c>
      <c r="K7" s="453">
        <f>ApXII!U7</f>
        <v>2116.2</v>
      </c>
      <c r="L7" s="12">
        <f>48+10+16+9+2</f>
        <v>85</v>
      </c>
      <c r="M7" s="431">
        <f>9881.6+424.9+566+107.7+31.8+31.8</f>
        <v>11043.8</v>
      </c>
      <c r="N7" s="180">
        <f t="shared" si="0"/>
        <v>631</v>
      </c>
      <c r="O7" s="462">
        <f t="shared" si="0"/>
        <v>58880.40000000001</v>
      </c>
      <c r="P7" s="993"/>
    </row>
    <row r="8" spans="1:16" ht="19.5" customHeight="1">
      <c r="A8" s="10" t="s">
        <v>15</v>
      </c>
      <c r="B8" s="11">
        <f>ApIII!R9</f>
        <v>128</v>
      </c>
      <c r="C8" s="453">
        <f>ApIII!S9</f>
        <v>11452.500000000002</v>
      </c>
      <c r="D8" s="12"/>
      <c r="E8" s="458">
        <f>ApVII!S8</f>
        <v>1161.5</v>
      </c>
      <c r="F8" s="11">
        <f>ApX!R8</f>
        <v>4</v>
      </c>
      <c r="G8" s="402">
        <f>ApX!S8</f>
        <v>261.1</v>
      </c>
      <c r="H8" s="11"/>
      <c r="I8" s="453"/>
      <c r="J8" s="13">
        <f>ApXII!T8</f>
        <v>21</v>
      </c>
      <c r="K8" s="453">
        <f>ApXII!U8</f>
        <v>1299.3999999999999</v>
      </c>
      <c r="L8" s="12">
        <f>11+4+14+2</f>
        <v>31</v>
      </c>
      <c r="M8" s="431">
        <f>3658.2+191.6+407.7+34.3+34.3</f>
        <v>4326.1</v>
      </c>
      <c r="N8" s="180">
        <f t="shared" si="0"/>
        <v>184</v>
      </c>
      <c r="O8" s="462">
        <f t="shared" si="0"/>
        <v>18500.600000000002</v>
      </c>
      <c r="P8" s="993"/>
    </row>
    <row r="9" spans="1:15" ht="21.75" customHeight="1">
      <c r="A9" s="488" t="s">
        <v>16</v>
      </c>
      <c r="B9" s="489"/>
      <c r="C9" s="490"/>
      <c r="D9" s="491"/>
      <c r="E9" s="490"/>
      <c r="F9" s="489"/>
      <c r="G9" s="492"/>
      <c r="H9" s="491"/>
      <c r="I9" s="490"/>
      <c r="J9" s="493"/>
      <c r="K9" s="490"/>
      <c r="L9" s="491"/>
      <c r="M9" s="491"/>
      <c r="N9" s="494"/>
      <c r="O9" s="495"/>
    </row>
    <row r="10" spans="1:15" ht="19.5" customHeight="1">
      <c r="A10" s="10" t="s">
        <v>605</v>
      </c>
      <c r="B10" s="11"/>
      <c r="C10" s="402"/>
      <c r="D10" s="11"/>
      <c r="E10" s="453"/>
      <c r="F10" s="15"/>
      <c r="G10" s="940"/>
      <c r="H10" s="11"/>
      <c r="I10" s="453"/>
      <c r="J10" s="11"/>
      <c r="K10" s="402"/>
      <c r="L10" s="11">
        <v>2</v>
      </c>
      <c r="M10" s="402">
        <v>4.8</v>
      </c>
      <c r="N10" s="180">
        <f>SUM(B10,D10,F10,H10,J10,L10)</f>
        <v>2</v>
      </c>
      <c r="O10" s="462">
        <f>SUM(C10,E10,G10,I10,K10,M10)</f>
        <v>4.8</v>
      </c>
    </row>
    <row r="11" spans="1:15" ht="19.5" customHeight="1">
      <c r="A11" s="10" t="s">
        <v>17</v>
      </c>
      <c r="B11" s="11">
        <v>1</v>
      </c>
      <c r="C11" s="453">
        <f>ApIII!S11</f>
        <v>40.59999999999991</v>
      </c>
      <c r="D11" s="12">
        <f>ApVII!R10</f>
        <v>1</v>
      </c>
      <c r="E11" s="458">
        <f>ApVII!S10</f>
        <v>702.5</v>
      </c>
      <c r="F11" s="15">
        <f>ApX!R10</f>
        <v>6</v>
      </c>
      <c r="G11" s="940">
        <f>ApX!S10</f>
        <v>831.8</v>
      </c>
      <c r="H11" s="11"/>
      <c r="I11" s="453"/>
      <c r="J11" s="11">
        <f>ApXII!T11</f>
        <v>14</v>
      </c>
      <c r="K11" s="402">
        <f>ApXII!U11</f>
        <v>310.2</v>
      </c>
      <c r="L11" s="11">
        <v>4</v>
      </c>
      <c r="M11" s="402">
        <f>17.8+21</f>
        <v>38.8</v>
      </c>
      <c r="N11" s="180">
        <f aca="true" t="shared" si="1" ref="N11:O15">SUM(B11,D11,F11,H11,J11,L11)</f>
        <v>26</v>
      </c>
      <c r="O11" s="462">
        <f t="shared" si="1"/>
        <v>1923.8999999999999</v>
      </c>
    </row>
    <row r="12" spans="1:15" ht="19.5" customHeight="1">
      <c r="A12" s="10" t="s">
        <v>18</v>
      </c>
      <c r="B12" s="11"/>
      <c r="C12" s="11"/>
      <c r="D12" s="11"/>
      <c r="E12" s="453"/>
      <c r="F12" s="15">
        <f>ApX!R11</f>
        <v>1</v>
      </c>
      <c r="G12" s="940">
        <f>ApX!S11</f>
        <v>58.2</v>
      </c>
      <c r="H12" s="11"/>
      <c r="I12" s="453"/>
      <c r="J12" s="11">
        <f>ApXII!T12</f>
        <v>3</v>
      </c>
      <c r="K12" s="402">
        <f>ApXII!U12</f>
        <v>288.6</v>
      </c>
      <c r="L12" s="11">
        <f>9+1</f>
        <v>10</v>
      </c>
      <c r="M12" s="402">
        <f>53.3+2.4</f>
        <v>55.699999999999996</v>
      </c>
      <c r="N12" s="180">
        <f t="shared" si="1"/>
        <v>14</v>
      </c>
      <c r="O12" s="462">
        <f t="shared" si="1"/>
        <v>402.5</v>
      </c>
    </row>
    <row r="13" spans="1:15" ht="19.5" customHeight="1">
      <c r="A13" s="10" t="s">
        <v>19</v>
      </c>
      <c r="B13" s="11">
        <f>ApIII!R12</f>
        <v>1</v>
      </c>
      <c r="C13" s="402">
        <f>ApIII!S12</f>
        <v>2.1</v>
      </c>
      <c r="D13" s="11"/>
      <c r="E13" s="453"/>
      <c r="F13" s="15">
        <f>ApX!R12</f>
        <v>14</v>
      </c>
      <c r="G13" s="940">
        <f>ApX!S12</f>
        <v>1540.2</v>
      </c>
      <c r="H13" s="11"/>
      <c r="I13" s="453"/>
      <c r="J13" s="11">
        <f>ApXII!T13</f>
        <v>11</v>
      </c>
      <c r="K13" s="402">
        <f>ApXII!U13</f>
        <v>91.5</v>
      </c>
      <c r="L13" s="11">
        <v>3</v>
      </c>
      <c r="M13" s="402">
        <f>4.8+21</f>
        <v>25.8</v>
      </c>
      <c r="N13" s="180">
        <f t="shared" si="1"/>
        <v>29</v>
      </c>
      <c r="O13" s="462">
        <f t="shared" si="1"/>
        <v>1659.6</v>
      </c>
    </row>
    <row r="14" spans="1:15" ht="19.5" customHeight="1">
      <c r="A14" s="10" t="s">
        <v>569</v>
      </c>
      <c r="B14" s="11"/>
      <c r="C14" s="402"/>
      <c r="D14" s="11"/>
      <c r="E14" s="453"/>
      <c r="F14" s="15"/>
      <c r="G14" s="940"/>
      <c r="H14" s="11"/>
      <c r="I14" s="453"/>
      <c r="J14" s="11"/>
      <c r="K14" s="402"/>
      <c r="L14" s="11">
        <v>2</v>
      </c>
      <c r="M14" s="402">
        <v>42</v>
      </c>
      <c r="N14" s="180">
        <f>SUM(B14,D14,F14,H14,J14,L14)</f>
        <v>2</v>
      </c>
      <c r="O14" s="462">
        <f>SUM(C14,E14,G14,I14,K14,M14)</f>
        <v>42</v>
      </c>
    </row>
    <row r="15" spans="1:15" ht="19.5" customHeight="1">
      <c r="A15" s="16" t="s">
        <v>20</v>
      </c>
      <c r="B15" s="17">
        <f>ApIII!R13</f>
        <v>15</v>
      </c>
      <c r="C15" s="480">
        <f>ApIII!S13</f>
        <v>1489.2</v>
      </c>
      <c r="D15" s="17">
        <f>ApVII!R11</f>
        <v>0</v>
      </c>
      <c r="E15" s="454">
        <f>ApVII!S11</f>
        <v>758.2</v>
      </c>
      <c r="F15" s="18">
        <f>ApX!R13</f>
        <v>7</v>
      </c>
      <c r="G15" s="941">
        <f>ApX!S13</f>
        <v>753.1</v>
      </c>
      <c r="H15" s="17"/>
      <c r="I15" s="454"/>
      <c r="J15" s="276"/>
      <c r="K15" s="454"/>
      <c r="L15" s="17">
        <v>2</v>
      </c>
      <c r="M15" s="480">
        <v>4.8</v>
      </c>
      <c r="N15" s="181">
        <f t="shared" si="1"/>
        <v>24</v>
      </c>
      <c r="O15" s="463">
        <f t="shared" si="1"/>
        <v>3005.3</v>
      </c>
    </row>
    <row r="16" spans="1:15" ht="21.75" customHeight="1">
      <c r="A16" s="481" t="s">
        <v>21</v>
      </c>
      <c r="B16" s="485"/>
      <c r="C16" s="483"/>
      <c r="D16" s="496"/>
      <c r="E16" s="486"/>
      <c r="F16" s="485"/>
      <c r="G16" s="486"/>
      <c r="H16" s="487"/>
      <c r="I16" s="483"/>
      <c r="J16" s="482"/>
      <c r="K16" s="483"/>
      <c r="L16" s="487"/>
      <c r="M16" s="487"/>
      <c r="N16" s="497"/>
      <c r="O16" s="498"/>
    </row>
    <row r="17" spans="1:15" ht="19.5" customHeight="1">
      <c r="A17" s="10" t="s">
        <v>22</v>
      </c>
      <c r="B17" s="11"/>
      <c r="C17" s="402"/>
      <c r="D17" s="11"/>
      <c r="E17" s="453"/>
      <c r="F17" s="11">
        <f>ApX!R15</f>
        <v>11</v>
      </c>
      <c r="G17" s="402">
        <f>ApX!S15</f>
        <v>1184.3</v>
      </c>
      <c r="H17" s="11">
        <f>ApIX!D46</f>
        <v>84</v>
      </c>
      <c r="I17" s="402">
        <f>ApIX!E46</f>
        <v>2006.1999999999998</v>
      </c>
      <c r="J17" s="13">
        <f>ApXII!T15</f>
        <v>1</v>
      </c>
      <c r="K17" s="1094">
        <f>ApXII!U15</f>
        <v>38.1</v>
      </c>
      <c r="L17" s="11">
        <f>4</f>
        <v>4</v>
      </c>
      <c r="M17" s="402">
        <f>4.4</f>
        <v>4.4</v>
      </c>
      <c r="N17" s="180">
        <f aca="true" t="shared" si="2" ref="N17:O19">SUM(B17,D17,F17,H17,J17,L17)</f>
        <v>100</v>
      </c>
      <c r="O17" s="462">
        <f t="shared" si="2"/>
        <v>3233</v>
      </c>
    </row>
    <row r="18" spans="1:20" s="274" customFormat="1" ht="19.5" customHeight="1">
      <c r="A18" s="10" t="s">
        <v>293</v>
      </c>
      <c r="B18" s="11"/>
      <c r="C18" s="402"/>
      <c r="D18" s="11"/>
      <c r="E18" s="453"/>
      <c r="F18" s="11"/>
      <c r="G18" s="402"/>
      <c r="H18" s="11"/>
      <c r="I18" s="453"/>
      <c r="J18" s="13"/>
      <c r="K18" s="453"/>
      <c r="L18" s="11">
        <v>2</v>
      </c>
      <c r="M18" s="402">
        <v>42</v>
      </c>
      <c r="N18" s="180">
        <f t="shared" si="2"/>
        <v>2</v>
      </c>
      <c r="O18" s="462">
        <f t="shared" si="2"/>
        <v>42</v>
      </c>
      <c r="P18" s="228"/>
      <c r="Q18" s="228"/>
      <c r="R18" s="228"/>
      <c r="S18" s="228"/>
      <c r="T18" s="228"/>
    </row>
    <row r="19" spans="1:20" s="277" customFormat="1" ht="19.5" customHeight="1">
      <c r="A19" s="16" t="s">
        <v>23</v>
      </c>
      <c r="B19" s="17">
        <f>ApIII!R15</f>
        <v>13</v>
      </c>
      <c r="C19" s="480">
        <f>ApIII!S15</f>
        <v>4416.5</v>
      </c>
      <c r="D19" s="17">
        <f>ApVII!R13</f>
        <v>0</v>
      </c>
      <c r="E19" s="454">
        <f>ApVII!S13</f>
        <v>279</v>
      </c>
      <c r="F19" s="17">
        <f>ApX!R16</f>
        <v>5</v>
      </c>
      <c r="G19" s="480">
        <f>ApX!S16</f>
        <v>751.4000000000001</v>
      </c>
      <c r="H19" s="17"/>
      <c r="I19" s="454"/>
      <c r="J19" s="276">
        <f>ApXII!T16</f>
        <v>3</v>
      </c>
      <c r="K19" s="454">
        <f>ApXII!U16</f>
        <v>291</v>
      </c>
      <c r="L19" s="17"/>
      <c r="M19" s="17"/>
      <c r="N19" s="181">
        <f t="shared" si="2"/>
        <v>21</v>
      </c>
      <c r="O19" s="463">
        <f t="shared" si="2"/>
        <v>5737.9</v>
      </c>
      <c r="P19" s="272"/>
      <c r="Q19" s="272"/>
      <c r="R19" s="272"/>
      <c r="S19" s="272"/>
      <c r="T19" s="272"/>
    </row>
    <row r="20" spans="1:15" ht="21.75" customHeight="1">
      <c r="A20" s="499" t="s">
        <v>24</v>
      </c>
      <c r="B20" s="485"/>
      <c r="C20" s="483"/>
      <c r="D20" s="487"/>
      <c r="E20" s="483"/>
      <c r="F20" s="485"/>
      <c r="G20" s="486"/>
      <c r="H20" s="487"/>
      <c r="I20" s="483"/>
      <c r="J20" s="500"/>
      <c r="K20" s="483"/>
      <c r="L20" s="487"/>
      <c r="M20" s="487"/>
      <c r="N20" s="497"/>
      <c r="O20" s="498"/>
    </row>
    <row r="21" spans="1:15" ht="19.5" customHeight="1">
      <c r="A21" s="10" t="s">
        <v>25</v>
      </c>
      <c r="B21" s="11">
        <f>ApIII!R17</f>
        <v>1</v>
      </c>
      <c r="C21" s="402">
        <f>ApIII!S17</f>
        <v>66.1</v>
      </c>
      <c r="D21" s="11"/>
      <c r="E21" s="453"/>
      <c r="F21" s="11">
        <f>ApX!R18</f>
        <v>1</v>
      </c>
      <c r="G21" s="402">
        <f>ApX!S18</f>
        <v>61.7</v>
      </c>
      <c r="H21" s="11"/>
      <c r="I21" s="453"/>
      <c r="J21" s="11">
        <f>ApXII!T18</f>
        <v>3</v>
      </c>
      <c r="K21" s="402">
        <f>ApXII!U18</f>
        <v>153.2</v>
      </c>
      <c r="L21" s="11"/>
      <c r="M21" s="11"/>
      <c r="N21" s="180">
        <f aca="true" t="shared" si="3" ref="N21:N33">SUM(B21,D21,F21,H21,J21,L21)</f>
        <v>5</v>
      </c>
      <c r="O21" s="462">
        <f aca="true" t="shared" si="4" ref="O21:O33">SUM(C21,E21,G21,I21,K21,M21)</f>
        <v>281</v>
      </c>
    </row>
    <row r="22" spans="1:15" ht="19.5" customHeight="1">
      <c r="A22" s="10" t="s">
        <v>26</v>
      </c>
      <c r="B22" s="11">
        <f>ApIII!R18</f>
        <v>3</v>
      </c>
      <c r="C22" s="402">
        <f>ApIII!S18</f>
        <v>6035.9</v>
      </c>
      <c r="D22" s="11">
        <f>ApVII!R15</f>
        <v>0</v>
      </c>
      <c r="E22" s="453">
        <f>ApVII!S15</f>
        <v>2684.5</v>
      </c>
      <c r="F22" s="11">
        <f>ApX!R19</f>
        <v>6</v>
      </c>
      <c r="G22" s="402">
        <f>ApX!S19</f>
        <v>738.9000000000001</v>
      </c>
      <c r="H22" s="11"/>
      <c r="I22" s="453"/>
      <c r="J22" s="13">
        <f>ApXII!T19</f>
        <v>2</v>
      </c>
      <c r="K22" s="453">
        <f>ApXII!U19</f>
        <v>96.6</v>
      </c>
      <c r="L22" s="11"/>
      <c r="M22" s="402"/>
      <c r="N22" s="180">
        <f>SUM(B22,D22,F22,H22,J22,L22)</f>
        <v>11</v>
      </c>
      <c r="O22" s="462">
        <f t="shared" si="4"/>
        <v>9555.9</v>
      </c>
    </row>
    <row r="23" spans="1:15" ht="19.5" customHeight="1">
      <c r="A23" s="10" t="s">
        <v>27</v>
      </c>
      <c r="B23" s="11">
        <f>ApIII!R19</f>
        <v>78</v>
      </c>
      <c r="C23" s="453">
        <f>ApIII!S19</f>
        <v>37198.6</v>
      </c>
      <c r="D23" s="11">
        <f>ApVII!R16</f>
        <v>0</v>
      </c>
      <c r="E23" s="453">
        <f>ApVII!S16</f>
        <v>518.7</v>
      </c>
      <c r="F23" s="11">
        <f>ApX!R20</f>
        <v>1</v>
      </c>
      <c r="G23" s="402">
        <f>ApX!S20</f>
        <v>77.5</v>
      </c>
      <c r="H23" s="11"/>
      <c r="I23" s="453"/>
      <c r="J23" s="13">
        <f>ApXII!T20</f>
        <v>54</v>
      </c>
      <c r="K23" s="453">
        <f>ApXII!U20</f>
        <v>1981</v>
      </c>
      <c r="L23" s="11"/>
      <c r="M23" s="402"/>
      <c r="N23" s="180">
        <f t="shared" si="3"/>
        <v>133</v>
      </c>
      <c r="O23" s="462">
        <f t="shared" si="4"/>
        <v>39775.799999999996</v>
      </c>
    </row>
    <row r="24" spans="1:15" ht="19.5" customHeight="1">
      <c r="A24" s="10" t="s">
        <v>28</v>
      </c>
      <c r="B24" s="11"/>
      <c r="C24" s="453"/>
      <c r="D24" s="11"/>
      <c r="E24" s="453"/>
      <c r="F24" s="11">
        <f>ApX!R21</f>
        <v>2</v>
      </c>
      <c r="G24" s="402">
        <f>ApX!S21</f>
        <v>256.1</v>
      </c>
      <c r="H24" s="11"/>
      <c r="I24" s="453"/>
      <c r="J24" s="13">
        <f>ApXII!T21</f>
        <v>3</v>
      </c>
      <c r="K24" s="453">
        <f>ApXII!U21</f>
        <v>266.59999999999997</v>
      </c>
      <c r="L24" s="11"/>
      <c r="M24" s="402"/>
      <c r="N24" s="180">
        <f t="shared" si="3"/>
        <v>5</v>
      </c>
      <c r="O24" s="462">
        <f t="shared" si="4"/>
        <v>522.7</v>
      </c>
    </row>
    <row r="25" spans="1:15" ht="19.5" customHeight="1">
      <c r="A25" s="10" t="s">
        <v>29</v>
      </c>
      <c r="B25" s="11">
        <f>ApIII!R20</f>
        <v>3</v>
      </c>
      <c r="C25" s="453">
        <f>ApIII!S20</f>
        <v>343.2</v>
      </c>
      <c r="D25" s="11"/>
      <c r="E25" s="453"/>
      <c r="F25" s="11">
        <f>ApX!R22</f>
        <v>1</v>
      </c>
      <c r="G25" s="402">
        <f>ApX!S22</f>
        <v>101.7</v>
      </c>
      <c r="H25" s="11"/>
      <c r="I25" s="453"/>
      <c r="J25" s="13">
        <f>ApXII!T22</f>
        <v>1</v>
      </c>
      <c r="K25" s="453">
        <f>ApXII!U22</f>
        <v>44</v>
      </c>
      <c r="L25" s="11"/>
      <c r="M25" s="11"/>
      <c r="N25" s="180">
        <f>SUM(B25,D25,F25,H25,J25,L25)</f>
        <v>5</v>
      </c>
      <c r="O25" s="462">
        <f>SUM(C25,E25,G25,I25,K25,M25)</f>
        <v>488.9</v>
      </c>
    </row>
    <row r="26" spans="1:15" ht="19.5" customHeight="1">
      <c r="A26" s="10" t="s">
        <v>30</v>
      </c>
      <c r="B26" s="11">
        <f>ApIII!R21</f>
        <v>11</v>
      </c>
      <c r="C26" s="453">
        <f>ApIII!S21</f>
        <v>413.7</v>
      </c>
      <c r="D26" s="11"/>
      <c r="E26" s="453"/>
      <c r="F26" s="15">
        <f>ApX!R23</f>
        <v>5</v>
      </c>
      <c r="G26" s="940">
        <f>ApX!S23</f>
        <v>648.7</v>
      </c>
      <c r="H26" s="11"/>
      <c r="I26" s="453"/>
      <c r="J26" s="11"/>
      <c r="K26" s="402"/>
      <c r="L26" s="11"/>
      <c r="M26" s="11"/>
      <c r="N26" s="180">
        <f t="shared" si="3"/>
        <v>16</v>
      </c>
      <c r="O26" s="462">
        <f t="shared" si="4"/>
        <v>1062.4</v>
      </c>
    </row>
    <row r="27" spans="1:15" ht="19.5" customHeight="1">
      <c r="A27" s="10" t="s">
        <v>31</v>
      </c>
      <c r="B27" s="11">
        <f>ApIII!R22</f>
        <v>3</v>
      </c>
      <c r="C27" s="453">
        <f>ApIII!S22</f>
        <v>620.1999999999999</v>
      </c>
      <c r="D27" s="11">
        <f>ApVII!R17</f>
        <v>1</v>
      </c>
      <c r="E27" s="453">
        <f>ApVII!S17</f>
        <v>1333.9</v>
      </c>
      <c r="F27" s="15">
        <f>ApX!R24</f>
        <v>9</v>
      </c>
      <c r="G27" s="940">
        <f>ApX!S24</f>
        <v>1093.5</v>
      </c>
      <c r="H27" s="11"/>
      <c r="I27" s="453"/>
      <c r="J27" s="11">
        <f>ApXII!T23</f>
        <v>1</v>
      </c>
      <c r="K27" s="453">
        <f>ApXII!U23</f>
        <v>57.9</v>
      </c>
      <c r="L27" s="11"/>
      <c r="M27" s="402"/>
      <c r="N27" s="180">
        <f t="shared" si="3"/>
        <v>14</v>
      </c>
      <c r="O27" s="462">
        <f t="shared" si="4"/>
        <v>3105.5</v>
      </c>
    </row>
    <row r="28" spans="1:15" ht="19.5" customHeight="1">
      <c r="A28" s="10" t="s">
        <v>32</v>
      </c>
      <c r="B28" s="11">
        <f>ApIII!R23</f>
        <v>2</v>
      </c>
      <c r="C28" s="453">
        <f>ApIII!S23</f>
        <v>100.8</v>
      </c>
      <c r="D28" s="11">
        <f>ApVII!R18</f>
        <v>0</v>
      </c>
      <c r="E28" s="453">
        <f>ApVII!S18</f>
        <v>1361</v>
      </c>
      <c r="F28" s="15">
        <f>ApX!R25</f>
        <v>11</v>
      </c>
      <c r="G28" s="940">
        <f>ApX!S25</f>
        <v>1369.8</v>
      </c>
      <c r="H28" s="11"/>
      <c r="I28" s="453"/>
      <c r="J28" s="13">
        <f>ApXII!T24</f>
        <v>3</v>
      </c>
      <c r="K28" s="453">
        <f>ApXII!U24</f>
        <v>153</v>
      </c>
      <c r="L28" s="11"/>
      <c r="M28" s="402"/>
      <c r="N28" s="180">
        <f t="shared" si="3"/>
        <v>16</v>
      </c>
      <c r="O28" s="462">
        <f t="shared" si="4"/>
        <v>2984.6</v>
      </c>
    </row>
    <row r="29" spans="1:15" ht="19.5" customHeight="1">
      <c r="A29" s="10" t="s">
        <v>547</v>
      </c>
      <c r="B29" s="11">
        <f>ApIII!R24</f>
        <v>1</v>
      </c>
      <c r="C29" s="453">
        <f>ApIII!S24</f>
        <v>66.1</v>
      </c>
      <c r="D29" s="11"/>
      <c r="E29" s="453"/>
      <c r="F29" s="15"/>
      <c r="G29" s="940"/>
      <c r="H29" s="11"/>
      <c r="I29" s="453"/>
      <c r="J29" s="13">
        <f>ApXII!T25</f>
        <v>1</v>
      </c>
      <c r="K29" s="453">
        <f>ApXII!U25</f>
        <v>40</v>
      </c>
      <c r="L29" s="11"/>
      <c r="M29" s="402"/>
      <c r="N29" s="180">
        <f aca="true" t="shared" si="5" ref="N29:O32">SUM(B29,D29,F29,H29,J29,L29)</f>
        <v>2</v>
      </c>
      <c r="O29" s="462">
        <f t="shared" si="5"/>
        <v>106.1</v>
      </c>
    </row>
    <row r="30" spans="1:15" ht="19.5" customHeight="1">
      <c r="A30" s="10" t="s">
        <v>33</v>
      </c>
      <c r="B30" s="11">
        <f>ApIII!R25</f>
        <v>1</v>
      </c>
      <c r="C30" s="453">
        <f>ApIII!S25</f>
        <v>81.9</v>
      </c>
      <c r="D30" s="11">
        <f>ApVII!R19</f>
        <v>0</v>
      </c>
      <c r="E30" s="453">
        <f>ApVII!S19</f>
        <v>1713.5</v>
      </c>
      <c r="F30" s="15">
        <f>ApX!R26</f>
        <v>6</v>
      </c>
      <c r="G30" s="940">
        <f>ApX!S26</f>
        <v>680</v>
      </c>
      <c r="H30" s="11"/>
      <c r="I30" s="453"/>
      <c r="J30" s="11">
        <f>ApXII!T26</f>
        <v>3</v>
      </c>
      <c r="K30" s="453">
        <f>ApXII!U26</f>
        <v>301.7</v>
      </c>
      <c r="L30" s="11"/>
      <c r="M30" s="11"/>
      <c r="N30" s="180">
        <f t="shared" si="5"/>
        <v>10</v>
      </c>
      <c r="O30" s="462">
        <f t="shared" si="5"/>
        <v>2777.1</v>
      </c>
    </row>
    <row r="31" spans="1:15" ht="19.5" customHeight="1">
      <c r="A31" s="10" t="s">
        <v>297</v>
      </c>
      <c r="B31" s="11">
        <f>ApIII!R26</f>
        <v>8</v>
      </c>
      <c r="C31" s="453">
        <f>ApIII!S26</f>
        <v>793.8</v>
      </c>
      <c r="D31" s="11"/>
      <c r="E31" s="453"/>
      <c r="F31" s="15"/>
      <c r="G31" s="940"/>
      <c r="H31" s="11"/>
      <c r="I31" s="453"/>
      <c r="J31" s="11"/>
      <c r="K31" s="453"/>
      <c r="L31" s="11"/>
      <c r="M31" s="11"/>
      <c r="N31" s="559">
        <f t="shared" si="5"/>
        <v>8</v>
      </c>
      <c r="O31" s="462">
        <f t="shared" si="5"/>
        <v>793.8</v>
      </c>
    </row>
    <row r="32" spans="1:20" s="274" customFormat="1" ht="19.5" customHeight="1">
      <c r="A32" s="10" t="s">
        <v>34</v>
      </c>
      <c r="B32" s="11">
        <f>ApIII!R27</f>
        <v>1</v>
      </c>
      <c r="C32" s="453">
        <f>ApIII!S27</f>
        <v>250</v>
      </c>
      <c r="D32" s="12">
        <f>ApVII!R20</f>
        <v>1</v>
      </c>
      <c r="E32" s="431">
        <f>ApVII!S20</f>
        <v>3196.1000000000004</v>
      </c>
      <c r="F32" s="15">
        <f>ApX!R27</f>
        <v>18</v>
      </c>
      <c r="G32" s="940">
        <f>ApX!S27</f>
        <v>1945.5</v>
      </c>
      <c r="H32" s="11"/>
      <c r="I32" s="453"/>
      <c r="J32" s="13">
        <f>ApXII!T27</f>
        <v>4</v>
      </c>
      <c r="K32" s="453">
        <f>ApXII!U27</f>
        <v>325.2</v>
      </c>
      <c r="L32" s="11"/>
      <c r="M32" s="402"/>
      <c r="N32" s="180">
        <f t="shared" si="5"/>
        <v>24</v>
      </c>
      <c r="O32" s="462">
        <f t="shared" si="5"/>
        <v>5716.8</v>
      </c>
      <c r="P32" s="228"/>
      <c r="Q32" s="228"/>
      <c r="R32" s="228"/>
      <c r="S32" s="228"/>
      <c r="T32" s="228"/>
    </row>
    <row r="33" spans="1:20" s="274" customFormat="1" ht="19.5" customHeight="1">
      <c r="A33" s="10" t="s">
        <v>299</v>
      </c>
      <c r="B33" s="11">
        <f>ApIII!R28</f>
        <v>1</v>
      </c>
      <c r="C33" s="453">
        <f>ApIII!S28</f>
        <v>51.9</v>
      </c>
      <c r="D33" s="12"/>
      <c r="E33" s="458"/>
      <c r="F33" s="15"/>
      <c r="G33" s="940"/>
      <c r="H33" s="11"/>
      <c r="I33" s="453"/>
      <c r="J33" s="13"/>
      <c r="K33" s="453"/>
      <c r="L33" s="11"/>
      <c r="M33" s="402"/>
      <c r="N33" s="180">
        <f t="shared" si="3"/>
        <v>1</v>
      </c>
      <c r="O33" s="462">
        <f t="shared" si="4"/>
        <v>51.9</v>
      </c>
      <c r="P33" s="228"/>
      <c r="Q33" s="228"/>
      <c r="R33" s="228"/>
      <c r="S33" s="228"/>
      <c r="T33" s="228"/>
    </row>
    <row r="34" spans="1:20" s="274" customFormat="1" ht="19.5" customHeight="1">
      <c r="A34" s="10" t="s">
        <v>573</v>
      </c>
      <c r="B34" s="11">
        <f>ApIII!R29</f>
        <v>1</v>
      </c>
      <c r="C34" s="402">
        <f>ApIII!S29</f>
        <v>180.8</v>
      </c>
      <c r="D34" s="12"/>
      <c r="E34" s="458"/>
      <c r="F34" s="15"/>
      <c r="G34" s="940"/>
      <c r="H34" s="11"/>
      <c r="I34" s="453"/>
      <c r="J34" s="13"/>
      <c r="K34" s="453"/>
      <c r="L34" s="11"/>
      <c r="M34" s="402"/>
      <c r="N34" s="180">
        <f>SUM(B34,D34,F34,H34,J34,L34)</f>
        <v>1</v>
      </c>
      <c r="O34" s="462">
        <f>SUM(C34,E34,G34,I34,K34,M34)</f>
        <v>180.8</v>
      </c>
      <c r="P34" s="228"/>
      <c r="Q34" s="228"/>
      <c r="R34" s="228"/>
      <c r="S34" s="228"/>
      <c r="T34" s="228"/>
    </row>
    <row r="35" spans="1:20" s="277" customFormat="1" ht="19.5" customHeight="1">
      <c r="A35" s="16" t="s">
        <v>574</v>
      </c>
      <c r="B35" s="11">
        <f>ApIII!R30</f>
        <v>1</v>
      </c>
      <c r="C35" s="402">
        <f>ApIII!S30</f>
        <v>85.8</v>
      </c>
      <c r="D35" s="738"/>
      <c r="E35" s="739"/>
      <c r="F35" s="18"/>
      <c r="G35" s="941"/>
      <c r="H35" s="17"/>
      <c r="I35" s="454"/>
      <c r="J35" s="276"/>
      <c r="K35" s="454"/>
      <c r="L35" s="17"/>
      <c r="M35" s="480"/>
      <c r="N35" s="180">
        <f>SUM(B35,D35,F35,H35,J35,L35)</f>
        <v>1</v>
      </c>
      <c r="O35" s="462">
        <f>SUM(C35,E35,G35,I35,K35,M35)</f>
        <v>85.8</v>
      </c>
      <c r="P35" s="272"/>
      <c r="Q35" s="272"/>
      <c r="R35" s="272"/>
      <c r="S35" s="272"/>
      <c r="T35" s="272"/>
    </row>
    <row r="36" spans="1:15" ht="21.75" customHeight="1">
      <c r="A36" s="481" t="s">
        <v>35</v>
      </c>
      <c r="B36" s="496"/>
      <c r="C36" s="483"/>
      <c r="D36" s="487"/>
      <c r="E36" s="483"/>
      <c r="F36" s="485"/>
      <c r="G36" s="486"/>
      <c r="H36" s="487"/>
      <c r="I36" s="483"/>
      <c r="J36" s="482"/>
      <c r="K36" s="483"/>
      <c r="L36" s="487"/>
      <c r="M36" s="487"/>
      <c r="N36" s="497"/>
      <c r="O36" s="498"/>
    </row>
    <row r="37" spans="1:15" ht="21.75" customHeight="1">
      <c r="A37" s="10" t="s">
        <v>214</v>
      </c>
      <c r="B37" s="11">
        <f>ApIII!R32</f>
        <v>1</v>
      </c>
      <c r="C37" s="402">
        <f>ApIII!S32</f>
        <v>208.5</v>
      </c>
      <c r="D37" s="11"/>
      <c r="E37" s="453">
        <f>ApVII!S21</f>
        <v>0</v>
      </c>
      <c r="F37" s="11">
        <f>ApX!R29</f>
        <v>1</v>
      </c>
      <c r="G37" s="402">
        <f>ApX!S29</f>
        <v>139.1</v>
      </c>
      <c r="H37" s="11"/>
      <c r="I37" s="453"/>
      <c r="J37" s="11"/>
      <c r="K37" s="453"/>
      <c r="L37" s="11"/>
      <c r="M37" s="11"/>
      <c r="N37" s="180">
        <f aca="true" t="shared" si="6" ref="N37:O43">SUM(B37,D37,F37,H37,J37,L37)</f>
        <v>2</v>
      </c>
      <c r="O37" s="462">
        <f t="shared" si="6"/>
        <v>347.6</v>
      </c>
    </row>
    <row r="38" spans="1:15" ht="19.5" customHeight="1">
      <c r="A38" s="10" t="s">
        <v>153</v>
      </c>
      <c r="B38" s="11">
        <f>ApIII!R33</f>
        <v>1</v>
      </c>
      <c r="C38" s="402">
        <f>ApIII!S33</f>
        <v>175.6</v>
      </c>
      <c r="D38" s="11">
        <f>ApVII!R22</f>
        <v>0</v>
      </c>
      <c r="E38" s="453">
        <f>ApVII!S22</f>
        <v>1515</v>
      </c>
      <c r="F38" s="11">
        <f>ApX!R30</f>
        <v>4</v>
      </c>
      <c r="G38" s="402">
        <f>ApX!S30</f>
        <v>653.1999999999999</v>
      </c>
      <c r="H38" s="11"/>
      <c r="I38" s="453"/>
      <c r="J38" s="11">
        <f>ApXII!T29</f>
        <v>3</v>
      </c>
      <c r="K38" s="402">
        <f>ApXII!U29</f>
        <v>155.6</v>
      </c>
      <c r="L38" s="11"/>
      <c r="M38" s="11"/>
      <c r="N38" s="180">
        <f t="shared" si="6"/>
        <v>8</v>
      </c>
      <c r="O38" s="462">
        <f t="shared" si="6"/>
        <v>2499.3999999999996</v>
      </c>
    </row>
    <row r="39" spans="1:15" ht="19.5" customHeight="1">
      <c r="A39" s="10" t="s">
        <v>568</v>
      </c>
      <c r="B39" s="11">
        <f>ApIII!R34</f>
        <v>1</v>
      </c>
      <c r="C39" s="402">
        <f>ApIII!S34</f>
        <v>236.1</v>
      </c>
      <c r="D39" s="11"/>
      <c r="E39" s="453"/>
      <c r="F39" s="11"/>
      <c r="G39" s="402"/>
      <c r="H39" s="11"/>
      <c r="I39" s="453"/>
      <c r="J39" s="11"/>
      <c r="K39" s="402"/>
      <c r="L39" s="11"/>
      <c r="M39" s="11"/>
      <c r="N39" s="180">
        <f>SUM(B39,D39,F39,H39,J39,L39)</f>
        <v>1</v>
      </c>
      <c r="O39" s="462">
        <f>SUM(C39,E39,G39,I39,K39,M39)</f>
        <v>236.1</v>
      </c>
    </row>
    <row r="40" spans="1:15" ht="19.5" customHeight="1">
      <c r="A40" s="10" t="s">
        <v>534</v>
      </c>
      <c r="B40" s="11">
        <f>ApIII!R35</f>
        <v>0</v>
      </c>
      <c r="C40" s="402">
        <f>ApIII!S35</f>
        <v>419.6</v>
      </c>
      <c r="D40" s="11"/>
      <c r="E40" s="453"/>
      <c r="F40" s="11"/>
      <c r="G40" s="402"/>
      <c r="H40" s="11"/>
      <c r="I40" s="453"/>
      <c r="J40" s="11"/>
      <c r="K40" s="402"/>
      <c r="L40" s="11"/>
      <c r="M40" s="11"/>
      <c r="N40" s="180">
        <f>SUM(B40,D40,F40,H40,J40,L40)</f>
        <v>0</v>
      </c>
      <c r="O40" s="462">
        <f>SUM(C40,E40,G40,I40,K40,M40)</f>
        <v>419.6</v>
      </c>
    </row>
    <row r="41" spans="1:15" ht="19.5" customHeight="1">
      <c r="A41" s="10" t="s">
        <v>374</v>
      </c>
      <c r="B41" s="11">
        <f>ApIII!R36</f>
        <v>1</v>
      </c>
      <c r="C41" s="402">
        <f>ApIII!S36</f>
        <v>196.3</v>
      </c>
      <c r="D41" s="11"/>
      <c r="E41" s="453"/>
      <c r="F41" s="11">
        <f>ApX!R31</f>
        <v>2</v>
      </c>
      <c r="G41" s="402">
        <f>ApX!S31</f>
        <v>345.3</v>
      </c>
      <c r="H41" s="11"/>
      <c r="I41" s="453"/>
      <c r="J41" s="11">
        <f>ApXII!T30</f>
        <v>1</v>
      </c>
      <c r="K41" s="402">
        <f>ApXII!U30</f>
        <v>40</v>
      </c>
      <c r="L41" s="11"/>
      <c r="M41" s="11"/>
      <c r="N41" s="180">
        <f t="shared" si="6"/>
        <v>4</v>
      </c>
      <c r="O41" s="462">
        <f t="shared" si="6"/>
        <v>581.6</v>
      </c>
    </row>
    <row r="42" spans="1:15" ht="19.5" customHeight="1">
      <c r="A42" s="10" t="s">
        <v>172</v>
      </c>
      <c r="B42" s="11">
        <f>ApIII!R37</f>
        <v>1</v>
      </c>
      <c r="C42" s="402">
        <f>ApIII!S37</f>
        <v>156.2</v>
      </c>
      <c r="D42" s="11"/>
      <c r="E42" s="453"/>
      <c r="F42" s="11"/>
      <c r="G42" s="402"/>
      <c r="H42" s="11"/>
      <c r="I42" s="453"/>
      <c r="J42" s="11"/>
      <c r="K42" s="453"/>
      <c r="L42" s="11"/>
      <c r="M42" s="11"/>
      <c r="N42" s="180">
        <f t="shared" si="6"/>
        <v>1</v>
      </c>
      <c r="O42" s="462">
        <f t="shared" si="6"/>
        <v>156.2</v>
      </c>
    </row>
    <row r="43" spans="1:15" ht="21.75">
      <c r="A43" s="10" t="s">
        <v>548</v>
      </c>
      <c r="B43" s="11"/>
      <c r="C43" s="453"/>
      <c r="D43" s="11"/>
      <c r="E43" s="453"/>
      <c r="F43" s="11"/>
      <c r="G43" s="402"/>
      <c r="H43" s="11"/>
      <c r="I43" s="453"/>
      <c r="J43" s="11">
        <f>ApXII!T31</f>
        <v>1</v>
      </c>
      <c r="K43" s="402">
        <f>ApXII!U31</f>
        <v>44</v>
      </c>
      <c r="L43" s="11"/>
      <c r="M43" s="11"/>
      <c r="N43" s="180">
        <f t="shared" si="6"/>
        <v>1</v>
      </c>
      <c r="O43" s="462">
        <f t="shared" si="6"/>
        <v>44</v>
      </c>
    </row>
    <row r="44" spans="1:15" ht="21.75">
      <c r="A44" s="10" t="s">
        <v>572</v>
      </c>
      <c r="B44" s="11">
        <f>ApIII!R38</f>
        <v>1</v>
      </c>
      <c r="C44" s="402">
        <f>ApIII!S38</f>
        <v>167</v>
      </c>
      <c r="D44" s="11"/>
      <c r="E44" s="453"/>
      <c r="F44" s="11"/>
      <c r="G44" s="402"/>
      <c r="H44" s="11"/>
      <c r="I44" s="453"/>
      <c r="J44" s="11"/>
      <c r="K44" s="402"/>
      <c r="L44" s="11"/>
      <c r="M44" s="11"/>
      <c r="N44" s="180">
        <f>SUM(B44,D44,F44,H44,J44,L44)</f>
        <v>1</v>
      </c>
      <c r="O44" s="462">
        <f>SUM(C44,E44,G44,I44,K44,M44)</f>
        <v>167</v>
      </c>
    </row>
    <row r="45" spans="1:15" ht="21.75" customHeight="1">
      <c r="A45" s="488" t="s">
        <v>69</v>
      </c>
      <c r="B45" s="501"/>
      <c r="C45" s="492"/>
      <c r="D45" s="501"/>
      <c r="E45" s="492"/>
      <c r="F45" s="489"/>
      <c r="G45" s="492"/>
      <c r="H45" s="491"/>
      <c r="I45" s="490"/>
      <c r="J45" s="502"/>
      <c r="K45" s="492"/>
      <c r="L45" s="501"/>
      <c r="M45" s="501"/>
      <c r="N45" s="494"/>
      <c r="O45" s="495"/>
    </row>
    <row r="46" spans="1:15" ht="19.5" customHeight="1">
      <c r="A46" s="10" t="s">
        <v>173</v>
      </c>
      <c r="B46" s="11">
        <f>ApIII!R40</f>
        <v>0</v>
      </c>
      <c r="C46" s="453">
        <f>ApIII!S40</f>
        <v>1430.7</v>
      </c>
      <c r="D46" s="11"/>
      <c r="E46" s="453"/>
      <c r="F46" s="11">
        <f>ApX!R33</f>
        <v>3</v>
      </c>
      <c r="G46" s="402">
        <f>ApX!S33</f>
        <v>618</v>
      </c>
      <c r="H46" s="11"/>
      <c r="I46" s="453"/>
      <c r="J46" s="11"/>
      <c r="K46" s="402"/>
      <c r="L46" s="11"/>
      <c r="M46" s="11"/>
      <c r="N46" s="180">
        <f aca="true" t="shared" si="7" ref="N46:N65">SUM(B46,D46,F46,H46,J46,L46)</f>
        <v>3</v>
      </c>
      <c r="O46" s="462">
        <f aca="true" t="shared" si="8" ref="O46:O51">SUM(C46,E46,G46,I46,K46,M46)</f>
        <v>2048.7</v>
      </c>
    </row>
    <row r="47" spans="1:15" ht="19.5" customHeight="1">
      <c r="A47" s="10" t="s">
        <v>596</v>
      </c>
      <c r="B47" s="11">
        <f>ApIII!R41</f>
        <v>2</v>
      </c>
      <c r="C47" s="453">
        <f>ApIII!S41</f>
        <v>498.2</v>
      </c>
      <c r="D47" s="11"/>
      <c r="E47" s="453"/>
      <c r="F47" s="11"/>
      <c r="G47" s="453"/>
      <c r="H47" s="11"/>
      <c r="I47" s="453"/>
      <c r="J47" s="11"/>
      <c r="K47" s="402"/>
      <c r="L47" s="11"/>
      <c r="M47" s="11"/>
      <c r="N47" s="180">
        <f t="shared" si="7"/>
        <v>2</v>
      </c>
      <c r="O47" s="462">
        <f t="shared" si="8"/>
        <v>498.2</v>
      </c>
    </row>
    <row r="48" spans="1:15" ht="19.5" customHeight="1">
      <c r="A48" s="10" t="s">
        <v>39</v>
      </c>
      <c r="B48" s="11"/>
      <c r="C48" s="453"/>
      <c r="D48" s="11"/>
      <c r="E48" s="453"/>
      <c r="F48" s="11">
        <f>ApX!R34</f>
        <v>4</v>
      </c>
      <c r="G48" s="402">
        <f>ApX!S34</f>
        <v>608.9000000000001</v>
      </c>
      <c r="H48" s="11"/>
      <c r="I48" s="453"/>
      <c r="J48" s="11"/>
      <c r="K48" s="453"/>
      <c r="L48" s="11"/>
      <c r="M48" s="11"/>
      <c r="N48" s="180">
        <f t="shared" si="7"/>
        <v>4</v>
      </c>
      <c r="O48" s="462">
        <f t="shared" si="8"/>
        <v>608.9000000000001</v>
      </c>
    </row>
    <row r="49" spans="1:15" ht="19.5" customHeight="1">
      <c r="A49" s="10" t="s">
        <v>40</v>
      </c>
      <c r="B49" s="11">
        <f>ApIII!R42</f>
        <v>2</v>
      </c>
      <c r="C49" s="453">
        <f>ApIII!S42</f>
        <v>199.70335</v>
      </c>
      <c r="D49" s="11"/>
      <c r="E49" s="453"/>
      <c r="F49" s="11">
        <f>ApX!R35</f>
        <v>9</v>
      </c>
      <c r="G49" s="402">
        <f>ApX!S35</f>
        <v>1167.1</v>
      </c>
      <c r="H49" s="11"/>
      <c r="I49" s="453"/>
      <c r="J49" s="11"/>
      <c r="K49" s="453"/>
      <c r="L49" s="11"/>
      <c r="M49" s="11"/>
      <c r="N49" s="180">
        <f t="shared" si="7"/>
        <v>11</v>
      </c>
      <c r="O49" s="462">
        <f t="shared" si="8"/>
        <v>1366.80335</v>
      </c>
    </row>
    <row r="50" spans="1:15" ht="19.5" customHeight="1">
      <c r="A50" s="10" t="s">
        <v>284</v>
      </c>
      <c r="B50" s="11">
        <f>ApIII!R43</f>
        <v>2</v>
      </c>
      <c r="C50" s="453">
        <f>ApIII!S43</f>
        <v>377.2</v>
      </c>
      <c r="D50" s="11">
        <f>ApVII!R24</f>
        <v>0</v>
      </c>
      <c r="E50" s="402">
        <f>ApVII!S24</f>
        <v>436.3</v>
      </c>
      <c r="F50" s="11">
        <f>ApX!R36</f>
        <v>1</v>
      </c>
      <c r="G50" s="402">
        <f>ApX!S36</f>
        <v>211.2</v>
      </c>
      <c r="H50" s="11"/>
      <c r="I50" s="453"/>
      <c r="J50" s="11"/>
      <c r="K50" s="402"/>
      <c r="L50" s="11"/>
      <c r="M50" s="11"/>
      <c r="N50" s="180">
        <f>SUM(B50,D50,F50,H50,J50,L50)</f>
        <v>3</v>
      </c>
      <c r="O50" s="462">
        <f t="shared" si="8"/>
        <v>1024.7</v>
      </c>
    </row>
    <row r="51" spans="1:15" ht="19.5" customHeight="1">
      <c r="A51" s="10" t="s">
        <v>216</v>
      </c>
      <c r="B51" s="11">
        <f>ApIII!R44</f>
        <v>0</v>
      </c>
      <c r="C51" s="453">
        <f>ApIII!S44</f>
        <v>80.8</v>
      </c>
      <c r="D51" s="11"/>
      <c r="E51" s="453"/>
      <c r="F51" s="11">
        <f>ApX!R37</f>
        <v>4</v>
      </c>
      <c r="G51" s="402">
        <f>ApX!S37</f>
        <v>453.6</v>
      </c>
      <c r="H51" s="11"/>
      <c r="I51" s="453"/>
      <c r="J51" s="11"/>
      <c r="K51" s="402"/>
      <c r="L51" s="11"/>
      <c r="M51" s="11"/>
      <c r="N51" s="180">
        <f>SUM(B51,D51,F51,H51,J51,L51)</f>
        <v>4</v>
      </c>
      <c r="O51" s="462">
        <f t="shared" si="8"/>
        <v>534.4</v>
      </c>
    </row>
    <row r="52" spans="1:15" ht="19.5" customHeight="1">
      <c r="A52" s="10" t="s">
        <v>41</v>
      </c>
      <c r="B52" s="11"/>
      <c r="C52" s="453"/>
      <c r="D52" s="11">
        <f>ApVII!R25</f>
        <v>0</v>
      </c>
      <c r="E52" s="402">
        <f>ApVII!S25</f>
        <v>595.5999999999999</v>
      </c>
      <c r="F52" s="11"/>
      <c r="G52" s="453"/>
      <c r="H52" s="11"/>
      <c r="I52" s="453"/>
      <c r="J52" s="11"/>
      <c r="K52" s="402"/>
      <c r="L52" s="11"/>
      <c r="M52" s="11"/>
      <c r="N52" s="180">
        <f t="shared" si="7"/>
        <v>0</v>
      </c>
      <c r="O52" s="462">
        <f aca="true" t="shared" si="9" ref="O52:O65">SUM(C52,E52,G52,I52,K52,M52)</f>
        <v>595.5999999999999</v>
      </c>
    </row>
    <row r="53" spans="1:15" ht="19.5" customHeight="1">
      <c r="A53" s="10" t="s">
        <v>369</v>
      </c>
      <c r="B53" s="11"/>
      <c r="C53" s="453"/>
      <c r="D53" s="11"/>
      <c r="E53" s="402"/>
      <c r="F53" s="11">
        <f>ApX!R38</f>
        <v>4</v>
      </c>
      <c r="G53" s="453">
        <f>ApX!S38</f>
        <v>615.8</v>
      </c>
      <c r="H53" s="11"/>
      <c r="I53" s="453"/>
      <c r="J53" s="11"/>
      <c r="K53" s="402"/>
      <c r="L53" s="11"/>
      <c r="M53" s="11"/>
      <c r="N53" s="180">
        <f>SUM(B53,D53,F53,H53,J53,L53)</f>
        <v>4</v>
      </c>
      <c r="O53" s="462">
        <f t="shared" si="9"/>
        <v>615.8</v>
      </c>
    </row>
    <row r="54" spans="1:15" ht="19.5" customHeight="1">
      <c r="A54" s="10" t="s">
        <v>291</v>
      </c>
      <c r="B54" s="11">
        <f>ApIII!R45</f>
        <v>9</v>
      </c>
      <c r="C54" s="402">
        <f>ApIII!S45</f>
        <v>508.7</v>
      </c>
      <c r="D54" s="11"/>
      <c r="E54" s="453" t="s">
        <v>12</v>
      </c>
      <c r="F54" s="11">
        <f>ApX!R39</f>
        <v>2</v>
      </c>
      <c r="G54" s="453">
        <f>ApX!S39</f>
        <v>319</v>
      </c>
      <c r="H54" s="11"/>
      <c r="I54" s="453"/>
      <c r="J54" s="11"/>
      <c r="K54" s="402"/>
      <c r="L54" s="11"/>
      <c r="M54" s="11"/>
      <c r="N54" s="180">
        <f t="shared" si="7"/>
        <v>11</v>
      </c>
      <c r="O54" s="462">
        <f t="shared" si="9"/>
        <v>827.7</v>
      </c>
    </row>
    <row r="55" spans="1:15" ht="19.5" customHeight="1">
      <c r="A55" s="10" t="s">
        <v>287</v>
      </c>
      <c r="B55" s="11"/>
      <c r="C55" s="453"/>
      <c r="D55" s="11"/>
      <c r="E55" s="453" t="s">
        <v>12</v>
      </c>
      <c r="F55" s="11" t="s">
        <v>12</v>
      </c>
      <c r="G55" s="453" t="s">
        <v>12</v>
      </c>
      <c r="H55" s="11"/>
      <c r="I55" s="453"/>
      <c r="J55" s="11">
        <f>ApXII!T33</f>
        <v>2</v>
      </c>
      <c r="K55" s="402">
        <f>ApXII!U33</f>
        <v>159.2</v>
      </c>
      <c r="L55" s="11"/>
      <c r="M55" s="11"/>
      <c r="N55" s="180">
        <f>SUM(B55,D55,F55,H55,J55,L55)</f>
        <v>2</v>
      </c>
      <c r="O55" s="462">
        <f t="shared" si="9"/>
        <v>159.2</v>
      </c>
    </row>
    <row r="56" spans="1:15" ht="19.5" customHeight="1">
      <c r="A56" s="10" t="s">
        <v>42</v>
      </c>
      <c r="B56" s="11">
        <f>ApIII!R46</f>
        <v>2</v>
      </c>
      <c r="C56" s="453">
        <f>ApIII!S46</f>
        <v>1673.8999999999999</v>
      </c>
      <c r="D56" s="11">
        <f>ApVII!R26</f>
        <v>0</v>
      </c>
      <c r="E56" s="402">
        <f>ApVII!S26</f>
        <v>759.7</v>
      </c>
      <c r="F56" s="11">
        <f>ApX!R40</f>
        <v>4</v>
      </c>
      <c r="G56" s="402">
        <f>ApX!S40</f>
        <v>530.7</v>
      </c>
      <c r="H56" s="11"/>
      <c r="I56" s="453"/>
      <c r="J56" s="11"/>
      <c r="K56" s="453"/>
      <c r="L56" s="11"/>
      <c r="M56" s="11"/>
      <c r="N56" s="180">
        <f t="shared" si="7"/>
        <v>6</v>
      </c>
      <c r="O56" s="462">
        <f t="shared" si="9"/>
        <v>2964.3</v>
      </c>
    </row>
    <row r="57" spans="1:15" ht="19.5" customHeight="1">
      <c r="A57" s="10" t="s">
        <v>157</v>
      </c>
      <c r="B57" s="11"/>
      <c r="C57" s="453"/>
      <c r="D57" s="11"/>
      <c r="E57" s="453"/>
      <c r="F57" s="11">
        <f>ApX!R41</f>
        <v>6</v>
      </c>
      <c r="G57" s="402">
        <f>ApX!S41</f>
        <v>932.3</v>
      </c>
      <c r="H57" s="11"/>
      <c r="I57" s="453"/>
      <c r="J57" s="11"/>
      <c r="K57" s="453"/>
      <c r="L57" s="11"/>
      <c r="M57" s="11"/>
      <c r="N57" s="180">
        <f t="shared" si="7"/>
        <v>6</v>
      </c>
      <c r="O57" s="462">
        <f t="shared" si="9"/>
        <v>932.3</v>
      </c>
    </row>
    <row r="58" spans="1:15" ht="19.5" customHeight="1">
      <c r="A58" s="10" t="s">
        <v>371</v>
      </c>
      <c r="B58" s="11"/>
      <c r="C58" s="453"/>
      <c r="D58" s="11"/>
      <c r="E58" s="453"/>
      <c r="F58" s="11">
        <f>ApX!R42</f>
        <v>1</v>
      </c>
      <c r="G58" s="402">
        <f>ApX!S42</f>
        <v>197.9</v>
      </c>
      <c r="H58" s="11"/>
      <c r="I58" s="453"/>
      <c r="J58" s="11"/>
      <c r="K58" s="453"/>
      <c r="L58" s="11"/>
      <c r="M58" s="11"/>
      <c r="N58" s="180">
        <f>SUM(B58,D58,F58,H58,J58,L58)</f>
        <v>1</v>
      </c>
      <c r="O58" s="462">
        <f t="shared" si="9"/>
        <v>197.9</v>
      </c>
    </row>
    <row r="59" spans="1:15" ht="19.5" customHeight="1">
      <c r="A59" s="10" t="s">
        <v>43</v>
      </c>
      <c r="B59" s="11">
        <f>ApIII!R47</f>
        <v>5</v>
      </c>
      <c r="C59" s="453">
        <f>ApIII!S47</f>
        <v>2409.6</v>
      </c>
      <c r="D59" s="11"/>
      <c r="E59" s="453"/>
      <c r="F59" s="11">
        <f>ApX!R43</f>
        <v>9</v>
      </c>
      <c r="G59" s="402">
        <f>ApX!S43</f>
        <v>1192.4</v>
      </c>
      <c r="H59" s="11"/>
      <c r="I59" s="453"/>
      <c r="J59" s="11"/>
      <c r="K59" s="453"/>
      <c r="L59" s="11"/>
      <c r="M59" s="11"/>
      <c r="N59" s="180">
        <f t="shared" si="7"/>
        <v>14</v>
      </c>
      <c r="O59" s="462">
        <f t="shared" si="9"/>
        <v>3602</v>
      </c>
    </row>
    <row r="60" spans="1:15" ht="19.5" customHeight="1">
      <c r="A60" s="10" t="s">
        <v>44</v>
      </c>
      <c r="B60" s="11"/>
      <c r="C60" s="453"/>
      <c r="D60" s="11">
        <f>ApVII!R27</f>
        <v>0</v>
      </c>
      <c r="E60" s="402">
        <f>ApVII!S27</f>
        <v>2459.6</v>
      </c>
      <c r="F60" s="11">
        <f>ApX!R44</f>
        <v>1</v>
      </c>
      <c r="G60" s="402">
        <f>ApX!S44</f>
        <v>138.3</v>
      </c>
      <c r="H60" s="11"/>
      <c r="I60" s="453"/>
      <c r="J60" s="11"/>
      <c r="K60" s="453"/>
      <c r="L60" s="11"/>
      <c r="M60" s="11"/>
      <c r="N60" s="180">
        <f t="shared" si="7"/>
        <v>1</v>
      </c>
      <c r="O60" s="462">
        <f t="shared" si="9"/>
        <v>2597.9</v>
      </c>
    </row>
    <row r="61" spans="1:15" ht="19.5" customHeight="1">
      <c r="A61" s="10" t="s">
        <v>235</v>
      </c>
      <c r="B61" s="11"/>
      <c r="C61" s="453"/>
      <c r="D61" s="11"/>
      <c r="E61" s="402"/>
      <c r="F61" s="11"/>
      <c r="G61" s="402"/>
      <c r="H61" s="11"/>
      <c r="I61" s="453"/>
      <c r="J61" s="11">
        <f>ApXII!T34</f>
        <v>4</v>
      </c>
      <c r="K61" s="402">
        <f>ApXII!U34</f>
        <v>316.4</v>
      </c>
      <c r="L61" s="11"/>
      <c r="M61" s="11"/>
      <c r="N61" s="180">
        <f>SUM(B61,D61,F61,H61,J61,L61)</f>
        <v>4</v>
      </c>
      <c r="O61" s="462">
        <f>SUM(C61,E61,G61,I61,K61,M61)</f>
        <v>316.4</v>
      </c>
    </row>
    <row r="62" spans="1:15" ht="19.5" customHeight="1">
      <c r="A62" s="10" t="s">
        <v>45</v>
      </c>
      <c r="B62" s="11"/>
      <c r="C62" s="453"/>
      <c r="D62" s="11"/>
      <c r="E62" s="402"/>
      <c r="F62" s="11">
        <f>ApX!R45</f>
        <v>1</v>
      </c>
      <c r="G62" s="402">
        <f>ApX!S45</f>
        <v>120.5</v>
      </c>
      <c r="H62" s="11"/>
      <c r="I62" s="453"/>
      <c r="J62" s="11"/>
      <c r="K62" s="453"/>
      <c r="L62" s="11"/>
      <c r="M62" s="11"/>
      <c r="N62" s="180">
        <f>SUM(B62,D62,F62,H62,J62,L62)</f>
        <v>1</v>
      </c>
      <c r="O62" s="462">
        <f t="shared" si="9"/>
        <v>120.5</v>
      </c>
    </row>
    <row r="63" spans="1:15" ht="19.5" customHeight="1">
      <c r="A63" s="10" t="s">
        <v>46</v>
      </c>
      <c r="B63" s="11">
        <f>ApIII!R48</f>
        <v>2</v>
      </c>
      <c r="C63" s="453">
        <f>ApIII!S48</f>
        <v>332.40335000000005</v>
      </c>
      <c r="D63" s="11"/>
      <c r="E63" s="453"/>
      <c r="F63" s="11">
        <f>ApX!R46</f>
        <v>8</v>
      </c>
      <c r="G63" s="402">
        <f>ApX!S46</f>
        <v>1295.6</v>
      </c>
      <c r="H63" s="11"/>
      <c r="I63" s="453"/>
      <c r="J63" s="11"/>
      <c r="K63" s="453"/>
      <c r="L63" s="11"/>
      <c r="M63" s="11"/>
      <c r="N63" s="180">
        <f t="shared" si="7"/>
        <v>10</v>
      </c>
      <c r="O63" s="462">
        <f t="shared" si="9"/>
        <v>1628.00335</v>
      </c>
    </row>
    <row r="64" spans="1:15" ht="19.5" customHeight="1">
      <c r="A64" s="10" t="s">
        <v>47</v>
      </c>
      <c r="B64" s="11">
        <f>ApIII!R49</f>
        <v>0</v>
      </c>
      <c r="C64" s="453">
        <f>ApIII!S49</f>
        <v>3067.3</v>
      </c>
      <c r="D64" s="11"/>
      <c r="E64" s="453"/>
      <c r="F64" s="11">
        <f>ApX!R47</f>
        <v>1</v>
      </c>
      <c r="G64" s="402">
        <f>ApX!S47</f>
        <v>121.6</v>
      </c>
      <c r="H64" s="11"/>
      <c r="I64" s="453"/>
      <c r="J64" s="11">
        <f>ApXII!T35</f>
        <v>4</v>
      </c>
      <c r="K64" s="402">
        <f>ApXII!U35</f>
        <v>594.8</v>
      </c>
      <c r="L64" s="11"/>
      <c r="M64" s="11"/>
      <c r="N64" s="180">
        <f t="shared" si="7"/>
        <v>5</v>
      </c>
      <c r="O64" s="462">
        <f t="shared" si="9"/>
        <v>3783.7</v>
      </c>
    </row>
    <row r="65" spans="1:15" ht="19.5" customHeight="1">
      <c r="A65" s="10" t="s">
        <v>48</v>
      </c>
      <c r="B65" s="11">
        <f>ApIII!R50</f>
        <v>1</v>
      </c>
      <c r="C65" s="453">
        <f>ApIII!S50</f>
        <v>333.4</v>
      </c>
      <c r="D65" s="11"/>
      <c r="E65" s="453"/>
      <c r="F65" s="11"/>
      <c r="G65" s="402"/>
      <c r="H65" s="11"/>
      <c r="I65" s="453"/>
      <c r="J65" s="11"/>
      <c r="K65" s="453"/>
      <c r="L65" s="11"/>
      <c r="M65" s="11"/>
      <c r="N65" s="180">
        <f t="shared" si="7"/>
        <v>1</v>
      </c>
      <c r="O65" s="462">
        <f t="shared" si="9"/>
        <v>333.4</v>
      </c>
    </row>
    <row r="66" spans="1:15" ht="19.5" customHeight="1">
      <c r="A66" s="10" t="s">
        <v>49</v>
      </c>
      <c r="B66" s="11"/>
      <c r="C66" s="453"/>
      <c r="D66" s="11"/>
      <c r="E66" s="453"/>
      <c r="F66" s="11">
        <f>ApX!R48</f>
        <v>2</v>
      </c>
      <c r="G66" s="402">
        <f>ApX!S48</f>
        <v>327.1</v>
      </c>
      <c r="H66" s="11"/>
      <c r="I66" s="453"/>
      <c r="J66" s="11"/>
      <c r="K66" s="1095"/>
      <c r="L66" s="11"/>
      <c r="M66" s="11"/>
      <c r="N66" s="180">
        <f aca="true" t="shared" si="10" ref="N66:O70">SUM(B66,D66,F66,H66,J66,L66)</f>
        <v>2</v>
      </c>
      <c r="O66" s="462">
        <f t="shared" si="10"/>
        <v>327.1</v>
      </c>
    </row>
    <row r="67" spans="1:15" ht="19.5" customHeight="1">
      <c r="A67" s="10" t="s">
        <v>50</v>
      </c>
      <c r="B67" s="11">
        <f>ApIII!R51</f>
        <v>34</v>
      </c>
      <c r="C67" s="402">
        <f>ApIII!S51</f>
        <v>6436.6</v>
      </c>
      <c r="D67" s="11"/>
      <c r="E67" s="453"/>
      <c r="F67" s="11">
        <f>ApX!R49</f>
        <v>2</v>
      </c>
      <c r="G67" s="402">
        <f>ApX!S49</f>
        <v>289.4</v>
      </c>
      <c r="H67" s="11"/>
      <c r="I67" s="453"/>
      <c r="J67" s="11">
        <f>ApXII!T36</f>
        <v>1</v>
      </c>
      <c r="K67" s="402">
        <f>ApXII!U36</f>
        <v>79.2</v>
      </c>
      <c r="L67" s="11"/>
      <c r="M67" s="11"/>
      <c r="N67" s="180">
        <f t="shared" si="10"/>
        <v>37</v>
      </c>
      <c r="O67" s="462">
        <f t="shared" si="10"/>
        <v>6805.2</v>
      </c>
    </row>
    <row r="68" spans="1:15" ht="19.5" customHeight="1">
      <c r="A68" s="10" t="s">
        <v>236</v>
      </c>
      <c r="B68" s="11">
        <f>ApIII!R52</f>
        <v>2</v>
      </c>
      <c r="C68" s="402">
        <f>ApIII!S52</f>
        <v>279.5</v>
      </c>
      <c r="D68" s="11"/>
      <c r="E68" s="453"/>
      <c r="F68" s="11">
        <f>ApX!R50</f>
        <v>3</v>
      </c>
      <c r="G68" s="402">
        <f>ApX!S50</f>
        <v>484.2</v>
      </c>
      <c r="H68" s="11"/>
      <c r="I68" s="453"/>
      <c r="J68" s="11"/>
      <c r="K68" s="402"/>
      <c r="L68" s="11"/>
      <c r="M68" s="11"/>
      <c r="N68" s="180">
        <f t="shared" si="10"/>
        <v>5</v>
      </c>
      <c r="O68" s="462">
        <f t="shared" si="10"/>
        <v>763.7</v>
      </c>
    </row>
    <row r="69" spans="1:15" ht="19.5" customHeight="1">
      <c r="A69" s="10" t="s">
        <v>298</v>
      </c>
      <c r="B69" s="11">
        <f>ApIII!R53</f>
        <v>0</v>
      </c>
      <c r="C69" s="402">
        <f>ApIII!S53</f>
        <v>80.8</v>
      </c>
      <c r="D69" s="11"/>
      <c r="E69" s="453"/>
      <c r="F69" s="11"/>
      <c r="G69" s="402"/>
      <c r="H69" s="11"/>
      <c r="I69" s="453"/>
      <c r="J69" s="11"/>
      <c r="K69" s="402"/>
      <c r="L69" s="11"/>
      <c r="M69" s="11"/>
      <c r="N69" s="180">
        <f t="shared" si="10"/>
        <v>0</v>
      </c>
      <c r="O69" s="462">
        <f t="shared" si="10"/>
        <v>80.8</v>
      </c>
    </row>
    <row r="70" spans="1:15" ht="19.5" customHeight="1">
      <c r="A70" s="10" t="s">
        <v>51</v>
      </c>
      <c r="B70" s="11"/>
      <c r="C70" s="453"/>
      <c r="D70" s="11"/>
      <c r="E70" s="453"/>
      <c r="F70" s="11">
        <f>ApX!R51</f>
        <v>4</v>
      </c>
      <c r="G70" s="402">
        <f>ApX!S51</f>
        <v>710.2</v>
      </c>
      <c r="H70" s="11"/>
      <c r="I70" s="453"/>
      <c r="J70" s="11">
        <f>ApXII!T37</f>
        <v>6</v>
      </c>
      <c r="K70" s="402">
        <f>ApXII!U37</f>
        <v>326.4</v>
      </c>
      <c r="L70" s="11"/>
      <c r="M70" s="11"/>
      <c r="N70" s="180">
        <f t="shared" si="10"/>
        <v>10</v>
      </c>
      <c r="O70" s="462">
        <f t="shared" si="10"/>
        <v>1036.6</v>
      </c>
    </row>
    <row r="71" spans="1:15" ht="19.5" customHeight="1">
      <c r="A71" s="10" t="s">
        <v>167</v>
      </c>
      <c r="B71" s="11">
        <f>ApIII!R54</f>
        <v>10</v>
      </c>
      <c r="C71" s="453">
        <f>ApIII!S54</f>
        <v>826.9000000000001</v>
      </c>
      <c r="D71" s="11"/>
      <c r="E71" s="453"/>
      <c r="F71" s="11">
        <f>ApX!R52</f>
        <v>1</v>
      </c>
      <c r="G71" s="402">
        <f>ApX!S52</f>
        <v>103.9</v>
      </c>
      <c r="H71" s="11"/>
      <c r="I71" s="453"/>
      <c r="J71" s="11"/>
      <c r="K71" s="453"/>
      <c r="L71" s="11"/>
      <c r="M71" s="11"/>
      <c r="N71" s="180">
        <f aca="true" t="shared" si="11" ref="N71:O75">SUM(B71,D71,F71,H71,J71,L71)</f>
        <v>11</v>
      </c>
      <c r="O71" s="462">
        <f t="shared" si="11"/>
        <v>930.8000000000001</v>
      </c>
    </row>
    <row r="72" spans="1:16" ht="19.5" customHeight="1">
      <c r="A72" s="10" t="s">
        <v>52</v>
      </c>
      <c r="B72" s="11">
        <f>ApIII!R55</f>
        <v>2</v>
      </c>
      <c r="C72" s="453">
        <f>ApIII!S55</f>
        <v>2655.3</v>
      </c>
      <c r="D72" s="11">
        <f>ApVII!R28</f>
        <v>0</v>
      </c>
      <c r="E72" s="402">
        <f>ApVII!S28</f>
        <v>514.2</v>
      </c>
      <c r="F72" s="11">
        <f>ApX!R53</f>
        <v>3</v>
      </c>
      <c r="G72" s="402">
        <f>ApX!S53</f>
        <v>422</v>
      </c>
      <c r="H72" s="11"/>
      <c r="I72" s="453"/>
      <c r="J72" s="11"/>
      <c r="K72" s="453"/>
      <c r="L72" s="11"/>
      <c r="M72" s="11"/>
      <c r="N72" s="180">
        <f t="shared" si="11"/>
        <v>5</v>
      </c>
      <c r="O72" s="462">
        <f t="shared" si="11"/>
        <v>3591.5</v>
      </c>
      <c r="P72" s="201"/>
    </row>
    <row r="73" spans="1:16" ht="19.5" customHeight="1">
      <c r="A73" s="10" t="s">
        <v>377</v>
      </c>
      <c r="B73" s="11"/>
      <c r="C73" s="453"/>
      <c r="D73" s="11"/>
      <c r="E73" s="402"/>
      <c r="F73" s="11">
        <f>ApX!R54</f>
        <v>2</v>
      </c>
      <c r="G73" s="402">
        <f>ApX!S54</f>
        <v>381.3</v>
      </c>
      <c r="H73" s="11"/>
      <c r="I73" s="453"/>
      <c r="J73" s="11"/>
      <c r="K73" s="453"/>
      <c r="L73" s="11"/>
      <c r="M73" s="11"/>
      <c r="N73" s="180">
        <f>SUM(B73,D73,F73,H73,J73,L73)</f>
        <v>2</v>
      </c>
      <c r="O73" s="462">
        <f>SUM(C73,E73,G73,I73,K73,M73)</f>
        <v>381.3</v>
      </c>
      <c r="P73" s="201"/>
    </row>
    <row r="74" spans="1:16" ht="18" customHeight="1">
      <c r="A74" s="10" t="s">
        <v>53</v>
      </c>
      <c r="B74" s="11">
        <f>ApIII!R56</f>
        <v>2</v>
      </c>
      <c r="C74" s="453">
        <f>ApIII!S56</f>
        <v>2713.4</v>
      </c>
      <c r="D74" s="11"/>
      <c r="E74" s="453"/>
      <c r="F74" s="11">
        <f>ApX!R55</f>
        <v>8</v>
      </c>
      <c r="G74" s="402">
        <f>ApX!S55</f>
        <v>1084.8000000000002</v>
      </c>
      <c r="H74" s="11"/>
      <c r="I74" s="453"/>
      <c r="J74" s="11">
        <f>ApXII!T38</f>
        <v>4</v>
      </c>
      <c r="K74" s="402">
        <f>ApXII!U38</f>
        <v>320.5</v>
      </c>
      <c r="L74" s="11"/>
      <c r="M74" s="11"/>
      <c r="N74" s="180">
        <f t="shared" si="11"/>
        <v>14</v>
      </c>
      <c r="O74" s="462">
        <f t="shared" si="11"/>
        <v>4118.700000000001</v>
      </c>
      <c r="P74" s="201"/>
    </row>
    <row r="75" spans="1:20" s="274" customFormat="1" ht="18" customHeight="1">
      <c r="A75" s="10" t="s">
        <v>54</v>
      </c>
      <c r="B75" s="11" t="s">
        <v>12</v>
      </c>
      <c r="C75" s="453" t="s">
        <v>12</v>
      </c>
      <c r="D75" s="11"/>
      <c r="E75" s="453"/>
      <c r="F75" s="11">
        <f>ApX!R56</f>
        <v>1</v>
      </c>
      <c r="G75" s="402">
        <f>ApX!S56</f>
        <v>191.2</v>
      </c>
      <c r="H75" s="11"/>
      <c r="I75" s="453"/>
      <c r="J75" s="11"/>
      <c r="K75" s="453"/>
      <c r="L75" s="11"/>
      <c r="M75" s="11"/>
      <c r="N75" s="180">
        <f t="shared" si="11"/>
        <v>1</v>
      </c>
      <c r="O75" s="462">
        <f t="shared" si="11"/>
        <v>191.2</v>
      </c>
      <c r="P75" s="403"/>
      <c r="Q75" s="228"/>
      <c r="R75" s="228"/>
      <c r="S75" s="228"/>
      <c r="T75" s="228"/>
    </row>
    <row r="76" spans="1:20" s="274" customFormat="1" ht="18" customHeight="1">
      <c r="A76" s="128" t="s">
        <v>202</v>
      </c>
      <c r="B76" s="11"/>
      <c r="C76" s="453"/>
      <c r="D76" s="11"/>
      <c r="E76" s="453"/>
      <c r="F76" s="11">
        <f>ApX!R57</f>
        <v>2</v>
      </c>
      <c r="G76" s="402">
        <f>ApX!S57</f>
        <v>260.20000000000005</v>
      </c>
      <c r="H76" s="11"/>
      <c r="I76" s="453"/>
      <c r="J76" s="11"/>
      <c r="K76" s="453"/>
      <c r="L76" s="11"/>
      <c r="M76" s="11"/>
      <c r="N76" s="180">
        <f>SUM(B76,D76,F76,H76,J76,L76)</f>
        <v>2</v>
      </c>
      <c r="O76" s="462">
        <f>SUM(C76,E76,G76,I76,K76,M76)</f>
        <v>260.20000000000005</v>
      </c>
      <c r="P76" s="403"/>
      <c r="Q76" s="228"/>
      <c r="R76" s="228"/>
      <c r="S76" s="228"/>
      <c r="T76" s="228"/>
    </row>
    <row r="77" spans="1:16" ht="21.75" customHeight="1">
      <c r="A77" s="488" t="s">
        <v>146</v>
      </c>
      <c r="B77" s="501"/>
      <c r="C77" s="492"/>
      <c r="D77" s="501"/>
      <c r="E77" s="492"/>
      <c r="F77" s="501"/>
      <c r="G77" s="492"/>
      <c r="H77" s="501"/>
      <c r="I77" s="492"/>
      <c r="J77" s="501"/>
      <c r="K77" s="492"/>
      <c r="L77" s="501"/>
      <c r="M77" s="501"/>
      <c r="N77" s="494"/>
      <c r="O77" s="495"/>
      <c r="P77" s="201"/>
    </row>
    <row r="78" spans="1:16" ht="21" customHeight="1">
      <c r="A78" s="76" t="s">
        <v>295</v>
      </c>
      <c r="B78" s="11">
        <f>ApIII!R58</f>
        <v>1</v>
      </c>
      <c r="C78" s="402">
        <f>ApIII!S58</f>
        <v>48.9</v>
      </c>
      <c r="D78" s="11"/>
      <c r="E78" s="453"/>
      <c r="F78" s="11"/>
      <c r="G78" s="402"/>
      <c r="H78" s="11"/>
      <c r="I78" s="453"/>
      <c r="J78" s="11"/>
      <c r="K78" s="453"/>
      <c r="L78" s="11"/>
      <c r="M78" s="11"/>
      <c r="N78" s="180">
        <f>SUM(B78,D78,F78,H78,J78,L78)</f>
        <v>1</v>
      </c>
      <c r="O78" s="462">
        <f>SUM(C78,E78,G78,I78,K78,M78)</f>
        <v>48.9</v>
      </c>
      <c r="P78" s="201"/>
    </row>
    <row r="79" spans="1:16" ht="21" customHeight="1">
      <c r="A79" s="76" t="s">
        <v>200</v>
      </c>
      <c r="B79" s="11">
        <f>ApIII!R59</f>
        <v>4</v>
      </c>
      <c r="C79" s="402">
        <f>ApIII!S59</f>
        <v>528.8</v>
      </c>
      <c r="D79" s="11"/>
      <c r="E79" s="453"/>
      <c r="F79" s="11"/>
      <c r="G79" s="402"/>
      <c r="H79" s="11"/>
      <c r="I79" s="453"/>
      <c r="J79" s="11">
        <f>ApXII!T40</f>
        <v>1</v>
      </c>
      <c r="K79" s="402">
        <f>ApXII!U40</f>
        <v>42</v>
      </c>
      <c r="L79" s="11"/>
      <c r="M79" s="11"/>
      <c r="N79" s="180">
        <f>SUM(B79,D79,F79,H79,J79,L79)</f>
        <v>5</v>
      </c>
      <c r="O79" s="462">
        <f>SUM(C79,E79,G79,I79,K79,M79)</f>
        <v>570.8</v>
      </c>
      <c r="P79" s="201"/>
    </row>
    <row r="80" spans="1:16" ht="19.5" customHeight="1">
      <c r="A80" s="10" t="s">
        <v>36</v>
      </c>
      <c r="B80" s="11">
        <f>ApIII!R60</f>
        <v>4</v>
      </c>
      <c r="C80" s="402">
        <f>ApIII!S60</f>
        <v>619.2</v>
      </c>
      <c r="D80" s="11"/>
      <c r="E80" s="453"/>
      <c r="F80" s="11"/>
      <c r="G80" s="402"/>
      <c r="H80" s="11"/>
      <c r="I80" s="453"/>
      <c r="J80" s="11"/>
      <c r="K80" s="453"/>
      <c r="L80" s="11"/>
      <c r="M80" s="11"/>
      <c r="N80" s="180">
        <f aca="true" t="shared" si="12" ref="N80:O82">SUM(B80,D80,F80,H80,J80,L80)</f>
        <v>4</v>
      </c>
      <c r="O80" s="462">
        <f t="shared" si="12"/>
        <v>619.2</v>
      </c>
      <c r="P80" s="201"/>
    </row>
    <row r="81" spans="1:16" ht="19.5" customHeight="1">
      <c r="A81" s="10" t="s">
        <v>571</v>
      </c>
      <c r="B81" s="11">
        <f>ApIII!R61</f>
        <v>5</v>
      </c>
      <c r="C81" s="402">
        <f>ApIII!S61</f>
        <v>570.4</v>
      </c>
      <c r="D81" s="11"/>
      <c r="E81" s="453"/>
      <c r="F81" s="11"/>
      <c r="G81" s="402"/>
      <c r="H81" s="11"/>
      <c r="I81" s="453"/>
      <c r="J81" s="11"/>
      <c r="K81" s="453"/>
      <c r="L81" s="11"/>
      <c r="M81" s="11"/>
      <c r="N81" s="180">
        <f>SUM(B81,D81,F81,H81,J81,L81)</f>
        <v>5</v>
      </c>
      <c r="O81" s="462">
        <f>SUM(C81,E81,G81,I81,K81,M81)</f>
        <v>570.4</v>
      </c>
      <c r="P81" s="201"/>
    </row>
    <row r="82" spans="1:15" ht="19.5" customHeight="1">
      <c r="A82" s="16" t="s">
        <v>37</v>
      </c>
      <c r="B82" s="11">
        <f>ApIII!R62</f>
        <v>10</v>
      </c>
      <c r="C82" s="402">
        <f>ApIII!S62</f>
        <v>1549.8</v>
      </c>
      <c r="D82" s="17"/>
      <c r="E82" s="454"/>
      <c r="F82" s="17">
        <f>ApX!R59</f>
        <v>3</v>
      </c>
      <c r="G82" s="480">
        <f>ApX!S59</f>
        <v>439.9</v>
      </c>
      <c r="H82" s="17"/>
      <c r="I82" s="454"/>
      <c r="J82" s="17"/>
      <c r="K82" s="454"/>
      <c r="L82" s="17"/>
      <c r="M82" s="17"/>
      <c r="N82" s="181">
        <f t="shared" si="12"/>
        <v>13</v>
      </c>
      <c r="O82" s="463">
        <f t="shared" si="12"/>
        <v>1989.6999999999998</v>
      </c>
    </row>
    <row r="83" spans="1:15" ht="21.75" customHeight="1">
      <c r="A83" s="488" t="s">
        <v>316</v>
      </c>
      <c r="B83" s="501"/>
      <c r="C83" s="492"/>
      <c r="D83" s="501"/>
      <c r="E83" s="492"/>
      <c r="F83" s="501"/>
      <c r="G83" s="492"/>
      <c r="H83" s="501"/>
      <c r="I83" s="492"/>
      <c r="J83" s="502"/>
      <c r="K83" s="492"/>
      <c r="L83" s="501"/>
      <c r="M83" s="501"/>
      <c r="N83" s="494"/>
      <c r="O83" s="495"/>
    </row>
    <row r="84" spans="1:15" ht="20.25" customHeight="1">
      <c r="A84" s="16" t="s">
        <v>294</v>
      </c>
      <c r="B84" s="17">
        <f>ApIII!R72</f>
        <v>1</v>
      </c>
      <c r="C84" s="454">
        <f>ApIII!S72</f>
        <v>1353</v>
      </c>
      <c r="D84" s="17"/>
      <c r="E84" s="454"/>
      <c r="F84" s="17"/>
      <c r="G84" s="454"/>
      <c r="H84" s="17"/>
      <c r="I84" s="454"/>
      <c r="J84" s="17"/>
      <c r="K84" s="454"/>
      <c r="L84" s="17"/>
      <c r="M84" s="17"/>
      <c r="N84" s="181">
        <f>SUM(B84,D84,F84,H84,J84,L84)</f>
        <v>1</v>
      </c>
      <c r="O84" s="463">
        <f>SUM(C84,E84,G84,I84,K84,M84)</f>
        <v>1353</v>
      </c>
    </row>
    <row r="85" spans="1:15" ht="21.75" customHeight="1">
      <c r="A85" s="488" t="s">
        <v>317</v>
      </c>
      <c r="B85" s="501"/>
      <c r="C85" s="492"/>
      <c r="D85" s="501"/>
      <c r="E85" s="492"/>
      <c r="F85" s="501"/>
      <c r="G85" s="492"/>
      <c r="H85" s="501"/>
      <c r="I85" s="492"/>
      <c r="J85" s="502"/>
      <c r="K85" s="492"/>
      <c r="L85" s="501"/>
      <c r="M85" s="501"/>
      <c r="N85" s="494"/>
      <c r="O85" s="495"/>
    </row>
    <row r="86" spans="1:15" ht="21.75" customHeight="1">
      <c r="A86" s="10" t="s">
        <v>177</v>
      </c>
      <c r="B86" s="11">
        <f>ApIII!R64</f>
        <v>20</v>
      </c>
      <c r="C86" s="453">
        <f>ApIII!S64</f>
        <v>1736</v>
      </c>
      <c r="D86" s="11"/>
      <c r="E86" s="453"/>
      <c r="F86" s="11">
        <f>ApX!R61</f>
        <v>2</v>
      </c>
      <c r="G86" s="402">
        <f>ApX!S61</f>
        <v>295.9</v>
      </c>
      <c r="H86" s="11"/>
      <c r="I86" s="453"/>
      <c r="J86" s="11"/>
      <c r="K86" s="453"/>
      <c r="L86" s="11"/>
      <c r="M86" s="11"/>
      <c r="N86" s="180">
        <f aca="true" t="shared" si="13" ref="N86:N94">SUM(B86,D86,F86,H86,J86,L86)</f>
        <v>22</v>
      </c>
      <c r="O86" s="462">
        <f aca="true" t="shared" si="14" ref="O86:O94">SUM(C86,E86,G86,I86,K86,M86)</f>
        <v>2031.9</v>
      </c>
    </row>
    <row r="87" spans="1:15" ht="21.75" customHeight="1">
      <c r="A87" s="10" t="s">
        <v>566</v>
      </c>
      <c r="B87" s="11"/>
      <c r="C87" s="453"/>
      <c r="D87" s="11"/>
      <c r="E87" s="453"/>
      <c r="F87" s="11"/>
      <c r="G87" s="402"/>
      <c r="H87" s="11"/>
      <c r="I87" s="453"/>
      <c r="J87" s="11"/>
      <c r="K87" s="453"/>
      <c r="L87" s="11">
        <v>2</v>
      </c>
      <c r="M87" s="402">
        <v>42</v>
      </c>
      <c r="N87" s="180">
        <f>SUM(B87,D87,F87,H87,J87,L87)</f>
        <v>2</v>
      </c>
      <c r="O87" s="462">
        <f>SUM(C87,E87,G87,I87,K87,M87)</f>
        <v>42</v>
      </c>
    </row>
    <row r="88" spans="1:15" ht="20.25" customHeight="1">
      <c r="A88" s="10" t="s">
        <v>198</v>
      </c>
      <c r="B88" s="11"/>
      <c r="C88" s="453"/>
      <c r="D88" s="11"/>
      <c r="E88" s="453"/>
      <c r="F88" s="11">
        <f>ApX!R62</f>
        <v>1</v>
      </c>
      <c r="G88" s="402">
        <f>ApX!S62</f>
        <v>212.2</v>
      </c>
      <c r="H88" s="11"/>
      <c r="I88" s="453"/>
      <c r="J88" s="11"/>
      <c r="K88" s="402"/>
      <c r="L88" s="11">
        <v>1</v>
      </c>
      <c r="M88" s="402">
        <v>128.6</v>
      </c>
      <c r="N88" s="180">
        <f t="shared" si="13"/>
        <v>2</v>
      </c>
      <c r="O88" s="462">
        <f t="shared" si="14"/>
        <v>340.79999999999995</v>
      </c>
    </row>
    <row r="89" spans="1:15" ht="20.25" customHeight="1">
      <c r="A89" s="10" t="s">
        <v>55</v>
      </c>
      <c r="B89" s="11">
        <f>ApIII!R65</f>
        <v>1</v>
      </c>
      <c r="C89" s="453">
        <f>ApIII!S65</f>
        <v>143.9</v>
      </c>
      <c r="D89" s="11"/>
      <c r="E89" s="453"/>
      <c r="F89" s="11">
        <f>ApX!R63</f>
        <v>5</v>
      </c>
      <c r="G89" s="402">
        <f>ApX!S63</f>
        <v>1435.6999999999998</v>
      </c>
      <c r="H89" s="11"/>
      <c r="I89" s="453"/>
      <c r="J89" s="11"/>
      <c r="K89" s="453"/>
      <c r="L89" s="11">
        <v>1</v>
      </c>
      <c r="M89" s="11">
        <v>21</v>
      </c>
      <c r="N89" s="180">
        <f t="shared" si="13"/>
        <v>7</v>
      </c>
      <c r="O89" s="462">
        <f t="shared" si="14"/>
        <v>1600.6</v>
      </c>
    </row>
    <row r="90" spans="1:15" ht="20.25" customHeight="1">
      <c r="A90" s="10" t="s">
        <v>56</v>
      </c>
      <c r="B90" s="11">
        <f>ApIII!R66</f>
        <v>1</v>
      </c>
      <c r="C90" s="453">
        <f>ApIII!S66</f>
        <v>222.2</v>
      </c>
      <c r="D90" s="11"/>
      <c r="E90" s="453"/>
      <c r="F90" s="11"/>
      <c r="G90" s="402"/>
      <c r="H90" s="11"/>
      <c r="I90" s="453"/>
      <c r="J90" s="11"/>
      <c r="K90" s="453"/>
      <c r="L90" s="11"/>
      <c r="M90" s="11"/>
      <c r="N90" s="180">
        <f t="shared" si="13"/>
        <v>1</v>
      </c>
      <c r="O90" s="462">
        <f t="shared" si="14"/>
        <v>222.2</v>
      </c>
    </row>
    <row r="91" spans="1:15" ht="20.25" customHeight="1">
      <c r="A91" s="10" t="s">
        <v>189</v>
      </c>
      <c r="B91" s="11"/>
      <c r="C91" s="453"/>
      <c r="D91" s="11"/>
      <c r="E91" s="453"/>
      <c r="F91" s="11">
        <f>ApX!R64</f>
        <v>7</v>
      </c>
      <c r="G91" s="402">
        <f>ApX!S64</f>
        <v>1929.9</v>
      </c>
      <c r="H91" s="11"/>
      <c r="I91" s="453"/>
      <c r="J91" s="11"/>
      <c r="K91" s="453"/>
      <c r="L91" s="11"/>
      <c r="M91" s="11"/>
      <c r="N91" s="180">
        <f>SUM(B91,D91,F91,H91,J91,L91)</f>
        <v>7</v>
      </c>
      <c r="O91" s="462">
        <f>SUM(C91,E91,G91,I91,K91,M91)</f>
        <v>1929.9</v>
      </c>
    </row>
    <row r="92" spans="1:15" ht="20.25" customHeight="1">
      <c r="A92" s="10" t="s">
        <v>366</v>
      </c>
      <c r="B92" s="11"/>
      <c r="C92" s="402"/>
      <c r="D92" s="11"/>
      <c r="E92" s="453"/>
      <c r="F92" s="11">
        <f>ApX!R65</f>
        <v>1</v>
      </c>
      <c r="G92" s="402">
        <f>ApX!S65</f>
        <v>200.5</v>
      </c>
      <c r="H92" s="11"/>
      <c r="I92" s="453"/>
      <c r="J92" s="11"/>
      <c r="K92" s="453"/>
      <c r="L92" s="11"/>
      <c r="M92" s="11"/>
      <c r="N92" s="180">
        <f>SUM(B92,D92,F92,H92,J92,L92)</f>
        <v>1</v>
      </c>
      <c r="O92" s="462">
        <f>SUM(C92,E92,G92,I92,K92,M92)</f>
        <v>200.5</v>
      </c>
    </row>
    <row r="93" spans="1:15" ht="20.25" customHeight="1">
      <c r="A93" s="10" t="s">
        <v>57</v>
      </c>
      <c r="B93" s="11"/>
      <c r="C93" s="453"/>
      <c r="D93" s="11"/>
      <c r="E93" s="453"/>
      <c r="F93" s="11">
        <f>ApX!R66</f>
        <v>3</v>
      </c>
      <c r="G93" s="402">
        <f>ApX!S66</f>
        <v>761.5</v>
      </c>
      <c r="H93" s="11"/>
      <c r="I93" s="453"/>
      <c r="J93" s="11"/>
      <c r="K93" s="453"/>
      <c r="L93" s="11"/>
      <c r="M93" s="11"/>
      <c r="N93" s="180">
        <f t="shared" si="13"/>
        <v>3</v>
      </c>
      <c r="O93" s="462">
        <f t="shared" si="14"/>
        <v>761.5</v>
      </c>
    </row>
    <row r="94" spans="1:15" ht="20.25" customHeight="1">
      <c r="A94" s="10" t="s">
        <v>199</v>
      </c>
      <c r="B94" s="11">
        <f>ApIII!R67</f>
        <v>1</v>
      </c>
      <c r="C94" s="453">
        <f>ApIII!S67</f>
        <v>52.1</v>
      </c>
      <c r="D94" s="11"/>
      <c r="E94" s="453"/>
      <c r="F94" s="11">
        <f>ApX!R67</f>
        <v>2</v>
      </c>
      <c r="G94" s="402">
        <f>ApX!S67</f>
        <v>405.6</v>
      </c>
      <c r="H94" s="11"/>
      <c r="I94" s="453"/>
      <c r="J94" s="11"/>
      <c r="K94" s="453"/>
      <c r="L94" s="11"/>
      <c r="M94" s="11"/>
      <c r="N94" s="180">
        <f t="shared" si="13"/>
        <v>3</v>
      </c>
      <c r="O94" s="462">
        <f t="shared" si="14"/>
        <v>457.70000000000005</v>
      </c>
    </row>
    <row r="95" spans="1:15" ht="20.25" customHeight="1">
      <c r="A95" s="10" t="s">
        <v>546</v>
      </c>
      <c r="B95" s="11"/>
      <c r="C95" s="453"/>
      <c r="D95" s="11"/>
      <c r="E95" s="453"/>
      <c r="F95" s="11">
        <f>ApX!R68</f>
        <v>1</v>
      </c>
      <c r="G95" s="453">
        <f>ApX!S68</f>
        <v>267.7</v>
      </c>
      <c r="H95" s="11"/>
      <c r="I95" s="453"/>
      <c r="J95" s="11"/>
      <c r="K95" s="402"/>
      <c r="L95" s="11"/>
      <c r="M95" s="11"/>
      <c r="N95" s="180">
        <f>SUM(B95,D95,F95,H95,J95,L95)</f>
        <v>1</v>
      </c>
      <c r="O95" s="462">
        <f>SUM(C95,E95,G95,I95,K95,M95)</f>
        <v>267.7</v>
      </c>
    </row>
    <row r="96" spans="1:15" ht="20.25" customHeight="1">
      <c r="A96" s="10" t="s">
        <v>58</v>
      </c>
      <c r="B96" s="11">
        <f>ApIII!R68</f>
        <v>1</v>
      </c>
      <c r="C96" s="453">
        <f>ApIII!S68</f>
        <v>130.4</v>
      </c>
      <c r="D96" s="11"/>
      <c r="E96" s="453"/>
      <c r="F96" s="11">
        <f>ApX!R69</f>
        <v>3</v>
      </c>
      <c r="G96" s="453">
        <f>ApX!S69</f>
        <v>746.3</v>
      </c>
      <c r="H96" s="11"/>
      <c r="I96" s="453"/>
      <c r="J96" s="11"/>
      <c r="K96" s="453"/>
      <c r="L96" s="11">
        <v>1</v>
      </c>
      <c r="M96" s="402">
        <v>21</v>
      </c>
      <c r="N96" s="180">
        <f aca="true" t="shared" si="15" ref="N96:O99">SUM(B96,D96,F96,H96,J96,L96)</f>
        <v>5</v>
      </c>
      <c r="O96" s="462">
        <f t="shared" si="15"/>
        <v>897.6999999999999</v>
      </c>
    </row>
    <row r="97" spans="1:15" ht="20.25" customHeight="1">
      <c r="A97" s="10" t="s">
        <v>201</v>
      </c>
      <c r="B97" s="11">
        <f>ApIII!R69</f>
        <v>1</v>
      </c>
      <c r="C97" s="402">
        <f>ApIII!S69</f>
        <v>138.3</v>
      </c>
      <c r="D97" s="11"/>
      <c r="E97" s="453"/>
      <c r="F97" s="11">
        <f>ApX!R70</f>
        <v>1</v>
      </c>
      <c r="G97" s="402">
        <f>ApX!S70</f>
        <v>232.2</v>
      </c>
      <c r="H97" s="11"/>
      <c r="I97" s="453"/>
      <c r="J97" s="11"/>
      <c r="K97" s="453"/>
      <c r="L97" s="11"/>
      <c r="M97" s="11"/>
      <c r="N97" s="180">
        <f t="shared" si="15"/>
        <v>2</v>
      </c>
      <c r="O97" s="462">
        <f t="shared" si="15"/>
        <v>370.5</v>
      </c>
    </row>
    <row r="98" spans="1:15" ht="20.25" customHeight="1">
      <c r="A98" s="10" t="s">
        <v>59</v>
      </c>
      <c r="B98" s="11">
        <f>ApIII!R70</f>
        <v>8</v>
      </c>
      <c r="C98" s="453">
        <f>ApIII!S70</f>
        <v>3423.1</v>
      </c>
      <c r="D98" s="11"/>
      <c r="E98" s="453"/>
      <c r="F98" s="11"/>
      <c r="G98" s="402"/>
      <c r="H98" s="11"/>
      <c r="I98" s="453"/>
      <c r="J98" s="11"/>
      <c r="K98" s="453"/>
      <c r="L98" s="11">
        <v>2</v>
      </c>
      <c r="M98" s="11">
        <v>484.6</v>
      </c>
      <c r="N98" s="180">
        <f>SUM(B98,D98,F98,H98,J98,L98)</f>
        <v>10</v>
      </c>
      <c r="O98" s="462">
        <f>SUM(C98,E98,G98,I98,K98,M98)</f>
        <v>3907.7</v>
      </c>
    </row>
    <row r="99" spans="1:15" ht="20.25" customHeight="1">
      <c r="A99" s="10" t="s">
        <v>244</v>
      </c>
      <c r="B99" s="11"/>
      <c r="C99" s="453"/>
      <c r="D99" s="11"/>
      <c r="E99" s="453"/>
      <c r="F99" s="11">
        <f>ApX!R71</f>
        <v>2</v>
      </c>
      <c r="G99" s="402">
        <f>ApX!S71</f>
        <v>462.3</v>
      </c>
      <c r="H99" s="11"/>
      <c r="I99" s="453"/>
      <c r="J99" s="11"/>
      <c r="K99" s="453"/>
      <c r="L99" s="11"/>
      <c r="M99" s="11"/>
      <c r="N99" s="180">
        <f t="shared" si="15"/>
        <v>2</v>
      </c>
      <c r="O99" s="462">
        <f t="shared" si="15"/>
        <v>462.3</v>
      </c>
    </row>
    <row r="100" spans="1:15" ht="20.25" customHeight="1">
      <c r="A100" s="10" t="s">
        <v>160</v>
      </c>
      <c r="B100" s="11"/>
      <c r="C100" s="453"/>
      <c r="D100" s="11"/>
      <c r="E100" s="11"/>
      <c r="F100" s="11">
        <f>ApX!R72</f>
        <v>3</v>
      </c>
      <c r="G100" s="402">
        <f>ApX!S72</f>
        <v>678.8</v>
      </c>
      <c r="H100" s="11"/>
      <c r="I100" s="453"/>
      <c r="J100" s="11"/>
      <c r="K100" s="453"/>
      <c r="L100" s="11"/>
      <c r="M100" s="11"/>
      <c r="N100" s="180">
        <f>SUM(B100,D100,F100,H100,J100,L100)</f>
        <v>3</v>
      </c>
      <c r="O100" s="462">
        <f>SUM(C100,E100,G100,I100,K100,M100)</f>
        <v>678.8</v>
      </c>
    </row>
    <row r="101" spans="1:17" ht="22.5" customHeight="1" thickBot="1">
      <c r="A101" s="481" t="s">
        <v>179</v>
      </c>
      <c r="B101" s="503">
        <f>ApIII!R73</f>
        <v>10</v>
      </c>
      <c r="C101" s="505">
        <f>ApIII!S73</f>
        <v>23308.5</v>
      </c>
      <c r="D101" s="503"/>
      <c r="E101" s="504"/>
      <c r="F101" s="503">
        <f>ApX!R73</f>
        <v>33</v>
      </c>
      <c r="G101" s="505">
        <f>ApX!S73</f>
        <v>2671.6000000000004</v>
      </c>
      <c r="H101" s="503"/>
      <c r="I101" s="504">
        <f>ApVIII!S8</f>
        <v>4352.6</v>
      </c>
      <c r="J101" s="503">
        <f>ApXII!T41</f>
        <v>26</v>
      </c>
      <c r="K101" s="504">
        <f>ApXII!U41</f>
        <v>851.5</v>
      </c>
      <c r="L101" s="503">
        <f>3+13+17+2</f>
        <v>35</v>
      </c>
      <c r="M101" s="505">
        <f>213.3+76.9+65.4+42</f>
        <v>397.6</v>
      </c>
      <c r="N101" s="497">
        <f>SUM(B101,D101,F101,H101,J101,L101)</f>
        <v>104</v>
      </c>
      <c r="O101" s="498">
        <f>SUM(C101,E101,G101,I101,K101,M101)</f>
        <v>31581.799999999996</v>
      </c>
      <c r="P101" s="201"/>
      <c r="Q101" s="280"/>
    </row>
    <row r="102" spans="1:15" ht="22.5" thickBot="1">
      <c r="A102" s="506" t="s">
        <v>60</v>
      </c>
      <c r="B102" s="987">
        <f aca="true" t="shared" si="16" ref="B102:O102">SUM(B5:B101)</f>
        <v>1460</v>
      </c>
      <c r="C102" s="513">
        <f t="shared" si="16"/>
        <v>313620.3867000001</v>
      </c>
      <c r="D102" s="987">
        <f t="shared" si="16"/>
        <v>4</v>
      </c>
      <c r="E102" s="513">
        <f t="shared" si="16"/>
        <v>29125.000000000004</v>
      </c>
      <c r="F102" s="987">
        <f t="shared" si="16"/>
        <v>297</v>
      </c>
      <c r="G102" s="513">
        <f t="shared" si="16"/>
        <v>39878.100000000006</v>
      </c>
      <c r="H102" s="987">
        <f t="shared" si="16"/>
        <v>84</v>
      </c>
      <c r="I102" s="513">
        <f t="shared" si="16"/>
        <v>6358.8</v>
      </c>
      <c r="J102" s="987">
        <f t="shared" si="16"/>
        <v>386</v>
      </c>
      <c r="K102" s="513">
        <f t="shared" si="16"/>
        <v>16272.100000000004</v>
      </c>
      <c r="L102" s="987">
        <f t="shared" si="16"/>
        <v>300</v>
      </c>
      <c r="M102" s="513">
        <f t="shared" si="16"/>
        <v>26119.099999999995</v>
      </c>
      <c r="N102" s="987">
        <f t="shared" si="16"/>
        <v>2531</v>
      </c>
      <c r="O102" s="513">
        <f t="shared" si="16"/>
        <v>431373.4867000002</v>
      </c>
    </row>
    <row r="103" spans="1:15" ht="20.25" customHeight="1">
      <c r="A103" s="8" t="s">
        <v>149</v>
      </c>
      <c r="B103" s="20"/>
      <c r="C103" s="455"/>
      <c r="D103" s="21"/>
      <c r="E103" s="455"/>
      <c r="F103" s="22"/>
      <c r="G103" s="377"/>
      <c r="H103" s="23"/>
      <c r="I103" s="455"/>
      <c r="J103" s="20"/>
      <c r="K103" s="455"/>
      <c r="L103" s="23"/>
      <c r="M103" s="23"/>
      <c r="N103" s="20"/>
      <c r="O103" s="377"/>
    </row>
    <row r="104" spans="1:12" ht="20.25" customHeight="1">
      <c r="A104" s="27" t="s">
        <v>182</v>
      </c>
      <c r="B104" s="20"/>
      <c r="C104" s="455"/>
      <c r="D104" s="21"/>
      <c r="E104" s="455"/>
      <c r="F104" s="22"/>
      <c r="J104" s="20"/>
      <c r="K104" s="455"/>
      <c r="L104" s="23"/>
    </row>
    <row r="105" spans="1:20" s="29" customFormat="1" ht="20.25" customHeight="1">
      <c r="A105" s="34" t="s">
        <v>151</v>
      </c>
      <c r="B105" s="28"/>
      <c r="C105" s="456"/>
      <c r="E105" s="456"/>
      <c r="F105" s="28"/>
      <c r="G105" s="461"/>
      <c r="I105" s="456"/>
      <c r="J105" s="28"/>
      <c r="K105" s="455"/>
      <c r="L105" s="30"/>
      <c r="M105" s="27"/>
      <c r="N105" s="28"/>
      <c r="O105" s="377"/>
      <c r="P105" s="65"/>
      <c r="Q105" s="65"/>
      <c r="R105" s="65"/>
      <c r="S105" s="65"/>
      <c r="T105" s="65"/>
    </row>
    <row r="106" spans="1:15" ht="20.25" customHeight="1">
      <c r="A106" s="8" t="s">
        <v>150</v>
      </c>
      <c r="N106" s="32"/>
      <c r="O106" s="377"/>
    </row>
    <row r="107" spans="1:2" ht="21.75">
      <c r="A107" s="136"/>
      <c r="B107" s="33"/>
    </row>
    <row r="108" spans="1:5" ht="21.75">
      <c r="A108" s="136"/>
      <c r="C108" s="455"/>
      <c r="D108" s="30"/>
      <c r="E108" s="455"/>
    </row>
    <row r="109" spans="1:3" ht="21.75">
      <c r="A109" s="136"/>
      <c r="C109" s="452"/>
    </row>
    <row r="110" spans="1:10" ht="21.75">
      <c r="A110" s="136"/>
      <c r="J110" s="25" t="s">
        <v>115</v>
      </c>
    </row>
    <row r="127" ht="21.75">
      <c r="F127" s="457"/>
    </row>
  </sheetData>
  <sheetProtection/>
  <mergeCells count="8">
    <mergeCell ref="A2:A3"/>
    <mergeCell ref="B2:C2"/>
    <mergeCell ref="F2:G2"/>
    <mergeCell ref="D2:E2"/>
    <mergeCell ref="J2:K2"/>
    <mergeCell ref="N2:O2"/>
    <mergeCell ref="L2:M2"/>
    <mergeCell ref="H2:I2"/>
  </mergeCells>
  <printOptions horizontalCentered="1"/>
  <pageMargins left="0.2362204724409449" right="0.3937007874015748" top="0.3937007874015748" bottom="0.3937007874015748" header="0.4330708661417323" footer="0.275590551181102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4"/>
  </sheetPr>
  <dimension ref="A1:BS143"/>
  <sheetViews>
    <sheetView zoomScalePageLayoutView="0" workbookViewId="0" topLeftCell="A1">
      <pane xSplit="1" ySplit="4" topLeftCell="B68" activePane="bottomRight" state="frozen"/>
      <selection pane="topLeft" activeCell="A1" sqref="A1"/>
      <selection pane="topRight" activeCell="B1" sqref="B1"/>
      <selection pane="bottomLeft" activeCell="A5" sqref="A5"/>
      <selection pane="bottomRight" activeCell="A73" sqref="A73:S73"/>
    </sheetView>
  </sheetViews>
  <sheetFormatPr defaultColWidth="9.140625" defaultRowHeight="12.75"/>
  <cols>
    <col min="1" max="1" width="26.28125" style="111" customWidth="1"/>
    <col min="2" max="2" width="4.8515625" style="111" customWidth="1"/>
    <col min="3" max="3" width="9.421875" style="281" customWidth="1"/>
    <col min="4" max="4" width="5.00390625" style="111" bestFit="1" customWidth="1"/>
    <col min="5" max="5" width="8.421875" style="281" customWidth="1"/>
    <col min="6" max="6" width="5.57421875" style="111" customWidth="1"/>
    <col min="7" max="7" width="8.28125" style="281" bestFit="1" customWidth="1"/>
    <col min="8" max="8" width="4.00390625" style="111" customWidth="1"/>
    <col min="9" max="9" width="8.28125" style="281" bestFit="1" customWidth="1"/>
    <col min="10" max="10" width="4.28125" style="111" customWidth="1"/>
    <col min="11" max="11" width="8.28125" style="281" bestFit="1" customWidth="1"/>
    <col min="12" max="12" width="5.00390625" style="111" customWidth="1"/>
    <col min="13" max="13" width="8.28125" style="281" bestFit="1" customWidth="1"/>
    <col min="14" max="14" width="5.00390625" style="111" bestFit="1" customWidth="1"/>
    <col min="15" max="15" width="8.28125" style="111" bestFit="1" customWidth="1"/>
    <col min="16" max="16" width="6.28125" style="111" customWidth="1"/>
    <col min="17" max="17" width="9.8515625" style="111" customWidth="1"/>
    <col min="18" max="18" width="6.28125" style="189" customWidth="1"/>
    <col min="19" max="19" width="10.28125" style="188" customWidth="1"/>
    <col min="20" max="26" width="10.8515625" style="188" customWidth="1"/>
    <col min="27" max="40" width="11.421875" style="57" customWidth="1"/>
    <col min="41" max="41" width="17.421875" style="0" customWidth="1"/>
    <col min="42" max="42" width="5.00390625" style="0" customWidth="1"/>
    <col min="44" max="44" width="4.7109375" style="0" customWidth="1"/>
    <col min="45" max="45" width="7.7109375" style="0" customWidth="1"/>
    <col min="46" max="46" width="4.7109375" style="0" customWidth="1"/>
    <col min="47" max="47" width="8.140625" style="0" customWidth="1"/>
    <col min="48" max="48" width="4.7109375" style="0" customWidth="1"/>
    <col min="49" max="49" width="8.140625" style="0" customWidth="1"/>
    <col min="50" max="50" width="4.7109375" style="0" customWidth="1"/>
    <col min="51" max="51" width="7.7109375" style="0" customWidth="1"/>
    <col min="52" max="52" width="4.00390625" style="0" customWidth="1"/>
    <col min="53" max="53" width="7.28125" style="0" customWidth="1"/>
    <col min="54" max="54" width="4.7109375" style="0" customWidth="1"/>
    <col min="55" max="55" width="8.28125" style="0" customWidth="1"/>
    <col min="56" max="56" width="4.7109375" style="0" customWidth="1"/>
    <col min="57" max="57" width="8.7109375" style="0" customWidth="1"/>
    <col min="58" max="58" width="4.7109375" style="0" customWidth="1"/>
    <col min="59" max="59" width="8.28125" style="0" customWidth="1"/>
    <col min="60" max="60" width="4.7109375" style="0" customWidth="1"/>
    <col min="62" max="62" width="4.7109375" style="0" customWidth="1"/>
    <col min="72" max="16384" width="9.140625" style="111" customWidth="1"/>
  </cols>
  <sheetData>
    <row r="1" spans="1:71" s="59" customFormat="1" ht="25.5" customHeight="1" thickBot="1">
      <c r="A1" s="183" t="s">
        <v>331</v>
      </c>
      <c r="B1" s="110"/>
      <c r="C1" s="278"/>
      <c r="D1" s="110"/>
      <c r="E1" s="278"/>
      <c r="F1" s="110"/>
      <c r="G1" s="278"/>
      <c r="H1" s="110"/>
      <c r="I1" s="278"/>
      <c r="J1" s="110"/>
      <c r="K1" s="278"/>
      <c r="L1" s="110"/>
      <c r="M1" s="278"/>
      <c r="N1" s="74"/>
      <c r="O1" s="74"/>
      <c r="P1" s="74"/>
      <c r="Q1" s="39" t="s">
        <v>120</v>
      </c>
      <c r="R1" s="189"/>
      <c r="S1" s="188"/>
      <c r="T1" s="188"/>
      <c r="U1" s="188"/>
      <c r="V1" s="188"/>
      <c r="W1" s="188"/>
      <c r="X1" s="188"/>
      <c r="Y1" s="188"/>
      <c r="Z1" s="188"/>
      <c r="AA1" s="57"/>
      <c r="AB1" s="57"/>
      <c r="AC1" s="57"/>
      <c r="AD1" s="57"/>
      <c r="AE1" s="57"/>
      <c r="AF1" s="57"/>
      <c r="AG1" s="57"/>
      <c r="AH1" s="57"/>
      <c r="AI1" s="57"/>
      <c r="AJ1" s="57"/>
      <c r="AK1" s="57"/>
      <c r="AL1" s="57"/>
      <c r="AM1" s="57"/>
      <c r="AN1" s="57"/>
      <c r="AO1"/>
      <c r="AP1"/>
      <c r="AQ1"/>
      <c r="AR1"/>
      <c r="AS1"/>
      <c r="AT1"/>
      <c r="AU1"/>
      <c r="AV1"/>
      <c r="AW1"/>
      <c r="AX1"/>
      <c r="AY1"/>
      <c r="AZ1"/>
      <c r="BA1"/>
      <c r="BB1"/>
      <c r="BC1"/>
      <c r="BD1"/>
      <c r="BE1"/>
      <c r="BF1"/>
      <c r="BG1"/>
      <c r="BH1"/>
      <c r="BI1"/>
      <c r="BJ1"/>
      <c r="BK1"/>
      <c r="BL1"/>
      <c r="BM1"/>
      <c r="BN1"/>
      <c r="BO1"/>
      <c r="BP1"/>
      <c r="BQ1"/>
      <c r="BR1"/>
      <c r="BS1"/>
    </row>
    <row r="2" spans="1:49" s="7" customFormat="1" ht="69.75" customHeight="1" thickBot="1">
      <c r="A2" s="1306" t="s">
        <v>1</v>
      </c>
      <c r="B2" s="1308" t="s">
        <v>70</v>
      </c>
      <c r="C2" s="1308"/>
      <c r="D2" s="1309" t="s">
        <v>84</v>
      </c>
      <c r="E2" s="1309"/>
      <c r="F2" s="1309" t="s">
        <v>154</v>
      </c>
      <c r="G2" s="1309"/>
      <c r="H2" s="1311" t="s">
        <v>76</v>
      </c>
      <c r="I2" s="1311"/>
      <c r="J2" s="1309" t="s">
        <v>77</v>
      </c>
      <c r="K2" s="1309"/>
      <c r="L2" s="1312" t="s">
        <v>78</v>
      </c>
      <c r="M2" s="1312"/>
      <c r="N2" s="1311" t="s">
        <v>79</v>
      </c>
      <c r="O2" s="1311"/>
      <c r="P2" s="1311" t="s">
        <v>80</v>
      </c>
      <c r="Q2" s="1311"/>
      <c r="R2" s="1310" t="s">
        <v>65</v>
      </c>
      <c r="S2" s="1310"/>
      <c r="T2"/>
      <c r="U2"/>
      <c r="V2"/>
      <c r="W2"/>
      <c r="X2"/>
      <c r="Y2"/>
      <c r="Z2"/>
      <c r="AA2"/>
      <c r="AB2"/>
      <c r="AC2"/>
      <c r="AD2"/>
      <c r="AE2"/>
      <c r="AF2"/>
      <c r="AG2"/>
      <c r="AH2"/>
      <c r="AI2"/>
      <c r="AJ2"/>
      <c r="AK2"/>
      <c r="AL2"/>
      <c r="AM2"/>
      <c r="AN2"/>
      <c r="AO2"/>
      <c r="AP2"/>
      <c r="AQ2"/>
      <c r="AR2"/>
      <c r="AS2"/>
      <c r="AT2"/>
      <c r="AU2"/>
      <c r="AV2"/>
      <c r="AW2"/>
    </row>
    <row r="3" spans="1:49" s="122" customFormat="1" ht="28.5" customHeight="1" thickBot="1">
      <c r="A3" s="1307"/>
      <c r="B3" s="132" t="s">
        <v>10</v>
      </c>
      <c r="C3" s="308" t="s">
        <v>9</v>
      </c>
      <c r="D3" s="132" t="s">
        <v>10</v>
      </c>
      <c r="E3" s="308" t="s">
        <v>9</v>
      </c>
      <c r="F3" s="132" t="s">
        <v>10</v>
      </c>
      <c r="G3" s="316" t="s">
        <v>9</v>
      </c>
      <c r="H3" s="132" t="s">
        <v>10</v>
      </c>
      <c r="I3" s="316" t="s">
        <v>9</v>
      </c>
      <c r="J3" s="132" t="s">
        <v>10</v>
      </c>
      <c r="K3" s="316" t="s">
        <v>9</v>
      </c>
      <c r="L3" s="132" t="s">
        <v>10</v>
      </c>
      <c r="M3" s="316" t="s">
        <v>9</v>
      </c>
      <c r="N3" s="132" t="s">
        <v>10</v>
      </c>
      <c r="O3" s="316" t="s">
        <v>9</v>
      </c>
      <c r="P3" s="132" t="s">
        <v>10</v>
      </c>
      <c r="Q3" s="316" t="s">
        <v>9</v>
      </c>
      <c r="R3" s="132" t="s">
        <v>10</v>
      </c>
      <c r="S3" s="308" t="s">
        <v>9</v>
      </c>
      <c r="T3"/>
      <c r="U3"/>
      <c r="V3"/>
      <c r="W3"/>
      <c r="X3"/>
      <c r="Y3"/>
      <c r="Z3"/>
      <c r="AA3"/>
      <c r="AB3"/>
      <c r="AC3"/>
      <c r="AD3"/>
      <c r="AE3"/>
      <c r="AF3"/>
      <c r="AG3"/>
      <c r="AH3"/>
      <c r="AI3"/>
      <c r="AJ3"/>
      <c r="AK3"/>
      <c r="AL3"/>
      <c r="AM3"/>
      <c r="AN3"/>
      <c r="AO3"/>
      <c r="AP3"/>
      <c r="AQ3"/>
      <c r="AR3"/>
      <c r="AS3"/>
      <c r="AT3"/>
      <c r="AU3"/>
      <c r="AV3"/>
      <c r="AW3"/>
    </row>
    <row r="4" spans="1:49" s="122" customFormat="1" ht="23.25" customHeight="1">
      <c r="A4" s="123" t="s">
        <v>140</v>
      </c>
      <c r="B4" s="124"/>
      <c r="C4" s="309"/>
      <c r="D4" s="124"/>
      <c r="E4" s="309"/>
      <c r="F4" s="124"/>
      <c r="G4" s="317"/>
      <c r="H4" s="125"/>
      <c r="I4" s="317"/>
      <c r="J4" s="124"/>
      <c r="K4" s="317"/>
      <c r="L4" s="124"/>
      <c r="M4" s="317"/>
      <c r="N4" s="125"/>
      <c r="O4" s="317"/>
      <c r="P4" s="124"/>
      <c r="Q4" s="317"/>
      <c r="R4" s="123"/>
      <c r="S4" s="322"/>
      <c r="T4"/>
      <c r="U4"/>
      <c r="V4"/>
      <c r="W4"/>
      <c r="X4"/>
      <c r="Y4"/>
      <c r="Z4"/>
      <c r="AA4"/>
      <c r="AB4"/>
      <c r="AC4"/>
      <c r="AD4"/>
      <c r="AE4"/>
      <c r="AF4"/>
      <c r="AG4"/>
      <c r="AH4"/>
      <c r="AI4"/>
      <c r="AJ4"/>
      <c r="AK4"/>
      <c r="AL4"/>
      <c r="AM4"/>
      <c r="AN4"/>
      <c r="AO4"/>
      <c r="AP4"/>
      <c r="AQ4"/>
      <c r="AR4"/>
      <c r="AS4"/>
      <c r="AT4"/>
      <c r="AU4"/>
      <c r="AV4"/>
      <c r="AW4"/>
    </row>
    <row r="5" spans="1:49" s="122" customFormat="1" ht="19.5" customHeight="1">
      <c r="A5" s="126" t="s">
        <v>86</v>
      </c>
      <c r="B5" s="174">
        <v>6</v>
      </c>
      <c r="C5" s="310">
        <v>525.4</v>
      </c>
      <c r="D5" s="174"/>
      <c r="E5" s="310"/>
      <c r="F5" s="174"/>
      <c r="G5" s="310"/>
      <c r="H5" s="174">
        <v>2</v>
      </c>
      <c r="I5" s="310">
        <v>106.5</v>
      </c>
      <c r="J5" s="174"/>
      <c r="K5" s="310"/>
      <c r="L5" s="174">
        <v>1</v>
      </c>
      <c r="M5" s="310">
        <v>138.9</v>
      </c>
      <c r="N5" s="174"/>
      <c r="O5" s="310"/>
      <c r="P5" s="174">
        <v>1</v>
      </c>
      <c r="Q5" s="310">
        <v>196.1</v>
      </c>
      <c r="R5" s="176">
        <f aca="true" t="shared" si="0" ref="R5:S8">SUM(B5,J5,N5,D5,F5,H5,L5,P5)</f>
        <v>10</v>
      </c>
      <c r="S5" s="764">
        <f t="shared" si="0"/>
        <v>966.9</v>
      </c>
      <c r="T5"/>
      <c r="U5"/>
      <c r="V5"/>
      <c r="W5"/>
      <c r="X5"/>
      <c r="Y5"/>
      <c r="Z5"/>
      <c r="AA5"/>
      <c r="AB5"/>
      <c r="AC5"/>
      <c r="AD5"/>
      <c r="AE5"/>
      <c r="AF5"/>
      <c r="AG5"/>
      <c r="AH5"/>
      <c r="AI5"/>
      <c r="AJ5"/>
      <c r="AK5"/>
      <c r="AL5"/>
      <c r="AM5"/>
      <c r="AN5"/>
      <c r="AO5"/>
      <c r="AP5"/>
      <c r="AQ5"/>
      <c r="AR5"/>
      <c r="AS5"/>
      <c r="AT5"/>
      <c r="AU5"/>
      <c r="AV5"/>
      <c r="AW5"/>
    </row>
    <row r="6" spans="1:49" s="122" customFormat="1" ht="19.5" customHeight="1">
      <c r="A6" s="126" t="s">
        <v>87</v>
      </c>
      <c r="B6" s="174"/>
      <c r="C6" s="310"/>
      <c r="D6" s="174"/>
      <c r="E6" s="310"/>
      <c r="F6" s="174"/>
      <c r="G6" s="310"/>
      <c r="H6" s="174">
        <v>2</v>
      </c>
      <c r="I6" s="310">
        <v>132</v>
      </c>
      <c r="J6" s="174"/>
      <c r="K6" s="310"/>
      <c r="L6" s="174"/>
      <c r="M6" s="310"/>
      <c r="N6" s="174"/>
      <c r="O6" s="310"/>
      <c r="P6" s="174"/>
      <c r="Q6" s="310"/>
      <c r="R6" s="176">
        <f t="shared" si="0"/>
        <v>2</v>
      </c>
      <c r="S6" s="764">
        <f t="shared" si="0"/>
        <v>132</v>
      </c>
      <c r="T6"/>
      <c r="U6"/>
      <c r="V6"/>
      <c r="W6"/>
      <c r="X6"/>
      <c r="Y6"/>
      <c r="Z6"/>
      <c r="AA6"/>
      <c r="AB6"/>
      <c r="AC6"/>
      <c r="AD6"/>
      <c r="AE6"/>
      <c r="AF6"/>
      <c r="AG6"/>
      <c r="AH6"/>
      <c r="AI6"/>
      <c r="AJ6"/>
      <c r="AK6"/>
      <c r="AL6"/>
      <c r="AM6"/>
      <c r="AN6"/>
      <c r="AO6"/>
      <c r="AP6"/>
      <c r="AQ6"/>
      <c r="AR6"/>
      <c r="AS6"/>
      <c r="AT6"/>
      <c r="AU6"/>
      <c r="AV6"/>
      <c r="AW6"/>
    </row>
    <row r="7" spans="1:49" s="122" customFormat="1" ht="19.5" customHeight="1">
      <c r="A7" s="126" t="s">
        <v>88</v>
      </c>
      <c r="B7" s="174">
        <v>8</v>
      </c>
      <c r="C7" s="310">
        <v>740.7</v>
      </c>
      <c r="D7" s="174"/>
      <c r="E7" s="310"/>
      <c r="F7" s="174"/>
      <c r="G7" s="310"/>
      <c r="H7" s="174">
        <v>2</v>
      </c>
      <c r="I7" s="310">
        <v>137.1</v>
      </c>
      <c r="J7" s="174">
        <v>1</v>
      </c>
      <c r="K7" s="310">
        <v>104.3</v>
      </c>
      <c r="L7" s="174">
        <v>4</v>
      </c>
      <c r="M7" s="310">
        <v>462.6</v>
      </c>
      <c r="N7" s="174">
        <v>1</v>
      </c>
      <c r="O7" s="310">
        <v>127</v>
      </c>
      <c r="P7" s="174">
        <v>1</v>
      </c>
      <c r="Q7" s="310">
        <v>199.1</v>
      </c>
      <c r="R7" s="176">
        <f t="shared" si="0"/>
        <v>17</v>
      </c>
      <c r="S7" s="764">
        <f t="shared" si="0"/>
        <v>1770.7999999999997</v>
      </c>
      <c r="T7"/>
      <c r="U7"/>
      <c r="V7"/>
      <c r="W7"/>
      <c r="X7"/>
      <c r="Y7"/>
      <c r="Z7"/>
      <c r="AA7"/>
      <c r="AB7"/>
      <c r="AC7"/>
      <c r="AD7"/>
      <c r="AE7"/>
      <c r="AF7"/>
      <c r="AG7"/>
      <c r="AH7"/>
      <c r="AI7"/>
      <c r="AJ7"/>
      <c r="AK7"/>
      <c r="AL7"/>
      <c r="AM7"/>
      <c r="AN7"/>
      <c r="AO7"/>
      <c r="AP7"/>
      <c r="AQ7"/>
      <c r="AR7"/>
      <c r="AS7"/>
      <c r="AT7"/>
      <c r="AU7"/>
      <c r="AV7"/>
      <c r="AW7"/>
    </row>
    <row r="8" spans="1:49" s="122" customFormat="1" ht="19.5" customHeight="1">
      <c r="A8" s="128" t="s">
        <v>89</v>
      </c>
      <c r="B8" s="325">
        <v>2</v>
      </c>
      <c r="C8" s="326">
        <v>126.1</v>
      </c>
      <c r="D8" s="325"/>
      <c r="E8" s="326"/>
      <c r="F8" s="325"/>
      <c r="G8" s="326"/>
      <c r="H8" s="325">
        <v>2</v>
      </c>
      <c r="I8" s="326">
        <v>135</v>
      </c>
      <c r="J8" s="325"/>
      <c r="K8" s="326"/>
      <c r="L8" s="325"/>
      <c r="M8" s="326"/>
      <c r="N8" s="325"/>
      <c r="O8" s="326"/>
      <c r="P8" s="325"/>
      <c r="Q8" s="326"/>
      <c r="R8" s="176">
        <f t="shared" si="0"/>
        <v>4</v>
      </c>
      <c r="S8" s="764">
        <f t="shared" si="0"/>
        <v>261.1</v>
      </c>
      <c r="T8"/>
      <c r="U8"/>
      <c r="V8"/>
      <c r="W8"/>
      <c r="X8"/>
      <c r="Y8"/>
      <c r="Z8"/>
      <c r="AA8"/>
      <c r="AB8"/>
      <c r="AC8"/>
      <c r="AD8"/>
      <c r="AE8"/>
      <c r="AF8"/>
      <c r="AG8"/>
      <c r="AH8"/>
      <c r="AI8"/>
      <c r="AJ8"/>
      <c r="AK8"/>
      <c r="AL8"/>
      <c r="AM8"/>
      <c r="AN8"/>
      <c r="AO8"/>
      <c r="AP8"/>
      <c r="AQ8"/>
      <c r="AR8"/>
      <c r="AS8"/>
      <c r="AT8"/>
      <c r="AU8"/>
      <c r="AV8"/>
      <c r="AW8"/>
    </row>
    <row r="9" spans="1:49" s="122" customFormat="1" ht="23.25" customHeight="1">
      <c r="A9" s="127" t="s">
        <v>16</v>
      </c>
      <c r="B9" s="179"/>
      <c r="C9" s="311"/>
      <c r="D9" s="179"/>
      <c r="E9" s="311"/>
      <c r="F9" s="179"/>
      <c r="G9" s="311"/>
      <c r="H9" s="179"/>
      <c r="I9" s="311"/>
      <c r="J9" s="179"/>
      <c r="K9" s="311"/>
      <c r="L9" s="179"/>
      <c r="M9" s="311"/>
      <c r="N9" s="179"/>
      <c r="O9" s="311"/>
      <c r="P9" s="179"/>
      <c r="Q9" s="311"/>
      <c r="R9" s="177"/>
      <c r="S9" s="324"/>
      <c r="T9"/>
      <c r="U9"/>
      <c r="V9"/>
      <c r="W9"/>
      <c r="X9"/>
      <c r="Y9"/>
      <c r="Z9"/>
      <c r="AA9"/>
      <c r="AB9"/>
      <c r="AC9"/>
      <c r="AD9"/>
      <c r="AE9"/>
      <c r="AF9"/>
      <c r="AG9"/>
      <c r="AH9"/>
      <c r="AI9"/>
      <c r="AJ9"/>
      <c r="AK9"/>
      <c r="AL9"/>
      <c r="AM9"/>
      <c r="AN9"/>
      <c r="AO9"/>
      <c r="AP9"/>
      <c r="AQ9"/>
      <c r="AR9"/>
      <c r="AS9"/>
      <c r="AT9"/>
      <c r="AU9"/>
      <c r="AV9"/>
      <c r="AW9"/>
    </row>
    <row r="10" spans="1:49" s="122" customFormat="1" ht="19.5" customHeight="1">
      <c r="A10" s="126" t="s">
        <v>95</v>
      </c>
      <c r="B10" s="174">
        <v>2</v>
      </c>
      <c r="C10" s="310">
        <v>256.9</v>
      </c>
      <c r="D10" s="174"/>
      <c r="E10" s="310"/>
      <c r="F10" s="174"/>
      <c r="G10" s="310"/>
      <c r="H10" s="174">
        <v>1</v>
      </c>
      <c r="I10" s="310">
        <v>59</v>
      </c>
      <c r="J10" s="174"/>
      <c r="K10" s="310"/>
      <c r="L10" s="174">
        <v>1</v>
      </c>
      <c r="M10" s="310">
        <v>129.8</v>
      </c>
      <c r="N10" s="174">
        <v>1</v>
      </c>
      <c r="O10" s="310">
        <v>154.7</v>
      </c>
      <c r="P10" s="174">
        <v>1</v>
      </c>
      <c r="Q10" s="310">
        <v>231.4</v>
      </c>
      <c r="R10" s="176">
        <f aca="true" t="shared" si="1" ref="R10:S13">SUM(B10,J10,N10,D10,F10,H10,L10,P10)</f>
        <v>6</v>
      </c>
      <c r="S10" s="764">
        <f t="shared" si="1"/>
        <v>831.8</v>
      </c>
      <c r="T10"/>
      <c r="U10"/>
      <c r="V10"/>
      <c r="W10"/>
      <c r="X10"/>
      <c r="Y10"/>
      <c r="Z10"/>
      <c r="AA10"/>
      <c r="AB10"/>
      <c r="AC10"/>
      <c r="AD10"/>
      <c r="AE10"/>
      <c r="AF10"/>
      <c r="AG10"/>
      <c r="AH10"/>
      <c r="AI10"/>
      <c r="AJ10"/>
      <c r="AK10"/>
      <c r="AL10"/>
      <c r="AM10"/>
      <c r="AN10"/>
      <c r="AO10"/>
      <c r="AP10"/>
      <c r="AQ10"/>
      <c r="AR10"/>
      <c r="AS10"/>
      <c r="AT10"/>
      <c r="AU10"/>
      <c r="AV10"/>
      <c r="AW10"/>
    </row>
    <row r="11" spans="1:49" s="122" customFormat="1" ht="19.5" customHeight="1">
      <c r="A11" s="126" t="s">
        <v>121</v>
      </c>
      <c r="B11" s="174">
        <v>1</v>
      </c>
      <c r="C11" s="310">
        <v>58.2</v>
      </c>
      <c r="D11" s="174"/>
      <c r="E11" s="310"/>
      <c r="F11" s="174"/>
      <c r="G11" s="310"/>
      <c r="H11" s="174"/>
      <c r="I11" s="310"/>
      <c r="J11" s="174"/>
      <c r="K11" s="310"/>
      <c r="L11" s="174"/>
      <c r="M11" s="310"/>
      <c r="N11" s="174"/>
      <c r="O11" s="310"/>
      <c r="P11" s="174"/>
      <c r="Q11" s="310"/>
      <c r="R11" s="176">
        <f t="shared" si="1"/>
        <v>1</v>
      </c>
      <c r="S11" s="764">
        <f t="shared" si="1"/>
        <v>58.2</v>
      </c>
      <c r="T11"/>
      <c r="U11"/>
      <c r="V11"/>
      <c r="W11"/>
      <c r="X11"/>
      <c r="Y11"/>
      <c r="Z11"/>
      <c r="AA11"/>
      <c r="AB11"/>
      <c r="AC11"/>
      <c r="AD11"/>
      <c r="AE11"/>
      <c r="AF11"/>
      <c r="AG11"/>
      <c r="AH11"/>
      <c r="AI11"/>
      <c r="AJ11"/>
      <c r="AK11"/>
      <c r="AL11"/>
      <c r="AM11"/>
      <c r="AN11"/>
      <c r="AO11"/>
      <c r="AP11"/>
      <c r="AQ11"/>
      <c r="AR11"/>
      <c r="AS11"/>
      <c r="AT11"/>
      <c r="AU11"/>
      <c r="AV11"/>
      <c r="AW11"/>
    </row>
    <row r="12" spans="1:49" s="122" customFormat="1" ht="19.5" customHeight="1">
      <c r="A12" s="126" t="s">
        <v>96</v>
      </c>
      <c r="B12" s="174">
        <v>5</v>
      </c>
      <c r="C12" s="310">
        <v>592.5</v>
      </c>
      <c r="D12" s="174"/>
      <c r="E12" s="310"/>
      <c r="F12" s="174"/>
      <c r="G12" s="310"/>
      <c r="H12" s="174">
        <v>4</v>
      </c>
      <c r="I12" s="310">
        <v>297.8</v>
      </c>
      <c r="J12" s="174">
        <v>1</v>
      </c>
      <c r="K12" s="310">
        <v>110.6</v>
      </c>
      <c r="L12" s="174">
        <v>2</v>
      </c>
      <c r="M12" s="310">
        <v>193.5</v>
      </c>
      <c r="N12" s="174">
        <v>1</v>
      </c>
      <c r="O12" s="310">
        <v>135.3</v>
      </c>
      <c r="P12" s="174">
        <v>1</v>
      </c>
      <c r="Q12" s="310">
        <v>210.5</v>
      </c>
      <c r="R12" s="176">
        <f t="shared" si="1"/>
        <v>14</v>
      </c>
      <c r="S12" s="764">
        <f t="shared" si="1"/>
        <v>1540.2</v>
      </c>
      <c r="T12"/>
      <c r="U12"/>
      <c r="V12"/>
      <c r="W12"/>
      <c r="X12"/>
      <c r="Y12"/>
      <c r="Z12"/>
      <c r="AA12"/>
      <c r="AB12"/>
      <c r="AC12"/>
      <c r="AD12"/>
      <c r="AE12"/>
      <c r="AF12"/>
      <c r="AG12"/>
      <c r="AH12"/>
      <c r="AI12"/>
      <c r="AJ12"/>
      <c r="AK12"/>
      <c r="AL12"/>
      <c r="AM12"/>
      <c r="AN12"/>
      <c r="AO12"/>
      <c r="AP12"/>
      <c r="AQ12"/>
      <c r="AR12"/>
      <c r="AS12"/>
      <c r="AT12"/>
      <c r="AU12"/>
      <c r="AV12"/>
      <c r="AW12"/>
    </row>
    <row r="13" spans="1:49" s="122" customFormat="1" ht="19.5" customHeight="1">
      <c r="A13" s="16" t="s">
        <v>91</v>
      </c>
      <c r="B13" s="325">
        <v>4</v>
      </c>
      <c r="C13" s="326">
        <v>418.2</v>
      </c>
      <c r="D13" s="325"/>
      <c r="E13" s="326"/>
      <c r="F13" s="325"/>
      <c r="G13" s="326"/>
      <c r="H13" s="325">
        <v>1</v>
      </c>
      <c r="I13" s="326">
        <v>118.5</v>
      </c>
      <c r="J13" s="325">
        <v>1</v>
      </c>
      <c r="K13" s="326">
        <v>137.2</v>
      </c>
      <c r="L13" s="325">
        <v>1</v>
      </c>
      <c r="M13" s="326">
        <v>79.2</v>
      </c>
      <c r="N13" s="325"/>
      <c r="O13" s="326"/>
      <c r="P13" s="325"/>
      <c r="Q13" s="326"/>
      <c r="R13" s="176">
        <f t="shared" si="1"/>
        <v>7</v>
      </c>
      <c r="S13" s="764">
        <f t="shared" si="1"/>
        <v>753.1</v>
      </c>
      <c r="T13"/>
      <c r="U13"/>
      <c r="V13"/>
      <c r="W13"/>
      <c r="X13"/>
      <c r="Y13"/>
      <c r="Z13"/>
      <c r="AA13"/>
      <c r="AB13"/>
      <c r="AC13"/>
      <c r="AD13"/>
      <c r="AE13"/>
      <c r="AF13"/>
      <c r="AG13"/>
      <c r="AH13"/>
      <c r="AI13"/>
      <c r="AJ13"/>
      <c r="AK13"/>
      <c r="AL13"/>
      <c r="AM13"/>
      <c r="AN13"/>
      <c r="AO13"/>
      <c r="AP13"/>
      <c r="AQ13"/>
      <c r="AR13"/>
      <c r="AS13"/>
      <c r="AT13"/>
      <c r="AU13"/>
      <c r="AV13"/>
      <c r="AW13"/>
    </row>
    <row r="14" spans="1:49" s="122" customFormat="1" ht="23.25" customHeight="1">
      <c r="A14" s="127" t="s">
        <v>21</v>
      </c>
      <c r="B14" s="179"/>
      <c r="C14" s="311"/>
      <c r="D14" s="179"/>
      <c r="E14" s="311"/>
      <c r="F14" s="179"/>
      <c r="G14" s="311"/>
      <c r="H14" s="179"/>
      <c r="I14" s="311"/>
      <c r="J14" s="179"/>
      <c r="K14" s="311"/>
      <c r="L14" s="179"/>
      <c r="M14" s="311"/>
      <c r="N14" s="179"/>
      <c r="O14" s="311"/>
      <c r="P14" s="179"/>
      <c r="Q14" s="311"/>
      <c r="R14" s="177"/>
      <c r="S14" s="324"/>
      <c r="T14"/>
      <c r="U14"/>
      <c r="V14"/>
      <c r="W14"/>
      <c r="X14"/>
      <c r="Y14"/>
      <c r="Z14"/>
      <c r="AA14"/>
      <c r="AB14"/>
      <c r="AC14"/>
      <c r="AD14"/>
      <c r="AE14"/>
      <c r="AF14"/>
      <c r="AG14"/>
      <c r="AH14"/>
      <c r="AI14"/>
      <c r="AJ14"/>
      <c r="AK14"/>
      <c r="AL14"/>
      <c r="AM14"/>
      <c r="AN14"/>
      <c r="AO14"/>
      <c r="AP14"/>
      <c r="AQ14"/>
      <c r="AR14"/>
      <c r="AS14"/>
      <c r="AT14"/>
      <c r="AU14"/>
      <c r="AV14"/>
      <c r="AW14"/>
    </row>
    <row r="15" spans="1:49" s="122" customFormat="1" ht="20.25" customHeight="1">
      <c r="A15" s="126" t="s">
        <v>94</v>
      </c>
      <c r="B15" s="174">
        <v>3</v>
      </c>
      <c r="C15" s="310">
        <v>254.7</v>
      </c>
      <c r="D15" s="174"/>
      <c r="E15" s="310"/>
      <c r="F15" s="174"/>
      <c r="G15" s="310"/>
      <c r="H15" s="174">
        <v>3</v>
      </c>
      <c r="I15" s="310">
        <v>281</v>
      </c>
      <c r="J15" s="174">
        <v>1</v>
      </c>
      <c r="K15" s="310">
        <v>119</v>
      </c>
      <c r="L15" s="174">
        <v>3</v>
      </c>
      <c r="M15" s="310">
        <v>374.8</v>
      </c>
      <c r="N15" s="174">
        <v>1</v>
      </c>
      <c r="O15" s="310">
        <v>154.8</v>
      </c>
      <c r="P15" s="174"/>
      <c r="Q15" s="310"/>
      <c r="R15" s="176">
        <f>SUM(B15,J15,N15,D15,F15,H15,L15,P15)</f>
        <v>11</v>
      </c>
      <c r="S15" s="764">
        <f>SUM(C15,K15,O15,E15,G15,I15,M15,Q15)</f>
        <v>1184.3</v>
      </c>
      <c r="T15"/>
      <c r="U15"/>
      <c r="V15"/>
      <c r="W15"/>
      <c r="X15"/>
      <c r="Y15"/>
      <c r="Z15"/>
      <c r="AA15"/>
      <c r="AB15"/>
      <c r="AC15"/>
      <c r="AD15"/>
      <c r="AE15"/>
      <c r="AF15"/>
      <c r="AG15"/>
      <c r="AH15"/>
      <c r="AI15"/>
      <c r="AJ15"/>
      <c r="AK15"/>
      <c r="AL15"/>
      <c r="AM15"/>
      <c r="AN15"/>
      <c r="AO15"/>
      <c r="AP15"/>
      <c r="AQ15"/>
      <c r="AR15"/>
      <c r="AS15"/>
      <c r="AT15"/>
      <c r="AU15"/>
      <c r="AV15"/>
      <c r="AW15"/>
    </row>
    <row r="16" spans="1:49" s="122" customFormat="1" ht="20.25" customHeight="1">
      <c r="A16" s="128" t="s">
        <v>90</v>
      </c>
      <c r="B16" s="325">
        <v>2</v>
      </c>
      <c r="C16" s="326">
        <v>312.9</v>
      </c>
      <c r="D16" s="325"/>
      <c r="E16" s="326"/>
      <c r="F16" s="325"/>
      <c r="G16" s="326"/>
      <c r="H16" s="325">
        <v>1</v>
      </c>
      <c r="I16" s="326">
        <v>117.2</v>
      </c>
      <c r="J16" s="325">
        <v>1</v>
      </c>
      <c r="K16" s="326">
        <v>126.6</v>
      </c>
      <c r="L16" s="325">
        <v>1</v>
      </c>
      <c r="M16" s="326">
        <v>194.7</v>
      </c>
      <c r="N16" s="325"/>
      <c r="O16" s="326"/>
      <c r="P16" s="325"/>
      <c r="Q16" s="326"/>
      <c r="R16" s="327">
        <f>SUM(B16,J16,N16,D16,F16,H16,L16,P16)</f>
        <v>5</v>
      </c>
      <c r="S16" s="765">
        <f>SUM(C16,K16,O16,E16,G16,I16,M16,Q16)</f>
        <v>751.4000000000001</v>
      </c>
      <c r="T16"/>
      <c r="U16"/>
      <c r="V16"/>
      <c r="W16"/>
      <c r="X16"/>
      <c r="Y16"/>
      <c r="Z16"/>
      <c r="AA16"/>
      <c r="AB16"/>
      <c r="AC16"/>
      <c r="AD16"/>
      <c r="AE16"/>
      <c r="AF16"/>
      <c r="AG16"/>
      <c r="AH16"/>
      <c r="AI16"/>
      <c r="AJ16"/>
      <c r="AK16"/>
      <c r="AL16"/>
      <c r="AM16"/>
      <c r="AN16"/>
      <c r="AO16"/>
      <c r="AP16"/>
      <c r="AQ16"/>
      <c r="AR16"/>
      <c r="AS16"/>
      <c r="AT16"/>
      <c r="AU16"/>
      <c r="AV16"/>
      <c r="AW16"/>
    </row>
    <row r="17" spans="1:49" s="122" customFormat="1" ht="23.25" customHeight="1">
      <c r="A17" s="129" t="s">
        <v>24</v>
      </c>
      <c r="B17" s="173"/>
      <c r="C17" s="312"/>
      <c r="D17" s="173"/>
      <c r="E17" s="312"/>
      <c r="F17" s="173"/>
      <c r="G17" s="312"/>
      <c r="H17" s="173"/>
      <c r="I17" s="312"/>
      <c r="J17" s="173"/>
      <c r="K17" s="312"/>
      <c r="L17" s="173"/>
      <c r="M17" s="312"/>
      <c r="N17" s="173"/>
      <c r="O17" s="312"/>
      <c r="P17" s="173"/>
      <c r="Q17" s="312"/>
      <c r="R17" s="176"/>
      <c r="S17" s="323"/>
      <c r="T17"/>
      <c r="U17"/>
      <c r="V17"/>
      <c r="W17"/>
      <c r="X17"/>
      <c r="Y17"/>
      <c r="Z17"/>
      <c r="AA17"/>
      <c r="AB17"/>
      <c r="AC17"/>
      <c r="AD17"/>
      <c r="AE17"/>
      <c r="AF17"/>
      <c r="AG17"/>
      <c r="AH17"/>
      <c r="AI17"/>
      <c r="AJ17"/>
      <c r="AK17"/>
      <c r="AL17"/>
      <c r="AM17"/>
      <c r="AN17"/>
      <c r="AO17"/>
      <c r="AP17"/>
      <c r="AQ17"/>
      <c r="AR17"/>
      <c r="AS17"/>
      <c r="AT17"/>
      <c r="AU17"/>
      <c r="AV17"/>
      <c r="AW17"/>
    </row>
    <row r="18" spans="1:49" s="122" customFormat="1" ht="20.25" customHeight="1">
      <c r="A18" s="126" t="s">
        <v>97</v>
      </c>
      <c r="B18" s="174">
        <v>1</v>
      </c>
      <c r="C18" s="310">
        <v>61.7</v>
      </c>
      <c r="D18" s="174"/>
      <c r="E18" s="310"/>
      <c r="F18" s="174"/>
      <c r="G18" s="310"/>
      <c r="H18" s="174"/>
      <c r="I18" s="310"/>
      <c r="J18" s="174"/>
      <c r="K18" s="310"/>
      <c r="L18" s="174"/>
      <c r="M18" s="310"/>
      <c r="N18" s="174"/>
      <c r="O18" s="310"/>
      <c r="P18" s="174"/>
      <c r="Q18" s="310"/>
      <c r="R18" s="176">
        <f aca="true" t="shared" si="2" ref="R18:R25">SUM(B18,J18,N18,D18,F18,H18,L18,P18)</f>
        <v>1</v>
      </c>
      <c r="S18" s="764">
        <f aca="true" t="shared" si="3" ref="S18:S25">SUM(C18,K18,O18,E18,G18,I18,M18,Q18)</f>
        <v>61.7</v>
      </c>
      <c r="T18"/>
      <c r="U18"/>
      <c r="V18"/>
      <c r="W18"/>
      <c r="X18"/>
      <c r="Y18"/>
      <c r="Z18"/>
      <c r="AA18"/>
      <c r="AB18"/>
      <c r="AC18"/>
      <c r="AD18"/>
      <c r="AE18"/>
      <c r="AF18"/>
      <c r="AG18"/>
      <c r="AH18"/>
      <c r="AI18"/>
      <c r="AJ18"/>
      <c r="AK18"/>
      <c r="AL18"/>
      <c r="AM18"/>
      <c r="AN18"/>
      <c r="AO18"/>
      <c r="AP18"/>
      <c r="AQ18"/>
      <c r="AR18"/>
      <c r="AS18"/>
      <c r="AT18"/>
      <c r="AU18"/>
      <c r="AV18"/>
      <c r="AW18"/>
    </row>
    <row r="19" spans="1:49" s="122" customFormat="1" ht="20.25" customHeight="1">
      <c r="A19" s="126" t="s">
        <v>98</v>
      </c>
      <c r="B19" s="174">
        <v>5</v>
      </c>
      <c r="C19" s="310">
        <v>583.1</v>
      </c>
      <c r="D19" s="174"/>
      <c r="E19" s="310"/>
      <c r="F19" s="174"/>
      <c r="G19" s="310"/>
      <c r="H19" s="174"/>
      <c r="I19" s="310"/>
      <c r="J19" s="174"/>
      <c r="K19" s="310"/>
      <c r="L19" s="174"/>
      <c r="M19" s="310"/>
      <c r="N19" s="174">
        <v>1</v>
      </c>
      <c r="O19" s="310">
        <v>155.8</v>
      </c>
      <c r="P19" s="174"/>
      <c r="Q19" s="310"/>
      <c r="R19" s="176">
        <f t="shared" si="2"/>
        <v>6</v>
      </c>
      <c r="S19" s="764">
        <f t="shared" si="3"/>
        <v>738.9000000000001</v>
      </c>
      <c r="T19"/>
      <c r="U19"/>
      <c r="V19"/>
      <c r="W19"/>
      <c r="X19"/>
      <c r="Y19"/>
      <c r="Z19"/>
      <c r="AA19"/>
      <c r="AB19"/>
      <c r="AC19"/>
      <c r="AD19"/>
      <c r="AE19"/>
      <c r="AF19"/>
      <c r="AG19"/>
      <c r="AH19"/>
      <c r="AI19"/>
      <c r="AJ19"/>
      <c r="AK19"/>
      <c r="AL19"/>
      <c r="AM19"/>
      <c r="AN19"/>
      <c r="AO19"/>
      <c r="AP19"/>
      <c r="AQ19"/>
      <c r="AR19"/>
      <c r="AS19"/>
      <c r="AT19"/>
      <c r="AU19"/>
      <c r="AV19"/>
      <c r="AW19"/>
    </row>
    <row r="20" spans="1:49" s="122" customFormat="1" ht="20.25" customHeight="1">
      <c r="A20" s="126" t="s">
        <v>93</v>
      </c>
      <c r="B20" s="174"/>
      <c r="C20" s="310"/>
      <c r="D20" s="174"/>
      <c r="E20" s="310"/>
      <c r="F20" s="174"/>
      <c r="G20" s="310"/>
      <c r="H20" s="174"/>
      <c r="I20" s="310"/>
      <c r="J20" s="174"/>
      <c r="K20" s="310"/>
      <c r="L20" s="174">
        <v>1</v>
      </c>
      <c r="M20" s="310">
        <v>77.5</v>
      </c>
      <c r="N20" s="174"/>
      <c r="O20" s="310"/>
      <c r="P20" s="174"/>
      <c r="Q20" s="310"/>
      <c r="R20" s="176">
        <f t="shared" si="2"/>
        <v>1</v>
      </c>
      <c r="S20" s="764">
        <f t="shared" si="3"/>
        <v>77.5</v>
      </c>
      <c r="T20"/>
      <c r="U20"/>
      <c r="V20"/>
      <c r="W20"/>
      <c r="X20"/>
      <c r="Y20"/>
      <c r="Z20"/>
      <c r="AA20"/>
      <c r="AB20"/>
      <c r="AC20"/>
      <c r="AD20"/>
      <c r="AE20"/>
      <c r="AF20"/>
      <c r="AG20"/>
      <c r="AH20"/>
      <c r="AI20"/>
      <c r="AJ20"/>
      <c r="AK20"/>
      <c r="AL20"/>
      <c r="AM20"/>
      <c r="AN20"/>
      <c r="AO20"/>
      <c r="AP20"/>
      <c r="AQ20"/>
      <c r="AR20"/>
      <c r="AS20"/>
      <c r="AT20"/>
      <c r="AU20"/>
      <c r="AV20"/>
      <c r="AW20"/>
    </row>
    <row r="21" spans="1:49" s="122" customFormat="1" ht="20.25" customHeight="1">
      <c r="A21" s="126" t="s">
        <v>122</v>
      </c>
      <c r="B21" s="174">
        <v>2</v>
      </c>
      <c r="C21" s="310">
        <v>256.1</v>
      </c>
      <c r="D21" s="174"/>
      <c r="E21" s="310"/>
      <c r="F21" s="174"/>
      <c r="G21" s="310"/>
      <c r="H21" s="174"/>
      <c r="I21" s="310"/>
      <c r="J21" s="174"/>
      <c r="K21" s="310"/>
      <c r="L21" s="174"/>
      <c r="M21" s="310"/>
      <c r="N21" s="174"/>
      <c r="O21" s="310"/>
      <c r="P21" s="174"/>
      <c r="Q21" s="310"/>
      <c r="R21" s="176">
        <f>SUM(B21,J21,N21,D21,F21,H21,L21,P21)</f>
        <v>2</v>
      </c>
      <c r="S21" s="764">
        <f>SUM(C21,K21,O21,E21,G21,I21,M21,Q21)</f>
        <v>256.1</v>
      </c>
      <c r="T21"/>
      <c r="U21"/>
      <c r="V21"/>
      <c r="W21"/>
      <c r="X21"/>
      <c r="Y21"/>
      <c r="Z21"/>
      <c r="AA21"/>
      <c r="AB21"/>
      <c r="AC21"/>
      <c r="AD21"/>
      <c r="AE21"/>
      <c r="AF21"/>
      <c r="AG21"/>
      <c r="AH21"/>
      <c r="AI21"/>
      <c r="AJ21"/>
      <c r="AK21"/>
      <c r="AL21"/>
      <c r="AM21"/>
      <c r="AN21"/>
      <c r="AO21"/>
      <c r="AP21"/>
      <c r="AQ21"/>
      <c r="AR21"/>
      <c r="AS21"/>
      <c r="AT21"/>
      <c r="AU21"/>
      <c r="AV21"/>
      <c r="AW21"/>
    </row>
    <row r="22" spans="1:49" s="122" customFormat="1" ht="20.25" customHeight="1">
      <c r="A22" s="126" t="s">
        <v>123</v>
      </c>
      <c r="B22" s="174"/>
      <c r="C22" s="310"/>
      <c r="D22" s="174"/>
      <c r="E22" s="310"/>
      <c r="F22" s="174"/>
      <c r="G22" s="310"/>
      <c r="H22" s="174"/>
      <c r="I22" s="310"/>
      <c r="J22" s="174"/>
      <c r="K22" s="310"/>
      <c r="L22" s="174">
        <v>1</v>
      </c>
      <c r="M22" s="310">
        <v>101.7</v>
      </c>
      <c r="N22" s="174"/>
      <c r="O22" s="310"/>
      <c r="P22" s="174"/>
      <c r="Q22" s="310"/>
      <c r="R22" s="176">
        <f>SUM(B22,J22,N22,D22,F22,H22,L22,P22)</f>
        <v>1</v>
      </c>
      <c r="S22" s="764">
        <f>SUM(C22,K22,O22,E22,G22,I22,M22,Q22)</f>
        <v>101.7</v>
      </c>
      <c r="T22"/>
      <c r="U22"/>
      <c r="V22"/>
      <c r="W22"/>
      <c r="X22"/>
      <c r="Y22"/>
      <c r="Z22"/>
      <c r="AA22"/>
      <c r="AB22"/>
      <c r="AC22"/>
      <c r="AD22"/>
      <c r="AE22"/>
      <c r="AF22"/>
      <c r="AG22"/>
      <c r="AH22"/>
      <c r="AI22"/>
      <c r="AJ22"/>
      <c r="AK22"/>
      <c r="AL22"/>
      <c r="AM22"/>
      <c r="AN22"/>
      <c r="AO22"/>
      <c r="AP22"/>
      <c r="AQ22"/>
      <c r="AR22"/>
      <c r="AS22"/>
      <c r="AT22"/>
      <c r="AU22"/>
      <c r="AV22"/>
      <c r="AW22"/>
    </row>
    <row r="23" spans="1:49" s="122" customFormat="1" ht="20.25" customHeight="1">
      <c r="A23" s="126" t="s">
        <v>124</v>
      </c>
      <c r="B23" s="174">
        <v>3</v>
      </c>
      <c r="C23" s="310">
        <v>471.5</v>
      </c>
      <c r="D23" s="174"/>
      <c r="E23" s="310"/>
      <c r="F23" s="174"/>
      <c r="G23" s="310"/>
      <c r="H23" s="174">
        <v>2</v>
      </c>
      <c r="I23" s="310">
        <v>177.2</v>
      </c>
      <c r="J23" s="174"/>
      <c r="K23" s="310"/>
      <c r="L23" s="174"/>
      <c r="M23" s="310"/>
      <c r="N23" s="174"/>
      <c r="O23" s="310"/>
      <c r="P23" s="174"/>
      <c r="Q23" s="310"/>
      <c r="R23" s="176">
        <f t="shared" si="2"/>
        <v>5</v>
      </c>
      <c r="S23" s="764">
        <f t="shared" si="3"/>
        <v>648.7</v>
      </c>
      <c r="T23"/>
      <c r="U23"/>
      <c r="V23"/>
      <c r="W23"/>
      <c r="X23"/>
      <c r="Y23"/>
      <c r="Z23"/>
      <c r="AA23"/>
      <c r="AB23"/>
      <c r="AC23"/>
      <c r="AD23"/>
      <c r="AE23"/>
      <c r="AF23"/>
      <c r="AG23"/>
      <c r="AH23"/>
      <c r="AI23"/>
      <c r="AJ23"/>
      <c r="AK23"/>
      <c r="AL23"/>
      <c r="AM23"/>
      <c r="AN23"/>
      <c r="AO23"/>
      <c r="AP23"/>
      <c r="AQ23"/>
      <c r="AR23"/>
      <c r="AS23"/>
      <c r="AT23"/>
      <c r="AU23"/>
      <c r="AV23"/>
      <c r="AW23"/>
    </row>
    <row r="24" spans="1:49" s="122" customFormat="1" ht="20.25" customHeight="1">
      <c r="A24" s="126" t="s">
        <v>125</v>
      </c>
      <c r="B24" s="174">
        <v>4</v>
      </c>
      <c r="C24" s="310">
        <v>484.1</v>
      </c>
      <c r="D24" s="174"/>
      <c r="E24" s="310"/>
      <c r="F24" s="174"/>
      <c r="G24" s="310"/>
      <c r="H24" s="174">
        <v>1</v>
      </c>
      <c r="I24" s="310">
        <v>143.6</v>
      </c>
      <c r="J24" s="174"/>
      <c r="K24" s="310"/>
      <c r="L24" s="174">
        <v>3</v>
      </c>
      <c r="M24" s="310">
        <v>304.2</v>
      </c>
      <c r="N24" s="174">
        <v>1</v>
      </c>
      <c r="O24" s="310">
        <v>161.6</v>
      </c>
      <c r="P24" s="174"/>
      <c r="Q24" s="310"/>
      <c r="R24" s="176">
        <f t="shared" si="2"/>
        <v>9</v>
      </c>
      <c r="S24" s="764">
        <f t="shared" si="3"/>
        <v>1093.5</v>
      </c>
      <c r="T24"/>
      <c r="U24"/>
      <c r="V24"/>
      <c r="W24"/>
      <c r="X24"/>
      <c r="Y24"/>
      <c r="Z24"/>
      <c r="AA24"/>
      <c r="AB24"/>
      <c r="AC24"/>
      <c r="AD24"/>
      <c r="AE24"/>
      <c r="AF24"/>
      <c r="AG24"/>
      <c r="AH24"/>
      <c r="AI24"/>
      <c r="AJ24"/>
      <c r="AK24"/>
      <c r="AL24"/>
      <c r="AM24"/>
      <c r="AN24"/>
      <c r="AO24"/>
      <c r="AP24"/>
      <c r="AQ24"/>
      <c r="AR24"/>
      <c r="AS24"/>
      <c r="AT24"/>
      <c r="AU24"/>
      <c r="AV24"/>
      <c r="AW24"/>
    </row>
    <row r="25" spans="1:49" s="122" customFormat="1" ht="20.25" customHeight="1">
      <c r="A25" s="126" t="s">
        <v>99</v>
      </c>
      <c r="B25" s="174">
        <v>5</v>
      </c>
      <c r="C25" s="310">
        <v>593.8</v>
      </c>
      <c r="D25" s="174"/>
      <c r="E25" s="310"/>
      <c r="F25" s="174"/>
      <c r="G25" s="310"/>
      <c r="H25" s="174">
        <v>2</v>
      </c>
      <c r="I25" s="310">
        <v>163.4</v>
      </c>
      <c r="J25" s="174">
        <v>1</v>
      </c>
      <c r="K25" s="310">
        <v>111.6</v>
      </c>
      <c r="L25" s="174">
        <v>1</v>
      </c>
      <c r="M25" s="310">
        <v>133.6</v>
      </c>
      <c r="N25" s="174">
        <v>1</v>
      </c>
      <c r="O25" s="310">
        <v>151.4</v>
      </c>
      <c r="P25" s="174">
        <v>1</v>
      </c>
      <c r="Q25" s="310">
        <v>216</v>
      </c>
      <c r="R25" s="176">
        <f t="shared" si="2"/>
        <v>11</v>
      </c>
      <c r="S25" s="764">
        <f t="shared" si="3"/>
        <v>1369.8</v>
      </c>
      <c r="T25"/>
      <c r="U25"/>
      <c r="V25"/>
      <c r="W25"/>
      <c r="X25"/>
      <c r="Y25"/>
      <c r="Z25"/>
      <c r="AA25"/>
      <c r="AB25"/>
      <c r="AC25"/>
      <c r="AD25"/>
      <c r="AE25"/>
      <c r="AF25"/>
      <c r="AG25"/>
      <c r="AH25"/>
      <c r="AI25"/>
      <c r="AJ25"/>
      <c r="AK25"/>
      <c r="AL25"/>
      <c r="AM25"/>
      <c r="AN25"/>
      <c r="AO25"/>
      <c r="AP25"/>
      <c r="AQ25"/>
      <c r="AR25"/>
      <c r="AS25"/>
      <c r="AT25"/>
      <c r="AU25"/>
      <c r="AV25"/>
      <c r="AW25"/>
    </row>
    <row r="26" spans="1:49" s="122" customFormat="1" ht="20.25" customHeight="1">
      <c r="A26" s="126" t="s">
        <v>126</v>
      </c>
      <c r="B26" s="174">
        <v>4</v>
      </c>
      <c r="C26" s="310">
        <v>387</v>
      </c>
      <c r="D26" s="174"/>
      <c r="E26" s="310"/>
      <c r="F26" s="174"/>
      <c r="G26" s="310"/>
      <c r="H26" s="174">
        <v>1</v>
      </c>
      <c r="I26" s="310">
        <v>75.9</v>
      </c>
      <c r="J26" s="174"/>
      <c r="K26" s="310"/>
      <c r="L26" s="174"/>
      <c r="M26" s="310"/>
      <c r="N26" s="174"/>
      <c r="O26" s="310"/>
      <c r="P26" s="174">
        <v>1</v>
      </c>
      <c r="Q26" s="310">
        <v>217.1</v>
      </c>
      <c r="R26" s="176">
        <f>SUM(B26,J26,N26,D26,F26,H26,L26,P26)</f>
        <v>6</v>
      </c>
      <c r="S26" s="764">
        <f>SUM(C26,K26,O26,E26,G26,I26,M26,Q26)</f>
        <v>680</v>
      </c>
      <c r="T26"/>
      <c r="U26"/>
      <c r="V26"/>
      <c r="W26"/>
      <c r="X26"/>
      <c r="Y26"/>
      <c r="Z26"/>
      <c r="AA26"/>
      <c r="AB26"/>
      <c r="AC26"/>
      <c r="AD26"/>
      <c r="AE26"/>
      <c r="AF26"/>
      <c r="AG26"/>
      <c r="AH26"/>
      <c r="AI26"/>
      <c r="AJ26"/>
      <c r="AK26"/>
      <c r="AL26"/>
      <c r="AM26"/>
      <c r="AN26"/>
      <c r="AO26"/>
      <c r="AP26"/>
      <c r="AQ26"/>
      <c r="AR26"/>
      <c r="AS26"/>
      <c r="AT26"/>
      <c r="AU26"/>
      <c r="AV26"/>
      <c r="AW26"/>
    </row>
    <row r="27" spans="1:49" s="714" customFormat="1" ht="20.25" customHeight="1">
      <c r="A27" s="128" t="s">
        <v>100</v>
      </c>
      <c r="B27" s="325">
        <v>7</v>
      </c>
      <c r="C27" s="326">
        <v>724.6</v>
      </c>
      <c r="D27" s="325"/>
      <c r="E27" s="326"/>
      <c r="F27" s="325"/>
      <c r="G27" s="326"/>
      <c r="H27" s="325">
        <v>3</v>
      </c>
      <c r="I27" s="326">
        <v>252.1</v>
      </c>
      <c r="J27" s="325">
        <v>1</v>
      </c>
      <c r="K27" s="326">
        <v>106.4</v>
      </c>
      <c r="L27" s="325">
        <v>5</v>
      </c>
      <c r="M27" s="326">
        <v>498.9</v>
      </c>
      <c r="N27" s="325">
        <v>1</v>
      </c>
      <c r="O27" s="326">
        <v>148.5</v>
      </c>
      <c r="P27" s="325">
        <v>1</v>
      </c>
      <c r="Q27" s="326">
        <v>215</v>
      </c>
      <c r="R27" s="327">
        <f>SUM(B27,J27,N27,D27,F27,H27,L27,P27)</f>
        <v>18</v>
      </c>
      <c r="S27" s="765">
        <f>SUM(C27,K27,O27,E27,G27,I27,M27,Q27)</f>
        <v>1945.5</v>
      </c>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row>
    <row r="28" spans="1:49" s="122" customFormat="1" ht="20.25" customHeight="1">
      <c r="A28" s="129" t="s">
        <v>165</v>
      </c>
      <c r="B28" s="178"/>
      <c r="C28" s="312"/>
      <c r="D28" s="178"/>
      <c r="E28" s="312"/>
      <c r="F28" s="178"/>
      <c r="G28" s="312"/>
      <c r="H28" s="178"/>
      <c r="I28" s="312"/>
      <c r="J28" s="178"/>
      <c r="K28" s="312"/>
      <c r="L28" s="178"/>
      <c r="M28" s="312"/>
      <c r="N28" s="178"/>
      <c r="O28" s="312"/>
      <c r="P28" s="178"/>
      <c r="Q28" s="312"/>
      <c r="R28" s="175"/>
      <c r="S28" s="318"/>
      <c r="T28"/>
      <c r="U28"/>
      <c r="V28"/>
      <c r="W28"/>
      <c r="X28"/>
      <c r="Y28"/>
      <c r="Z28"/>
      <c r="AA28"/>
      <c r="AB28"/>
      <c r="AC28"/>
      <c r="AD28"/>
      <c r="AE28"/>
      <c r="AF28"/>
      <c r="AG28"/>
      <c r="AH28"/>
      <c r="AI28"/>
      <c r="AJ28"/>
      <c r="AK28"/>
      <c r="AL28"/>
      <c r="AM28"/>
      <c r="AN28"/>
      <c r="AO28"/>
      <c r="AP28"/>
      <c r="AQ28"/>
      <c r="AR28"/>
      <c r="AS28"/>
      <c r="AT28"/>
      <c r="AU28"/>
      <c r="AV28"/>
      <c r="AW28"/>
    </row>
    <row r="29" spans="1:49" s="763" customFormat="1" ht="20.25" customHeight="1">
      <c r="A29" s="126" t="s">
        <v>215</v>
      </c>
      <c r="B29" s="174"/>
      <c r="C29" s="310"/>
      <c r="D29" s="174"/>
      <c r="E29" s="310"/>
      <c r="F29" s="174"/>
      <c r="G29" s="310"/>
      <c r="H29" s="174"/>
      <c r="I29" s="310"/>
      <c r="J29" s="174"/>
      <c r="K29" s="310"/>
      <c r="L29" s="174">
        <v>1</v>
      </c>
      <c r="M29" s="310">
        <v>139.1</v>
      </c>
      <c r="N29" s="174"/>
      <c r="O29" s="310"/>
      <c r="P29" s="174"/>
      <c r="Q29" s="310"/>
      <c r="R29" s="176">
        <f aca="true" t="shared" si="4" ref="R29:S31">SUM(B29,J29,N29,D29,F29,H29,L29,P29)</f>
        <v>1</v>
      </c>
      <c r="S29" s="764">
        <f t="shared" si="4"/>
        <v>139.1</v>
      </c>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row>
    <row r="30" spans="1:49" s="763" customFormat="1" ht="20.25" customHeight="1">
      <c r="A30" s="126" t="s">
        <v>155</v>
      </c>
      <c r="B30" s="174">
        <v>1</v>
      </c>
      <c r="C30" s="310">
        <v>154.9</v>
      </c>
      <c r="D30" s="174"/>
      <c r="E30" s="310"/>
      <c r="F30" s="174"/>
      <c r="G30" s="310"/>
      <c r="H30" s="174">
        <v>2</v>
      </c>
      <c r="I30" s="310">
        <v>329.9</v>
      </c>
      <c r="J30" s="174"/>
      <c r="K30" s="310"/>
      <c r="L30" s="174">
        <v>1</v>
      </c>
      <c r="M30" s="310">
        <v>168.4</v>
      </c>
      <c r="N30" s="174"/>
      <c r="O30" s="310"/>
      <c r="P30" s="174"/>
      <c r="Q30" s="310"/>
      <c r="R30" s="176">
        <f t="shared" si="4"/>
        <v>4</v>
      </c>
      <c r="S30" s="764">
        <f t="shared" si="4"/>
        <v>653.1999999999999</v>
      </c>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row>
    <row r="31" spans="1:49" s="763" customFormat="1" ht="20.25" customHeight="1">
      <c r="A31" s="128" t="s">
        <v>375</v>
      </c>
      <c r="B31" s="325">
        <v>2</v>
      </c>
      <c r="C31" s="326">
        <v>345.3</v>
      </c>
      <c r="D31" s="325"/>
      <c r="E31" s="326"/>
      <c r="F31" s="325"/>
      <c r="G31" s="326"/>
      <c r="H31" s="325"/>
      <c r="I31" s="326"/>
      <c r="J31" s="325"/>
      <c r="K31" s="326"/>
      <c r="L31" s="325"/>
      <c r="M31" s="326"/>
      <c r="N31" s="325"/>
      <c r="O31" s="326"/>
      <c r="P31" s="325"/>
      <c r="Q31" s="326"/>
      <c r="R31" s="327">
        <f t="shared" si="4"/>
        <v>2</v>
      </c>
      <c r="S31" s="765">
        <f t="shared" si="4"/>
        <v>345.3</v>
      </c>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row>
    <row r="32" spans="1:49" s="122" customFormat="1" ht="23.25" customHeight="1">
      <c r="A32" s="129" t="s">
        <v>69</v>
      </c>
      <c r="B32" s="174"/>
      <c r="C32" s="310"/>
      <c r="D32" s="174"/>
      <c r="E32" s="310"/>
      <c r="F32" s="174"/>
      <c r="G32" s="310"/>
      <c r="H32" s="174"/>
      <c r="I32" s="310"/>
      <c r="J32" s="174"/>
      <c r="K32" s="310"/>
      <c r="L32" s="174"/>
      <c r="M32" s="310"/>
      <c r="N32" s="174"/>
      <c r="O32" s="310"/>
      <c r="P32" s="174"/>
      <c r="Q32" s="310"/>
      <c r="R32" s="174"/>
      <c r="S32" s="310"/>
      <c r="T32"/>
      <c r="U32"/>
      <c r="V32"/>
      <c r="W32"/>
      <c r="X32"/>
      <c r="Y32"/>
      <c r="Z32"/>
      <c r="AA32"/>
      <c r="AB32"/>
      <c r="AC32"/>
      <c r="AD32"/>
      <c r="AE32"/>
      <c r="AF32"/>
      <c r="AG32"/>
      <c r="AH32"/>
      <c r="AI32"/>
      <c r="AJ32"/>
      <c r="AK32"/>
      <c r="AL32"/>
      <c r="AM32"/>
      <c r="AN32"/>
      <c r="AO32"/>
      <c r="AP32"/>
      <c r="AQ32"/>
      <c r="AR32"/>
      <c r="AS32"/>
      <c r="AT32"/>
      <c r="AU32"/>
      <c r="AV32"/>
      <c r="AW32"/>
    </row>
    <row r="33" spans="1:49" s="122" customFormat="1" ht="20.25" customHeight="1">
      <c r="A33" s="126" t="s">
        <v>166</v>
      </c>
      <c r="B33" s="174">
        <v>2</v>
      </c>
      <c r="C33" s="310">
        <v>388.6</v>
      </c>
      <c r="D33" s="174"/>
      <c r="E33" s="310"/>
      <c r="F33" s="174"/>
      <c r="G33" s="310"/>
      <c r="H33" s="174"/>
      <c r="I33" s="310"/>
      <c r="J33" s="174"/>
      <c r="K33" s="310"/>
      <c r="L33" s="174"/>
      <c r="M33" s="310"/>
      <c r="N33" s="174"/>
      <c r="O33" s="310"/>
      <c r="P33" s="174">
        <v>1</v>
      </c>
      <c r="Q33" s="310">
        <v>229.4</v>
      </c>
      <c r="R33" s="176">
        <f aca="true" t="shared" si="5" ref="R33:R51">SUM(B33,J33,N33,D33,F33,H33,L33,P33)</f>
        <v>3</v>
      </c>
      <c r="S33" s="764">
        <f aca="true" t="shared" si="6" ref="S33:S51">SUM(C33,K33,O33,E33,G33,I33,M33,Q33)</f>
        <v>618</v>
      </c>
      <c r="T33"/>
      <c r="U33"/>
      <c r="V33"/>
      <c r="W33"/>
      <c r="X33"/>
      <c r="Y33"/>
      <c r="Z33"/>
      <c r="AA33"/>
      <c r="AB33"/>
      <c r="AC33"/>
      <c r="AD33"/>
      <c r="AE33"/>
      <c r="AF33"/>
      <c r="AG33"/>
      <c r="AH33"/>
      <c r="AI33"/>
      <c r="AJ33"/>
      <c r="AK33"/>
      <c r="AL33"/>
      <c r="AM33"/>
      <c r="AN33"/>
      <c r="AO33"/>
      <c r="AP33"/>
      <c r="AQ33"/>
      <c r="AR33"/>
      <c r="AS33"/>
      <c r="AT33"/>
      <c r="AU33"/>
      <c r="AV33"/>
      <c r="AW33"/>
    </row>
    <row r="34" spans="1:49" s="122" customFormat="1" ht="20.25" customHeight="1">
      <c r="A34" s="126" t="s">
        <v>242</v>
      </c>
      <c r="B34" s="174">
        <v>3</v>
      </c>
      <c r="C34" s="310">
        <v>480.1</v>
      </c>
      <c r="D34" s="174"/>
      <c r="E34" s="310"/>
      <c r="F34" s="174"/>
      <c r="G34" s="310"/>
      <c r="H34" s="174"/>
      <c r="I34" s="310"/>
      <c r="J34" s="174"/>
      <c r="K34" s="310"/>
      <c r="L34" s="174">
        <v>1</v>
      </c>
      <c r="M34" s="310">
        <v>128.8</v>
      </c>
      <c r="N34" s="174"/>
      <c r="O34" s="310"/>
      <c r="P34" s="174"/>
      <c r="Q34" s="310"/>
      <c r="R34" s="176">
        <f t="shared" si="5"/>
        <v>4</v>
      </c>
      <c r="S34" s="764">
        <f t="shared" si="6"/>
        <v>608.9000000000001</v>
      </c>
      <c r="T34"/>
      <c r="U34"/>
      <c r="V34"/>
      <c r="W34"/>
      <c r="X34"/>
      <c r="Y34"/>
      <c r="Z34"/>
      <c r="AA34"/>
      <c r="AB34"/>
      <c r="AC34"/>
      <c r="AD34"/>
      <c r="AE34"/>
      <c r="AF34"/>
      <c r="AG34"/>
      <c r="AH34"/>
      <c r="AI34"/>
      <c r="AJ34"/>
      <c r="AK34"/>
      <c r="AL34"/>
      <c r="AM34"/>
      <c r="AN34"/>
      <c r="AO34"/>
      <c r="AP34"/>
      <c r="AQ34"/>
      <c r="AR34"/>
      <c r="AS34"/>
      <c r="AT34"/>
      <c r="AU34"/>
      <c r="AV34"/>
      <c r="AW34"/>
    </row>
    <row r="35" spans="1:49" s="122" customFormat="1" ht="20.25" customHeight="1">
      <c r="A35" s="126" t="s">
        <v>127</v>
      </c>
      <c r="B35" s="174">
        <v>5</v>
      </c>
      <c r="C35" s="310">
        <v>706.5</v>
      </c>
      <c r="D35" s="174"/>
      <c r="E35" s="310"/>
      <c r="F35" s="174"/>
      <c r="G35" s="310"/>
      <c r="H35" s="174">
        <v>2</v>
      </c>
      <c r="I35" s="310">
        <v>200.4</v>
      </c>
      <c r="J35" s="174"/>
      <c r="K35" s="310"/>
      <c r="L35" s="174">
        <v>2</v>
      </c>
      <c r="M35" s="310">
        <v>260.2</v>
      </c>
      <c r="N35" s="174"/>
      <c r="O35" s="310"/>
      <c r="P35" s="174"/>
      <c r="Q35" s="310"/>
      <c r="R35" s="176">
        <f t="shared" si="5"/>
        <v>9</v>
      </c>
      <c r="S35" s="764">
        <f t="shared" si="6"/>
        <v>1167.1</v>
      </c>
      <c r="T35"/>
      <c r="U35"/>
      <c r="V35"/>
      <c r="W35"/>
      <c r="X35"/>
      <c r="Y35"/>
      <c r="Z35"/>
      <c r="AA35"/>
      <c r="AB35"/>
      <c r="AC35"/>
      <c r="AD35"/>
      <c r="AE35"/>
      <c r="AF35"/>
      <c r="AG35"/>
      <c r="AH35"/>
      <c r="AI35"/>
      <c r="AJ35"/>
      <c r="AK35"/>
      <c r="AL35"/>
      <c r="AM35"/>
      <c r="AN35"/>
      <c r="AO35"/>
      <c r="AP35"/>
      <c r="AQ35"/>
      <c r="AR35"/>
      <c r="AS35"/>
      <c r="AT35"/>
      <c r="AU35"/>
      <c r="AV35"/>
      <c r="AW35"/>
    </row>
    <row r="36" spans="1:49" s="122" customFormat="1" ht="20.25" customHeight="1">
      <c r="A36" s="126" t="s">
        <v>243</v>
      </c>
      <c r="B36" s="174">
        <v>1</v>
      </c>
      <c r="C36" s="310">
        <v>211.2</v>
      </c>
      <c r="D36" s="174"/>
      <c r="E36" s="310"/>
      <c r="F36" s="174"/>
      <c r="G36" s="310"/>
      <c r="H36" s="174"/>
      <c r="I36" s="310"/>
      <c r="J36" s="174"/>
      <c r="K36" s="310"/>
      <c r="L36" s="174"/>
      <c r="M36" s="310"/>
      <c r="N36" s="174"/>
      <c r="O36" s="310"/>
      <c r="P36" s="174"/>
      <c r="Q36" s="310"/>
      <c r="R36" s="176">
        <f t="shared" si="5"/>
        <v>1</v>
      </c>
      <c r="S36" s="764">
        <f t="shared" si="6"/>
        <v>211.2</v>
      </c>
      <c r="T36"/>
      <c r="U36"/>
      <c r="V36"/>
      <c r="W36"/>
      <c r="X36"/>
      <c r="Y36"/>
      <c r="Z36"/>
      <c r="AA36"/>
      <c r="AB36"/>
      <c r="AC36"/>
      <c r="AD36"/>
      <c r="AE36"/>
      <c r="AF36"/>
      <c r="AG36"/>
      <c r="AH36"/>
      <c r="AI36"/>
      <c r="AJ36"/>
      <c r="AK36"/>
      <c r="AL36"/>
      <c r="AM36"/>
      <c r="AN36"/>
      <c r="AO36"/>
      <c r="AP36"/>
      <c r="AQ36"/>
      <c r="AR36"/>
      <c r="AS36"/>
      <c r="AT36"/>
      <c r="AU36"/>
      <c r="AV36"/>
      <c r="AW36"/>
    </row>
    <row r="37" spans="1:49" s="122" customFormat="1" ht="20.25" customHeight="1">
      <c r="A37" s="126" t="s">
        <v>367</v>
      </c>
      <c r="B37" s="174">
        <v>2</v>
      </c>
      <c r="C37" s="310">
        <v>233.9</v>
      </c>
      <c r="D37" s="174"/>
      <c r="E37" s="310"/>
      <c r="F37" s="174"/>
      <c r="G37" s="310"/>
      <c r="H37" s="174">
        <v>1</v>
      </c>
      <c r="I37" s="310">
        <v>91.8</v>
      </c>
      <c r="J37" s="174"/>
      <c r="K37" s="310"/>
      <c r="L37" s="174">
        <v>1</v>
      </c>
      <c r="M37" s="310">
        <v>127.9</v>
      </c>
      <c r="N37" s="174"/>
      <c r="O37" s="310"/>
      <c r="P37" s="174"/>
      <c r="Q37" s="310"/>
      <c r="R37" s="176">
        <f>SUM(B37,J37,N37,D37,F37,H37,L37,P37)</f>
        <v>4</v>
      </c>
      <c r="S37" s="764">
        <f>SUM(C37,K37,O37,E37,G37,I37,M37,Q37)</f>
        <v>453.6</v>
      </c>
      <c r="T37"/>
      <c r="U37"/>
      <c r="V37"/>
      <c r="W37"/>
      <c r="X37"/>
      <c r="Y37"/>
      <c r="Z37"/>
      <c r="AA37"/>
      <c r="AB37"/>
      <c r="AC37"/>
      <c r="AD37"/>
      <c r="AE37"/>
      <c r="AF37"/>
      <c r="AG37"/>
      <c r="AH37"/>
      <c r="AI37"/>
      <c r="AJ37"/>
      <c r="AK37"/>
      <c r="AL37"/>
      <c r="AM37"/>
      <c r="AN37"/>
      <c r="AO37"/>
      <c r="AP37"/>
      <c r="AQ37"/>
      <c r="AR37"/>
      <c r="AS37"/>
      <c r="AT37"/>
      <c r="AU37"/>
      <c r="AV37"/>
      <c r="AW37"/>
    </row>
    <row r="38" spans="1:49" s="122" customFormat="1" ht="20.25" customHeight="1">
      <c r="A38" s="126" t="s">
        <v>368</v>
      </c>
      <c r="B38" s="174">
        <v>1</v>
      </c>
      <c r="C38" s="310">
        <v>194.6</v>
      </c>
      <c r="D38" s="174"/>
      <c r="E38" s="310"/>
      <c r="F38" s="174"/>
      <c r="G38" s="310"/>
      <c r="H38" s="174"/>
      <c r="I38" s="310"/>
      <c r="J38" s="174">
        <v>1</v>
      </c>
      <c r="K38" s="310">
        <v>165.9</v>
      </c>
      <c r="L38" s="174">
        <v>2</v>
      </c>
      <c r="M38" s="310">
        <v>255.3</v>
      </c>
      <c r="N38" s="174"/>
      <c r="O38" s="310"/>
      <c r="P38" s="174"/>
      <c r="Q38" s="310"/>
      <c r="R38" s="176">
        <f t="shared" si="5"/>
        <v>4</v>
      </c>
      <c r="S38" s="764">
        <f t="shared" si="6"/>
        <v>615.8</v>
      </c>
      <c r="T38"/>
      <c r="U38"/>
      <c r="V38"/>
      <c r="W38"/>
      <c r="X38"/>
      <c r="Y38"/>
      <c r="Z38"/>
      <c r="AA38"/>
      <c r="AB38"/>
      <c r="AC38"/>
      <c r="AD38"/>
      <c r="AE38"/>
      <c r="AF38"/>
      <c r="AG38"/>
      <c r="AH38"/>
      <c r="AI38"/>
      <c r="AJ38"/>
      <c r="AK38"/>
      <c r="AL38"/>
      <c r="AM38"/>
      <c r="AN38"/>
      <c r="AO38"/>
      <c r="AP38"/>
      <c r="AQ38"/>
      <c r="AR38"/>
      <c r="AS38"/>
      <c r="AT38"/>
      <c r="AU38"/>
      <c r="AV38"/>
      <c r="AW38"/>
    </row>
    <row r="39" spans="1:49" s="122" customFormat="1" ht="20.25" customHeight="1">
      <c r="A39" s="126" t="s">
        <v>289</v>
      </c>
      <c r="B39" s="174">
        <v>1</v>
      </c>
      <c r="C39" s="310">
        <v>155.3</v>
      </c>
      <c r="D39" s="174"/>
      <c r="E39" s="310"/>
      <c r="F39" s="174"/>
      <c r="G39" s="310"/>
      <c r="H39" s="174"/>
      <c r="I39" s="310"/>
      <c r="J39" s="174"/>
      <c r="K39" s="310"/>
      <c r="L39" s="174">
        <v>1</v>
      </c>
      <c r="M39" s="310">
        <v>163.7</v>
      </c>
      <c r="N39" s="174"/>
      <c r="O39" s="310"/>
      <c r="P39" s="174"/>
      <c r="Q39" s="310"/>
      <c r="R39" s="176">
        <f t="shared" si="5"/>
        <v>2</v>
      </c>
      <c r="S39" s="764">
        <f t="shared" si="6"/>
        <v>319</v>
      </c>
      <c r="T39"/>
      <c r="U39"/>
      <c r="V39"/>
      <c r="W39"/>
      <c r="X39"/>
      <c r="Y39"/>
      <c r="Z39"/>
      <c r="AA39"/>
      <c r="AB39"/>
      <c r="AC39"/>
      <c r="AD39"/>
      <c r="AE39"/>
      <c r="AF39"/>
      <c r="AG39"/>
      <c r="AH39"/>
      <c r="AI39"/>
      <c r="AJ39"/>
      <c r="AK39"/>
      <c r="AL39"/>
      <c r="AM39"/>
      <c r="AN39"/>
      <c r="AO39"/>
      <c r="AP39"/>
      <c r="AQ39"/>
      <c r="AR39"/>
      <c r="AS39"/>
      <c r="AT39"/>
      <c r="AU39"/>
      <c r="AV39"/>
      <c r="AW39"/>
    </row>
    <row r="40" spans="1:49" s="122" customFormat="1" ht="20.25" customHeight="1">
      <c r="A40" s="126" t="s">
        <v>128</v>
      </c>
      <c r="B40" s="174">
        <v>1</v>
      </c>
      <c r="C40" s="310">
        <v>163.3</v>
      </c>
      <c r="D40" s="174"/>
      <c r="E40" s="310"/>
      <c r="F40" s="174"/>
      <c r="G40" s="310"/>
      <c r="H40" s="174">
        <v>1</v>
      </c>
      <c r="I40" s="310">
        <v>131.8</v>
      </c>
      <c r="J40" s="174"/>
      <c r="K40" s="310"/>
      <c r="L40" s="174">
        <v>2</v>
      </c>
      <c r="M40" s="310">
        <v>235.6</v>
      </c>
      <c r="N40" s="174"/>
      <c r="O40" s="310"/>
      <c r="P40" s="174"/>
      <c r="Q40" s="310"/>
      <c r="R40" s="176">
        <f>SUM(B40,J40,N40,D40,F40,H40,L40,P40)</f>
        <v>4</v>
      </c>
      <c r="S40" s="764">
        <f>SUM(C40,K40,O40,E40,G40,I40,M40,Q40)</f>
        <v>530.7</v>
      </c>
      <c r="T40"/>
      <c r="U40"/>
      <c r="V40"/>
      <c r="W40"/>
      <c r="X40"/>
      <c r="Y40"/>
      <c r="Z40"/>
      <c r="AA40"/>
      <c r="AB40"/>
      <c r="AC40"/>
      <c r="AD40"/>
      <c r="AE40"/>
      <c r="AF40"/>
      <c r="AG40"/>
      <c r="AH40"/>
      <c r="AI40"/>
      <c r="AJ40"/>
      <c r="AK40"/>
      <c r="AL40"/>
      <c r="AM40"/>
      <c r="AN40"/>
      <c r="AO40"/>
      <c r="AP40"/>
      <c r="AQ40"/>
      <c r="AR40"/>
      <c r="AS40"/>
      <c r="AT40"/>
      <c r="AU40"/>
      <c r="AV40"/>
      <c r="AW40"/>
    </row>
    <row r="41" spans="1:49" s="122" customFormat="1" ht="20.25" customHeight="1">
      <c r="A41" s="126" t="s">
        <v>285</v>
      </c>
      <c r="B41" s="174">
        <v>2</v>
      </c>
      <c r="C41" s="310">
        <v>278.4</v>
      </c>
      <c r="D41" s="174"/>
      <c r="E41" s="310"/>
      <c r="F41" s="174"/>
      <c r="G41" s="310"/>
      <c r="H41" s="174">
        <v>1</v>
      </c>
      <c r="I41" s="310">
        <v>138.1</v>
      </c>
      <c r="J41" s="174">
        <v>1</v>
      </c>
      <c r="K41" s="310">
        <v>155.5</v>
      </c>
      <c r="L41" s="174">
        <v>1</v>
      </c>
      <c r="M41" s="310">
        <v>188.2</v>
      </c>
      <c r="N41" s="174">
        <v>1</v>
      </c>
      <c r="O41" s="310">
        <v>172.1</v>
      </c>
      <c r="P41" s="174"/>
      <c r="Q41" s="310"/>
      <c r="R41" s="176">
        <f t="shared" si="5"/>
        <v>6</v>
      </c>
      <c r="S41" s="764">
        <f t="shared" si="6"/>
        <v>932.3</v>
      </c>
      <c r="T41"/>
      <c r="U41"/>
      <c r="V41"/>
      <c r="W41"/>
      <c r="X41"/>
      <c r="Y41"/>
      <c r="Z41"/>
      <c r="AA41"/>
      <c r="AB41"/>
      <c r="AC41"/>
      <c r="AD41"/>
      <c r="AE41"/>
      <c r="AF41"/>
      <c r="AG41"/>
      <c r="AH41"/>
      <c r="AI41"/>
      <c r="AJ41"/>
      <c r="AK41"/>
      <c r="AL41"/>
      <c r="AM41"/>
      <c r="AN41"/>
      <c r="AO41"/>
      <c r="AP41"/>
      <c r="AQ41"/>
      <c r="AR41"/>
      <c r="AS41"/>
      <c r="AT41"/>
      <c r="AU41"/>
      <c r="AV41"/>
      <c r="AW41"/>
    </row>
    <row r="42" spans="1:49" s="122" customFormat="1" ht="20.25" customHeight="1">
      <c r="A42" s="126" t="s">
        <v>372</v>
      </c>
      <c r="B42" s="174"/>
      <c r="C42" s="310"/>
      <c r="D42" s="174"/>
      <c r="E42" s="310"/>
      <c r="F42" s="174"/>
      <c r="G42" s="310"/>
      <c r="H42" s="174"/>
      <c r="I42" s="310"/>
      <c r="J42" s="174"/>
      <c r="K42" s="310"/>
      <c r="L42" s="174"/>
      <c r="M42" s="310"/>
      <c r="N42" s="174">
        <v>1</v>
      </c>
      <c r="O42" s="310">
        <v>197.9</v>
      </c>
      <c r="P42" s="174"/>
      <c r="Q42" s="310"/>
      <c r="R42" s="176">
        <f>SUM(B42,J42,N42,D42,F42,H42,L42,P42)</f>
        <v>1</v>
      </c>
      <c r="S42" s="764">
        <f>SUM(C42,K42,O42,E42,G42,I42,M42,Q42)</f>
        <v>197.9</v>
      </c>
      <c r="T42"/>
      <c r="U42"/>
      <c r="V42"/>
      <c r="W42"/>
      <c r="X42"/>
      <c r="Y42"/>
      <c r="Z42"/>
      <c r="AA42"/>
      <c r="AB42"/>
      <c r="AC42"/>
      <c r="AD42"/>
      <c r="AE42"/>
      <c r="AF42"/>
      <c r="AG42"/>
      <c r="AH42"/>
      <c r="AI42"/>
      <c r="AJ42"/>
      <c r="AK42"/>
      <c r="AL42"/>
      <c r="AM42"/>
      <c r="AN42"/>
      <c r="AO42"/>
      <c r="AP42"/>
      <c r="AQ42"/>
      <c r="AR42"/>
      <c r="AS42"/>
      <c r="AT42"/>
      <c r="AU42"/>
      <c r="AV42"/>
      <c r="AW42"/>
    </row>
    <row r="43" spans="1:49" s="122" customFormat="1" ht="20.25" customHeight="1">
      <c r="A43" s="126" t="s">
        <v>129</v>
      </c>
      <c r="B43" s="174">
        <v>2</v>
      </c>
      <c r="C43" s="310">
        <v>158.6</v>
      </c>
      <c r="D43" s="174"/>
      <c r="E43" s="310"/>
      <c r="F43" s="174"/>
      <c r="G43" s="310"/>
      <c r="H43" s="174">
        <v>3</v>
      </c>
      <c r="I43" s="310">
        <v>419.7</v>
      </c>
      <c r="J43" s="174">
        <v>1</v>
      </c>
      <c r="K43" s="310">
        <v>125.1</v>
      </c>
      <c r="L43" s="174">
        <v>2</v>
      </c>
      <c r="M43" s="310">
        <v>324.6</v>
      </c>
      <c r="N43" s="174">
        <v>1</v>
      </c>
      <c r="O43" s="310">
        <v>164.4</v>
      </c>
      <c r="P43" s="174"/>
      <c r="Q43" s="310"/>
      <c r="R43" s="176">
        <f t="shared" si="5"/>
        <v>9</v>
      </c>
      <c r="S43" s="764">
        <f t="shared" si="6"/>
        <v>1192.4</v>
      </c>
      <c r="T43"/>
      <c r="U43"/>
      <c r="V43"/>
      <c r="W43"/>
      <c r="X43"/>
      <c r="Y43"/>
      <c r="Z43"/>
      <c r="AA43"/>
      <c r="AB43"/>
      <c r="AC43"/>
      <c r="AD43"/>
      <c r="AE43"/>
      <c r="AF43"/>
      <c r="AG43"/>
      <c r="AH43"/>
      <c r="AI43"/>
      <c r="AJ43"/>
      <c r="AK43"/>
      <c r="AL43"/>
      <c r="AM43"/>
      <c r="AN43"/>
      <c r="AO43"/>
      <c r="AP43"/>
      <c r="AQ43"/>
      <c r="AR43"/>
      <c r="AS43"/>
      <c r="AT43"/>
      <c r="AU43"/>
      <c r="AV43"/>
      <c r="AW43"/>
    </row>
    <row r="44" spans="1:49" s="122" customFormat="1" ht="20.25" customHeight="1">
      <c r="A44" s="126" t="s">
        <v>283</v>
      </c>
      <c r="B44" s="174"/>
      <c r="C44" s="310"/>
      <c r="D44" s="174"/>
      <c r="E44" s="310"/>
      <c r="F44" s="174"/>
      <c r="G44" s="310"/>
      <c r="H44" s="174"/>
      <c r="I44" s="310"/>
      <c r="J44" s="174"/>
      <c r="K44" s="310"/>
      <c r="L44" s="174">
        <v>1</v>
      </c>
      <c r="M44" s="310">
        <v>138.3</v>
      </c>
      <c r="N44" s="174"/>
      <c r="O44" s="310"/>
      <c r="P44" s="174"/>
      <c r="Q44" s="310"/>
      <c r="R44" s="176">
        <f>SUM(B44,J44,N44,D44,F44,H44,L44,P44)</f>
        <v>1</v>
      </c>
      <c r="S44" s="764">
        <f>SUM(C44,K44,O44,E44,G44,I44,M44,Q44)</f>
        <v>138.3</v>
      </c>
      <c r="T44"/>
      <c r="U44"/>
      <c r="V44"/>
      <c r="W44"/>
      <c r="X44"/>
      <c r="Y44"/>
      <c r="Z44"/>
      <c r="AA44"/>
      <c r="AB44"/>
      <c r="AC44"/>
      <c r="AD44"/>
      <c r="AE44"/>
      <c r="AF44"/>
      <c r="AG44"/>
      <c r="AH44"/>
      <c r="AI44"/>
      <c r="AJ44"/>
      <c r="AK44"/>
      <c r="AL44"/>
      <c r="AM44"/>
      <c r="AN44"/>
      <c r="AO44"/>
      <c r="AP44"/>
      <c r="AQ44"/>
      <c r="AR44"/>
      <c r="AS44"/>
      <c r="AT44"/>
      <c r="AU44"/>
      <c r="AV44"/>
      <c r="AW44"/>
    </row>
    <row r="45" spans="1:49" s="122" customFormat="1" ht="20.25" customHeight="1">
      <c r="A45" s="126" t="s">
        <v>373</v>
      </c>
      <c r="B45" s="174"/>
      <c r="C45" s="310"/>
      <c r="D45" s="174"/>
      <c r="E45" s="310"/>
      <c r="F45" s="174"/>
      <c r="G45" s="310"/>
      <c r="H45" s="174"/>
      <c r="I45" s="310"/>
      <c r="J45" s="174"/>
      <c r="K45" s="310"/>
      <c r="L45" s="174">
        <v>1</v>
      </c>
      <c r="M45" s="310">
        <v>120.5</v>
      </c>
      <c r="N45" s="174"/>
      <c r="O45" s="310"/>
      <c r="P45" s="174"/>
      <c r="Q45" s="310"/>
      <c r="R45" s="176">
        <f>SUM(B45,J45,N45,D45,F45,H45,L45,P45)</f>
        <v>1</v>
      </c>
      <c r="S45" s="764">
        <f>SUM(C45,K45,O45,E45,G45,I45,M45,Q45)</f>
        <v>120.5</v>
      </c>
      <c r="T45"/>
      <c r="U45"/>
      <c r="V45"/>
      <c r="W45"/>
      <c r="X45"/>
      <c r="Y45"/>
      <c r="Z45"/>
      <c r="AA45"/>
      <c r="AB45"/>
      <c r="AC45"/>
      <c r="AD45"/>
      <c r="AE45"/>
      <c r="AF45"/>
      <c r="AG45"/>
      <c r="AH45"/>
      <c r="AI45"/>
      <c r="AJ45"/>
      <c r="AK45"/>
      <c r="AL45"/>
      <c r="AM45"/>
      <c r="AN45"/>
      <c r="AO45"/>
      <c r="AP45"/>
      <c r="AQ45"/>
      <c r="AR45"/>
      <c r="AS45"/>
      <c r="AT45"/>
      <c r="AU45"/>
      <c r="AV45"/>
      <c r="AW45"/>
    </row>
    <row r="46" spans="1:49" s="122" customFormat="1" ht="20.25" customHeight="1">
      <c r="A46" s="126" t="s">
        <v>164</v>
      </c>
      <c r="B46" s="174">
        <v>4</v>
      </c>
      <c r="C46" s="310">
        <v>635.3</v>
      </c>
      <c r="D46" s="174"/>
      <c r="E46" s="310"/>
      <c r="F46" s="174"/>
      <c r="G46" s="310"/>
      <c r="H46" s="174">
        <v>3</v>
      </c>
      <c r="I46" s="310">
        <v>408.7</v>
      </c>
      <c r="J46" s="174"/>
      <c r="K46" s="310"/>
      <c r="L46" s="174"/>
      <c r="M46" s="310"/>
      <c r="N46" s="174"/>
      <c r="O46" s="310"/>
      <c r="P46" s="174">
        <v>1</v>
      </c>
      <c r="Q46" s="310">
        <v>251.6</v>
      </c>
      <c r="R46" s="176">
        <f t="shared" si="5"/>
        <v>8</v>
      </c>
      <c r="S46" s="764">
        <f t="shared" si="6"/>
        <v>1295.6</v>
      </c>
      <c r="T46"/>
      <c r="U46"/>
      <c r="V46"/>
      <c r="W46"/>
      <c r="X46"/>
      <c r="Y46"/>
      <c r="Z46"/>
      <c r="AA46"/>
      <c r="AB46"/>
      <c r="AC46"/>
      <c r="AD46"/>
      <c r="AE46"/>
      <c r="AF46"/>
      <c r="AG46"/>
      <c r="AH46"/>
      <c r="AI46"/>
      <c r="AJ46"/>
      <c r="AK46"/>
      <c r="AL46"/>
      <c r="AM46"/>
      <c r="AN46"/>
      <c r="AO46"/>
      <c r="AP46"/>
      <c r="AQ46"/>
      <c r="AR46"/>
      <c r="AS46"/>
      <c r="AT46"/>
      <c r="AU46"/>
      <c r="AV46"/>
      <c r="AW46"/>
    </row>
    <row r="47" spans="1:49" s="122" customFormat="1" ht="20.25" customHeight="1">
      <c r="A47" s="126" t="s">
        <v>290</v>
      </c>
      <c r="B47" s="174">
        <v>1</v>
      </c>
      <c r="C47" s="310">
        <v>121.6</v>
      </c>
      <c r="D47" s="174"/>
      <c r="E47" s="310"/>
      <c r="F47" s="174"/>
      <c r="G47" s="310"/>
      <c r="H47" s="174"/>
      <c r="I47" s="310"/>
      <c r="J47" s="174"/>
      <c r="K47" s="310"/>
      <c r="L47" s="174"/>
      <c r="M47" s="310"/>
      <c r="N47" s="174"/>
      <c r="O47" s="310"/>
      <c r="P47" s="174"/>
      <c r="Q47" s="310"/>
      <c r="R47" s="176">
        <f>SUM(B47,J47,N47,D47,F47,H47,L47,P47)</f>
        <v>1</v>
      </c>
      <c r="S47" s="764">
        <f>SUM(C47,K47,O47,E47,G47,I47,M47,Q47)</f>
        <v>121.6</v>
      </c>
      <c r="T47"/>
      <c r="U47"/>
      <c r="V47"/>
      <c r="W47"/>
      <c r="X47"/>
      <c r="Y47"/>
      <c r="Z47"/>
      <c r="AA47"/>
      <c r="AB47"/>
      <c r="AC47"/>
      <c r="AD47"/>
      <c r="AE47"/>
      <c r="AF47"/>
      <c r="AG47"/>
      <c r="AH47"/>
      <c r="AI47"/>
      <c r="AJ47"/>
      <c r="AK47"/>
      <c r="AL47"/>
      <c r="AM47"/>
      <c r="AN47"/>
      <c r="AO47"/>
      <c r="AP47"/>
      <c r="AQ47"/>
      <c r="AR47"/>
      <c r="AS47"/>
      <c r="AT47"/>
      <c r="AU47"/>
      <c r="AV47"/>
      <c r="AW47"/>
    </row>
    <row r="48" spans="1:49" s="122" customFormat="1" ht="20.25" customHeight="1">
      <c r="A48" s="126" t="s">
        <v>237</v>
      </c>
      <c r="B48" s="174">
        <v>2</v>
      </c>
      <c r="C48" s="310">
        <v>327.1</v>
      </c>
      <c r="D48" s="174"/>
      <c r="E48" s="310"/>
      <c r="F48" s="174"/>
      <c r="G48" s="310"/>
      <c r="H48" s="174"/>
      <c r="I48" s="310"/>
      <c r="J48" s="174"/>
      <c r="K48" s="310"/>
      <c r="L48" s="174"/>
      <c r="M48" s="310"/>
      <c r="N48" s="174"/>
      <c r="O48" s="310"/>
      <c r="P48" s="174"/>
      <c r="Q48" s="310"/>
      <c r="R48" s="176">
        <f t="shared" si="5"/>
        <v>2</v>
      </c>
      <c r="S48" s="764">
        <f t="shared" si="6"/>
        <v>327.1</v>
      </c>
      <c r="T48"/>
      <c r="U48"/>
      <c r="V48"/>
      <c r="W48"/>
      <c r="X48"/>
      <c r="Y48"/>
      <c r="Z48"/>
      <c r="AA48"/>
      <c r="AB48"/>
      <c r="AC48"/>
      <c r="AD48"/>
      <c r="AE48"/>
      <c r="AF48"/>
      <c r="AG48"/>
      <c r="AH48"/>
      <c r="AI48"/>
      <c r="AJ48"/>
      <c r="AK48"/>
      <c r="AL48"/>
      <c r="AM48"/>
      <c r="AN48"/>
      <c r="AO48"/>
      <c r="AP48"/>
      <c r="AQ48"/>
      <c r="AR48"/>
      <c r="AS48"/>
      <c r="AT48"/>
      <c r="AU48"/>
      <c r="AV48"/>
      <c r="AW48"/>
    </row>
    <row r="49" spans="1:49" s="122" customFormat="1" ht="20.25" customHeight="1">
      <c r="A49" s="126" t="s">
        <v>130</v>
      </c>
      <c r="B49" s="174">
        <v>2</v>
      </c>
      <c r="C49" s="310">
        <v>289.4</v>
      </c>
      <c r="D49" s="174"/>
      <c r="E49" s="310"/>
      <c r="F49" s="174"/>
      <c r="G49" s="310"/>
      <c r="H49" s="174"/>
      <c r="I49" s="310"/>
      <c r="J49" s="174"/>
      <c r="K49" s="310"/>
      <c r="L49" s="174"/>
      <c r="M49" s="310"/>
      <c r="N49" s="174"/>
      <c r="O49" s="310"/>
      <c r="P49" s="174"/>
      <c r="Q49" s="310"/>
      <c r="R49" s="176">
        <f t="shared" si="5"/>
        <v>2</v>
      </c>
      <c r="S49" s="764">
        <f t="shared" si="6"/>
        <v>289.4</v>
      </c>
      <c r="T49"/>
      <c r="U49"/>
      <c r="V49"/>
      <c r="W49"/>
      <c r="X49"/>
      <c r="Y49"/>
      <c r="Z49"/>
      <c r="AA49"/>
      <c r="AB49"/>
      <c r="AC49"/>
      <c r="AD49"/>
      <c r="AE49"/>
      <c r="AF49"/>
      <c r="AG49"/>
      <c r="AH49"/>
      <c r="AI49"/>
      <c r="AJ49"/>
      <c r="AK49"/>
      <c r="AL49"/>
      <c r="AM49"/>
      <c r="AN49"/>
      <c r="AO49"/>
      <c r="AP49"/>
      <c r="AQ49"/>
      <c r="AR49"/>
      <c r="AS49"/>
      <c r="AT49"/>
      <c r="AU49"/>
      <c r="AV49"/>
      <c r="AW49"/>
    </row>
    <row r="50" spans="1:49" s="122" customFormat="1" ht="20.25" customHeight="1">
      <c r="A50" s="126" t="s">
        <v>231</v>
      </c>
      <c r="B50" s="174">
        <v>1</v>
      </c>
      <c r="C50" s="310">
        <v>166.3</v>
      </c>
      <c r="D50" s="174"/>
      <c r="E50" s="310"/>
      <c r="F50" s="174"/>
      <c r="G50" s="310"/>
      <c r="H50" s="174"/>
      <c r="I50" s="310"/>
      <c r="J50" s="174"/>
      <c r="K50" s="310"/>
      <c r="L50" s="174">
        <v>2</v>
      </c>
      <c r="M50" s="310">
        <v>317.9</v>
      </c>
      <c r="N50" s="174"/>
      <c r="O50" s="310"/>
      <c r="P50" s="174"/>
      <c r="Q50" s="310"/>
      <c r="R50" s="176">
        <f t="shared" si="5"/>
        <v>3</v>
      </c>
      <c r="S50" s="764">
        <f t="shared" si="6"/>
        <v>484.2</v>
      </c>
      <c r="T50"/>
      <c r="U50"/>
      <c r="V50"/>
      <c r="W50"/>
      <c r="X50"/>
      <c r="Y50"/>
      <c r="Z50"/>
      <c r="AA50"/>
      <c r="AB50"/>
      <c r="AC50"/>
      <c r="AD50"/>
      <c r="AE50"/>
      <c r="AF50"/>
      <c r="AG50"/>
      <c r="AH50"/>
      <c r="AI50"/>
      <c r="AJ50"/>
      <c r="AK50"/>
      <c r="AL50"/>
      <c r="AM50"/>
      <c r="AN50"/>
      <c r="AO50"/>
      <c r="AP50"/>
      <c r="AQ50"/>
      <c r="AR50"/>
      <c r="AS50"/>
      <c r="AT50"/>
      <c r="AU50"/>
      <c r="AV50"/>
      <c r="AW50"/>
    </row>
    <row r="51" spans="1:49" s="122" customFormat="1" ht="20.25" customHeight="1">
      <c r="A51" s="126" t="s">
        <v>131</v>
      </c>
      <c r="B51" s="174">
        <v>2</v>
      </c>
      <c r="C51" s="310">
        <v>335.1</v>
      </c>
      <c r="D51" s="174"/>
      <c r="E51" s="310"/>
      <c r="F51" s="174"/>
      <c r="G51" s="310"/>
      <c r="H51" s="174"/>
      <c r="I51" s="310"/>
      <c r="J51" s="174"/>
      <c r="K51" s="310"/>
      <c r="L51" s="174">
        <v>1</v>
      </c>
      <c r="M51" s="310">
        <v>107.6</v>
      </c>
      <c r="N51" s="174"/>
      <c r="O51" s="310"/>
      <c r="P51" s="174">
        <v>1</v>
      </c>
      <c r="Q51" s="310">
        <v>267.5</v>
      </c>
      <c r="R51" s="176">
        <f t="shared" si="5"/>
        <v>4</v>
      </c>
      <c r="S51" s="764">
        <f t="shared" si="6"/>
        <v>710.2</v>
      </c>
      <c r="T51"/>
      <c r="U51"/>
      <c r="V51"/>
      <c r="W51"/>
      <c r="X51"/>
      <c r="Y51"/>
      <c r="Z51"/>
      <c r="AA51"/>
      <c r="AB51"/>
      <c r="AC51"/>
      <c r="AD51"/>
      <c r="AE51"/>
      <c r="AF51"/>
      <c r="AG51"/>
      <c r="AH51"/>
      <c r="AI51"/>
      <c r="AJ51"/>
      <c r="AK51"/>
      <c r="AL51"/>
      <c r="AM51"/>
      <c r="AN51"/>
      <c r="AO51"/>
      <c r="AP51"/>
      <c r="AQ51"/>
      <c r="AR51"/>
      <c r="AS51"/>
      <c r="AT51"/>
      <c r="AU51"/>
      <c r="AV51"/>
      <c r="AW51"/>
    </row>
    <row r="52" spans="1:49" s="122" customFormat="1" ht="20.25" customHeight="1">
      <c r="A52" s="126" t="s">
        <v>376</v>
      </c>
      <c r="B52" s="174"/>
      <c r="C52" s="310"/>
      <c r="D52" s="174"/>
      <c r="E52" s="310"/>
      <c r="F52" s="174"/>
      <c r="G52" s="310"/>
      <c r="H52" s="174"/>
      <c r="I52" s="310"/>
      <c r="J52" s="174"/>
      <c r="K52" s="310"/>
      <c r="L52" s="174">
        <v>1</v>
      </c>
      <c r="M52" s="310">
        <v>103.9</v>
      </c>
      <c r="N52" s="174"/>
      <c r="O52" s="310"/>
      <c r="P52" s="174"/>
      <c r="Q52" s="310"/>
      <c r="R52" s="176">
        <f aca="true" t="shared" si="7" ref="R52:S57">SUM(B52,J52,N52,D52,F52,H52,L52,P52)</f>
        <v>1</v>
      </c>
      <c r="S52" s="764">
        <f t="shared" si="7"/>
        <v>103.9</v>
      </c>
      <c r="T52"/>
      <c r="U52"/>
      <c r="V52"/>
      <c r="W52"/>
      <c r="X52"/>
      <c r="Y52"/>
      <c r="Z52"/>
      <c r="AA52"/>
      <c r="AB52"/>
      <c r="AC52"/>
      <c r="AD52"/>
      <c r="AE52"/>
      <c r="AF52"/>
      <c r="AG52"/>
      <c r="AH52"/>
      <c r="AI52"/>
      <c r="AJ52"/>
      <c r="AK52"/>
      <c r="AL52"/>
      <c r="AM52"/>
      <c r="AN52"/>
      <c r="AO52"/>
      <c r="AP52"/>
      <c r="AQ52"/>
      <c r="AR52"/>
      <c r="AS52"/>
      <c r="AT52"/>
      <c r="AU52"/>
      <c r="AV52"/>
      <c r="AW52"/>
    </row>
    <row r="53" spans="1:49" s="122" customFormat="1" ht="20.25" customHeight="1">
      <c r="A53" s="126" t="s">
        <v>141</v>
      </c>
      <c r="B53" s="174">
        <v>1</v>
      </c>
      <c r="C53" s="310">
        <v>157</v>
      </c>
      <c r="D53" s="174"/>
      <c r="E53" s="310"/>
      <c r="F53" s="174"/>
      <c r="G53" s="310"/>
      <c r="H53" s="174">
        <v>1</v>
      </c>
      <c r="I53" s="310">
        <v>142.8</v>
      </c>
      <c r="J53" s="174"/>
      <c r="K53" s="310"/>
      <c r="L53" s="174">
        <v>1</v>
      </c>
      <c r="M53" s="310">
        <v>122.2</v>
      </c>
      <c r="N53" s="174"/>
      <c r="O53" s="310"/>
      <c r="P53" s="174"/>
      <c r="Q53" s="310"/>
      <c r="R53" s="176">
        <f t="shared" si="7"/>
        <v>3</v>
      </c>
      <c r="S53" s="764">
        <f t="shared" si="7"/>
        <v>422</v>
      </c>
      <c r="T53"/>
      <c r="U53"/>
      <c r="V53"/>
      <c r="W53"/>
      <c r="X53"/>
      <c r="Y53"/>
      <c r="Z53"/>
      <c r="AA53"/>
      <c r="AB53"/>
      <c r="AC53"/>
      <c r="AD53"/>
      <c r="AE53"/>
      <c r="AF53"/>
      <c r="AG53"/>
      <c r="AH53"/>
      <c r="AI53"/>
      <c r="AJ53"/>
      <c r="AK53"/>
      <c r="AL53"/>
      <c r="AM53"/>
      <c r="AN53"/>
      <c r="AO53"/>
      <c r="AP53"/>
      <c r="AQ53"/>
      <c r="AR53"/>
      <c r="AS53"/>
      <c r="AT53"/>
      <c r="AU53"/>
      <c r="AV53"/>
      <c r="AW53"/>
    </row>
    <row r="54" spans="1:49" s="122" customFormat="1" ht="20.25" customHeight="1">
      <c r="A54" s="126" t="s">
        <v>378</v>
      </c>
      <c r="B54" s="174"/>
      <c r="C54" s="310"/>
      <c r="D54" s="174"/>
      <c r="E54" s="310"/>
      <c r="F54" s="174"/>
      <c r="G54" s="310"/>
      <c r="H54" s="174"/>
      <c r="I54" s="310"/>
      <c r="J54" s="174">
        <v>1</v>
      </c>
      <c r="K54" s="310">
        <v>143.9</v>
      </c>
      <c r="L54" s="174"/>
      <c r="M54" s="310"/>
      <c r="N54" s="174"/>
      <c r="O54" s="310"/>
      <c r="P54" s="174">
        <v>1</v>
      </c>
      <c r="Q54" s="310">
        <v>237.4</v>
      </c>
      <c r="R54" s="176">
        <f t="shared" si="7"/>
        <v>2</v>
      </c>
      <c r="S54" s="764">
        <f t="shared" si="7"/>
        <v>381.3</v>
      </c>
      <c r="T54"/>
      <c r="U54"/>
      <c r="V54"/>
      <c r="W54"/>
      <c r="X54"/>
      <c r="Y54"/>
      <c r="Z54"/>
      <c r="AA54"/>
      <c r="AB54"/>
      <c r="AC54"/>
      <c r="AD54"/>
      <c r="AE54"/>
      <c r="AF54"/>
      <c r="AG54"/>
      <c r="AH54"/>
      <c r="AI54"/>
      <c r="AJ54"/>
      <c r="AK54"/>
      <c r="AL54"/>
      <c r="AM54"/>
      <c r="AN54"/>
      <c r="AO54"/>
      <c r="AP54"/>
      <c r="AQ54"/>
      <c r="AR54"/>
      <c r="AS54"/>
      <c r="AT54"/>
      <c r="AU54"/>
      <c r="AV54"/>
      <c r="AW54"/>
    </row>
    <row r="55" spans="1:49" s="122" customFormat="1" ht="20.25" customHeight="1">
      <c r="A55" s="126" t="s">
        <v>132</v>
      </c>
      <c r="B55" s="174">
        <v>3</v>
      </c>
      <c r="C55" s="310">
        <v>403.5</v>
      </c>
      <c r="D55" s="174"/>
      <c r="E55" s="310"/>
      <c r="F55" s="174"/>
      <c r="G55" s="310"/>
      <c r="H55" s="174">
        <v>2</v>
      </c>
      <c r="I55" s="310">
        <v>214.6</v>
      </c>
      <c r="J55" s="174">
        <v>1</v>
      </c>
      <c r="K55" s="310">
        <v>148.7</v>
      </c>
      <c r="L55" s="174">
        <v>2</v>
      </c>
      <c r="M55" s="310">
        <v>318</v>
      </c>
      <c r="N55" s="174"/>
      <c r="O55" s="310"/>
      <c r="P55" s="174"/>
      <c r="Q55" s="310"/>
      <c r="R55" s="176">
        <f t="shared" si="7"/>
        <v>8</v>
      </c>
      <c r="S55" s="764">
        <f t="shared" si="7"/>
        <v>1084.8000000000002</v>
      </c>
      <c r="T55"/>
      <c r="U55"/>
      <c r="V55"/>
      <c r="W55"/>
      <c r="X55"/>
      <c r="Y55"/>
      <c r="Z55"/>
      <c r="AA55"/>
      <c r="AB55"/>
      <c r="AC55"/>
      <c r="AD55"/>
      <c r="AE55"/>
      <c r="AF55"/>
      <c r="AG55"/>
      <c r="AH55"/>
      <c r="AI55"/>
      <c r="AJ55"/>
      <c r="AK55"/>
      <c r="AL55"/>
      <c r="AM55"/>
      <c r="AN55"/>
      <c r="AO55"/>
      <c r="AP55"/>
      <c r="AQ55"/>
      <c r="AR55"/>
      <c r="AS55"/>
      <c r="AT55"/>
      <c r="AU55"/>
      <c r="AV55"/>
      <c r="AW55"/>
    </row>
    <row r="56" spans="1:19" ht="21.75">
      <c r="A56" s="126" t="s">
        <v>193</v>
      </c>
      <c r="B56" s="140">
        <v>1</v>
      </c>
      <c r="C56" s="1215">
        <v>191.2</v>
      </c>
      <c r="R56" s="176">
        <f t="shared" si="7"/>
        <v>1</v>
      </c>
      <c r="S56" s="764">
        <f t="shared" si="7"/>
        <v>191.2</v>
      </c>
    </row>
    <row r="57" spans="1:49" s="122" customFormat="1" ht="20.25" customHeight="1">
      <c r="A57" s="128" t="s">
        <v>379</v>
      </c>
      <c r="B57" s="325">
        <v>1</v>
      </c>
      <c r="C57" s="326">
        <v>122.4</v>
      </c>
      <c r="D57" s="325"/>
      <c r="E57" s="326"/>
      <c r="F57" s="325"/>
      <c r="G57" s="326"/>
      <c r="H57" s="325"/>
      <c r="I57" s="326"/>
      <c r="J57" s="325"/>
      <c r="K57" s="326"/>
      <c r="L57" s="325">
        <v>1</v>
      </c>
      <c r="M57" s="326">
        <v>137.8</v>
      </c>
      <c r="N57" s="325"/>
      <c r="O57" s="326"/>
      <c r="P57" s="325"/>
      <c r="Q57" s="326"/>
      <c r="R57" s="327">
        <f t="shared" si="7"/>
        <v>2</v>
      </c>
      <c r="S57" s="765">
        <f t="shared" si="7"/>
        <v>260.20000000000005</v>
      </c>
      <c r="T57"/>
      <c r="U57"/>
      <c r="V57"/>
      <c r="W57"/>
      <c r="X57"/>
      <c r="Y57"/>
      <c r="Z57"/>
      <c r="AA57"/>
      <c r="AB57"/>
      <c r="AC57"/>
      <c r="AD57"/>
      <c r="AE57"/>
      <c r="AF57"/>
      <c r="AG57"/>
      <c r="AH57"/>
      <c r="AI57"/>
      <c r="AJ57"/>
      <c r="AK57"/>
      <c r="AL57"/>
      <c r="AM57"/>
      <c r="AN57"/>
      <c r="AO57"/>
      <c r="AP57"/>
      <c r="AQ57"/>
      <c r="AR57"/>
      <c r="AS57"/>
      <c r="AT57"/>
      <c r="AU57"/>
      <c r="AV57"/>
      <c r="AW57"/>
    </row>
    <row r="58" spans="1:49" s="122" customFormat="1" ht="20.25" customHeight="1">
      <c r="A58" s="129" t="s">
        <v>146</v>
      </c>
      <c r="B58" s="174"/>
      <c r="C58" s="310"/>
      <c r="D58" s="174"/>
      <c r="E58" s="310"/>
      <c r="F58" s="174"/>
      <c r="G58" s="310"/>
      <c r="H58" s="174"/>
      <c r="I58" s="310"/>
      <c r="J58" s="174"/>
      <c r="K58" s="310"/>
      <c r="L58" s="174"/>
      <c r="M58" s="310"/>
      <c r="N58" s="174"/>
      <c r="O58" s="310"/>
      <c r="P58" s="174"/>
      <c r="Q58" s="310"/>
      <c r="R58" s="176"/>
      <c r="S58" s="323"/>
      <c r="T58"/>
      <c r="U58"/>
      <c r="V58"/>
      <c r="W58"/>
      <c r="X58"/>
      <c r="Y58"/>
      <c r="Z58"/>
      <c r="AA58"/>
      <c r="AB58"/>
      <c r="AC58"/>
      <c r="AD58"/>
      <c r="AE58"/>
      <c r="AF58"/>
      <c r="AG58"/>
      <c r="AH58"/>
      <c r="AI58"/>
      <c r="AJ58"/>
      <c r="AK58"/>
      <c r="AL58"/>
      <c r="AM58"/>
      <c r="AN58"/>
      <c r="AO58"/>
      <c r="AP58"/>
      <c r="AQ58"/>
      <c r="AR58"/>
      <c r="AS58"/>
      <c r="AT58"/>
      <c r="AU58"/>
      <c r="AV58"/>
      <c r="AW58"/>
    </row>
    <row r="59" spans="1:49" s="122" customFormat="1" ht="20.25" customHeight="1">
      <c r="A59" s="16" t="s">
        <v>37</v>
      </c>
      <c r="B59" s="325">
        <v>1</v>
      </c>
      <c r="C59" s="326">
        <v>159.2</v>
      </c>
      <c r="D59" s="325"/>
      <c r="E59" s="326"/>
      <c r="F59" s="325"/>
      <c r="G59" s="326"/>
      <c r="H59" s="325">
        <v>1</v>
      </c>
      <c r="I59" s="326">
        <v>101.6</v>
      </c>
      <c r="J59" s="325"/>
      <c r="K59" s="326"/>
      <c r="L59" s="325"/>
      <c r="M59" s="326"/>
      <c r="N59" s="325">
        <v>1</v>
      </c>
      <c r="O59" s="326">
        <v>179.1</v>
      </c>
      <c r="P59" s="325"/>
      <c r="Q59" s="326"/>
      <c r="R59" s="327">
        <f>SUM(B59,J59,N59,D59,F59,H59,L59,P59)</f>
        <v>3</v>
      </c>
      <c r="S59" s="765">
        <f>SUM(C59,K59,O59,E59,G59,I59,M59,Q59)</f>
        <v>439.9</v>
      </c>
      <c r="T59"/>
      <c r="U59"/>
      <c r="V59"/>
      <c r="W59"/>
      <c r="X59"/>
      <c r="Y59"/>
      <c r="Z59"/>
      <c r="AA59"/>
      <c r="AB59"/>
      <c r="AC59"/>
      <c r="AD59"/>
      <c r="AE59"/>
      <c r="AF59"/>
      <c r="AG59"/>
      <c r="AH59"/>
      <c r="AI59"/>
      <c r="AJ59"/>
      <c r="AK59"/>
      <c r="AL59"/>
      <c r="AM59"/>
      <c r="AN59"/>
      <c r="AO59"/>
      <c r="AP59"/>
      <c r="AQ59"/>
      <c r="AR59"/>
      <c r="AS59"/>
      <c r="AT59"/>
      <c r="AU59"/>
      <c r="AV59"/>
      <c r="AW59"/>
    </row>
    <row r="60" spans="1:49" s="122" customFormat="1" ht="20.25" customHeight="1">
      <c r="A60" s="129" t="s">
        <v>147</v>
      </c>
      <c r="B60" s="174"/>
      <c r="C60" s="310"/>
      <c r="D60" s="174"/>
      <c r="E60" s="310"/>
      <c r="F60" s="174"/>
      <c r="G60" s="310"/>
      <c r="H60" s="174"/>
      <c r="I60" s="310"/>
      <c r="J60" s="174"/>
      <c r="K60" s="310"/>
      <c r="L60" s="174"/>
      <c r="M60" s="310"/>
      <c r="N60" s="174"/>
      <c r="O60" s="310"/>
      <c r="P60" s="174"/>
      <c r="Q60" s="310"/>
      <c r="R60" s="176"/>
      <c r="S60" s="323"/>
      <c r="T60"/>
      <c r="U60"/>
      <c r="V60"/>
      <c r="W60"/>
      <c r="X60"/>
      <c r="Y60"/>
      <c r="Z60"/>
      <c r="AA60"/>
      <c r="AB60"/>
      <c r="AC60"/>
      <c r="AD60"/>
      <c r="AE60"/>
      <c r="AF60"/>
      <c r="AG60"/>
      <c r="AH60"/>
      <c r="AI60"/>
      <c r="AJ60"/>
      <c r="AK60"/>
      <c r="AL60"/>
      <c r="AM60"/>
      <c r="AN60"/>
      <c r="AO60"/>
      <c r="AP60"/>
      <c r="AQ60"/>
      <c r="AR60"/>
      <c r="AS60"/>
      <c r="AT60"/>
      <c r="AU60"/>
      <c r="AV60"/>
      <c r="AW60"/>
    </row>
    <row r="61" spans="1:49" s="122" customFormat="1" ht="20.25" customHeight="1">
      <c r="A61" s="126" t="s">
        <v>213</v>
      </c>
      <c r="B61" s="174"/>
      <c r="C61" s="310"/>
      <c r="D61" s="174"/>
      <c r="E61" s="310"/>
      <c r="F61" s="174"/>
      <c r="G61" s="310"/>
      <c r="H61" s="174">
        <v>2</v>
      </c>
      <c r="I61" s="310">
        <v>295.9</v>
      </c>
      <c r="J61" s="174"/>
      <c r="K61" s="310"/>
      <c r="L61" s="174"/>
      <c r="M61" s="310"/>
      <c r="N61" s="174"/>
      <c r="O61" s="310"/>
      <c r="P61" s="174"/>
      <c r="Q61" s="310"/>
      <c r="R61" s="176">
        <f aca="true" t="shared" si="8" ref="R61:R71">SUM(B61,J61,N61,D61,F61,H61,L61,P61)</f>
        <v>2</v>
      </c>
      <c r="S61" s="716">
        <f aca="true" t="shared" si="9" ref="S61:S71">SUM(C61,K61,O61,E61,G61,I61,M61,Q61)</f>
        <v>295.9</v>
      </c>
      <c r="T61"/>
      <c r="U61"/>
      <c r="V61"/>
      <c r="W61"/>
      <c r="X61"/>
      <c r="Y61"/>
      <c r="Z61"/>
      <c r="AA61"/>
      <c r="AB61"/>
      <c r="AC61"/>
      <c r="AD61"/>
      <c r="AE61"/>
      <c r="AF61"/>
      <c r="AG61"/>
      <c r="AH61"/>
      <c r="AI61"/>
      <c r="AJ61"/>
      <c r="AK61"/>
      <c r="AL61"/>
      <c r="AM61"/>
      <c r="AN61"/>
      <c r="AO61"/>
      <c r="AP61"/>
      <c r="AQ61"/>
      <c r="AR61"/>
      <c r="AS61"/>
      <c r="AT61"/>
      <c r="AU61"/>
      <c r="AV61"/>
      <c r="AW61"/>
    </row>
    <row r="62" spans="1:49" s="122" customFormat="1" ht="20.25" customHeight="1">
      <c r="A62" s="126" t="s">
        <v>365</v>
      </c>
      <c r="B62" s="174">
        <v>1</v>
      </c>
      <c r="C62" s="310">
        <v>212.2</v>
      </c>
      <c r="D62" s="174"/>
      <c r="E62" s="310"/>
      <c r="F62" s="174"/>
      <c r="G62" s="310"/>
      <c r="H62" s="174"/>
      <c r="I62" s="310"/>
      <c r="J62" s="174"/>
      <c r="K62" s="310"/>
      <c r="L62" s="174"/>
      <c r="M62" s="310"/>
      <c r="N62" s="174"/>
      <c r="O62" s="310"/>
      <c r="P62" s="174"/>
      <c r="Q62" s="310"/>
      <c r="R62" s="176">
        <f>SUM(B62,J62,N62,D62,F62,H62,L62,P62)</f>
        <v>1</v>
      </c>
      <c r="S62" s="716">
        <f>SUM(C62,K62,O62,E62,G62,I62,M62,Q62)</f>
        <v>212.2</v>
      </c>
      <c r="T62"/>
      <c r="U62"/>
      <c r="V62"/>
      <c r="W62"/>
      <c r="X62"/>
      <c r="Y62"/>
      <c r="Z62"/>
      <c r="AA62"/>
      <c r="AB62"/>
      <c r="AC62"/>
      <c r="AD62"/>
      <c r="AE62"/>
      <c r="AF62"/>
      <c r="AG62"/>
      <c r="AH62"/>
      <c r="AI62"/>
      <c r="AJ62"/>
      <c r="AK62"/>
      <c r="AL62"/>
      <c r="AM62"/>
      <c r="AN62"/>
      <c r="AO62"/>
      <c r="AP62"/>
      <c r="AQ62"/>
      <c r="AR62"/>
      <c r="AS62"/>
      <c r="AT62"/>
      <c r="AU62"/>
      <c r="AV62"/>
      <c r="AW62"/>
    </row>
    <row r="63" spans="1:49" s="122" customFormat="1" ht="20.25" customHeight="1">
      <c r="A63" s="126" t="s">
        <v>190</v>
      </c>
      <c r="B63" s="174">
        <v>1</v>
      </c>
      <c r="C63" s="310">
        <v>176.7</v>
      </c>
      <c r="D63" s="174"/>
      <c r="E63" s="310"/>
      <c r="F63" s="174"/>
      <c r="G63" s="310"/>
      <c r="H63" s="174">
        <v>2</v>
      </c>
      <c r="I63" s="310">
        <v>512.1</v>
      </c>
      <c r="J63" s="174">
        <v>1</v>
      </c>
      <c r="K63" s="310">
        <v>302</v>
      </c>
      <c r="L63" s="174">
        <v>1</v>
      </c>
      <c r="M63" s="310">
        <v>444.9</v>
      </c>
      <c r="N63" s="174"/>
      <c r="O63" s="310"/>
      <c r="P63" s="174"/>
      <c r="Q63" s="310"/>
      <c r="R63" s="176">
        <f t="shared" si="8"/>
        <v>5</v>
      </c>
      <c r="S63" s="716">
        <f t="shared" si="9"/>
        <v>1435.6999999999998</v>
      </c>
      <c r="T63"/>
      <c r="U63"/>
      <c r="V63"/>
      <c r="W63"/>
      <c r="X63"/>
      <c r="Y63"/>
      <c r="Z63"/>
      <c r="AA63"/>
      <c r="AB63"/>
      <c r="AC63"/>
      <c r="AD63"/>
      <c r="AE63"/>
      <c r="AF63"/>
      <c r="AG63"/>
      <c r="AH63"/>
      <c r="AI63"/>
      <c r="AJ63"/>
      <c r="AK63"/>
      <c r="AL63"/>
      <c r="AM63"/>
      <c r="AN63"/>
      <c r="AO63"/>
      <c r="AP63"/>
      <c r="AQ63"/>
      <c r="AR63"/>
      <c r="AS63"/>
      <c r="AT63"/>
      <c r="AU63"/>
      <c r="AV63"/>
      <c r="AW63"/>
    </row>
    <row r="64" spans="1:49" s="122" customFormat="1" ht="20.25" customHeight="1">
      <c r="A64" s="10" t="s">
        <v>189</v>
      </c>
      <c r="B64" s="174">
        <v>1</v>
      </c>
      <c r="C64" s="310">
        <v>222.9</v>
      </c>
      <c r="D64" s="174"/>
      <c r="E64" s="310"/>
      <c r="F64" s="174"/>
      <c r="G64" s="310"/>
      <c r="H64" s="174">
        <v>2</v>
      </c>
      <c r="I64" s="310">
        <v>480</v>
      </c>
      <c r="J64" s="174">
        <v>1</v>
      </c>
      <c r="K64" s="310">
        <v>287.9</v>
      </c>
      <c r="L64" s="174">
        <v>2</v>
      </c>
      <c r="M64" s="310">
        <v>591.5</v>
      </c>
      <c r="N64" s="174"/>
      <c r="O64" s="310"/>
      <c r="P64" s="174">
        <v>1</v>
      </c>
      <c r="Q64" s="310">
        <v>347.6</v>
      </c>
      <c r="R64" s="176">
        <f t="shared" si="8"/>
        <v>7</v>
      </c>
      <c r="S64" s="716">
        <f t="shared" si="9"/>
        <v>1929.9</v>
      </c>
      <c r="T64"/>
      <c r="U64"/>
      <c r="V64"/>
      <c r="W64"/>
      <c r="X64"/>
      <c r="Y64"/>
      <c r="Z64"/>
      <c r="AA64"/>
      <c r="AB64"/>
      <c r="AC64"/>
      <c r="AD64"/>
      <c r="AE64"/>
      <c r="AF64"/>
      <c r="AG64"/>
      <c r="AH64"/>
      <c r="AI64"/>
      <c r="AJ64"/>
      <c r="AK64"/>
      <c r="AL64"/>
      <c r="AM64"/>
      <c r="AN64"/>
      <c r="AO64"/>
      <c r="AP64"/>
      <c r="AQ64"/>
      <c r="AR64"/>
      <c r="AS64"/>
      <c r="AT64"/>
      <c r="AU64"/>
      <c r="AV64"/>
      <c r="AW64"/>
    </row>
    <row r="65" spans="1:49" s="122" customFormat="1" ht="20.25" customHeight="1">
      <c r="A65" s="10" t="s">
        <v>366</v>
      </c>
      <c r="B65" s="174"/>
      <c r="C65" s="310"/>
      <c r="D65" s="174"/>
      <c r="E65" s="310"/>
      <c r="F65" s="174"/>
      <c r="G65" s="310"/>
      <c r="H65" s="174">
        <v>1</v>
      </c>
      <c r="I65" s="310">
        <v>200.5</v>
      </c>
      <c r="J65" s="174"/>
      <c r="K65" s="310"/>
      <c r="L65" s="174"/>
      <c r="M65" s="310"/>
      <c r="N65" s="174"/>
      <c r="O65" s="310"/>
      <c r="P65" s="174"/>
      <c r="Q65" s="310"/>
      <c r="R65" s="176">
        <f>SUM(B65,J65,N65,D65,F65,H65,L65,P65)</f>
        <v>1</v>
      </c>
      <c r="S65" s="716">
        <f>SUM(C65,K65,O65,E65,G65,I65,M65,Q65)</f>
        <v>200.5</v>
      </c>
      <c r="T65"/>
      <c r="U65"/>
      <c r="V65"/>
      <c r="W65"/>
      <c r="X65"/>
      <c r="Y65"/>
      <c r="Z65"/>
      <c r="AA65"/>
      <c r="AB65"/>
      <c r="AC65"/>
      <c r="AD65"/>
      <c r="AE65"/>
      <c r="AF65"/>
      <c r="AG65"/>
      <c r="AH65"/>
      <c r="AI65"/>
      <c r="AJ65"/>
      <c r="AK65"/>
      <c r="AL65"/>
      <c r="AM65"/>
      <c r="AN65"/>
      <c r="AO65"/>
      <c r="AP65"/>
      <c r="AQ65"/>
      <c r="AR65"/>
      <c r="AS65"/>
      <c r="AT65"/>
      <c r="AU65"/>
      <c r="AV65"/>
      <c r="AW65"/>
    </row>
    <row r="66" spans="1:49" s="122" customFormat="1" ht="20.25" customHeight="1">
      <c r="A66" s="10" t="s">
        <v>57</v>
      </c>
      <c r="B66" s="174">
        <v>1</v>
      </c>
      <c r="C66" s="310">
        <v>220.6</v>
      </c>
      <c r="D66" s="174"/>
      <c r="E66" s="310"/>
      <c r="F66" s="174"/>
      <c r="G66" s="310"/>
      <c r="H66" s="174">
        <v>2</v>
      </c>
      <c r="I66" s="310">
        <v>540.9</v>
      </c>
      <c r="J66" s="174"/>
      <c r="K66" s="310"/>
      <c r="L66" s="174"/>
      <c r="M66" s="310"/>
      <c r="N66" s="174"/>
      <c r="O66" s="310"/>
      <c r="P66" s="174"/>
      <c r="Q66" s="310"/>
      <c r="R66" s="176">
        <f t="shared" si="8"/>
        <v>3</v>
      </c>
      <c r="S66" s="716">
        <f t="shared" si="9"/>
        <v>761.5</v>
      </c>
      <c r="T66"/>
      <c r="U66"/>
      <c r="V66"/>
      <c r="W66"/>
      <c r="X66"/>
      <c r="Y66"/>
      <c r="Z66"/>
      <c r="AA66"/>
      <c r="AB66"/>
      <c r="AC66"/>
      <c r="AD66"/>
      <c r="AE66"/>
      <c r="AF66"/>
      <c r="AG66"/>
      <c r="AH66"/>
      <c r="AI66"/>
      <c r="AJ66"/>
      <c r="AK66"/>
      <c r="AL66"/>
      <c r="AM66"/>
      <c r="AN66"/>
      <c r="AO66"/>
      <c r="AP66"/>
      <c r="AQ66"/>
      <c r="AR66"/>
      <c r="AS66"/>
      <c r="AT66"/>
      <c r="AU66"/>
      <c r="AV66"/>
      <c r="AW66"/>
    </row>
    <row r="67" spans="1:49" s="122" customFormat="1" ht="20.25" customHeight="1">
      <c r="A67" s="10" t="s">
        <v>199</v>
      </c>
      <c r="B67" s="174">
        <v>1</v>
      </c>
      <c r="C67" s="310">
        <v>165.2</v>
      </c>
      <c r="D67" s="174"/>
      <c r="E67" s="310"/>
      <c r="F67" s="174"/>
      <c r="G67" s="310"/>
      <c r="H67" s="174">
        <v>1</v>
      </c>
      <c r="I67" s="310">
        <v>240.4</v>
      </c>
      <c r="J67" s="174"/>
      <c r="K67" s="310"/>
      <c r="L67" s="174"/>
      <c r="M67" s="310"/>
      <c r="N67" s="174"/>
      <c r="O67" s="310"/>
      <c r="P67" s="174"/>
      <c r="Q67" s="310"/>
      <c r="R67" s="176">
        <f t="shared" si="8"/>
        <v>2</v>
      </c>
      <c r="S67" s="716">
        <f t="shared" si="9"/>
        <v>405.6</v>
      </c>
      <c r="T67"/>
      <c r="U67"/>
      <c r="V67"/>
      <c r="W67"/>
      <c r="X67"/>
      <c r="Y67"/>
      <c r="Z67"/>
      <c r="AA67"/>
      <c r="AB67"/>
      <c r="AC67"/>
      <c r="AD67"/>
      <c r="AE67"/>
      <c r="AF67"/>
      <c r="AG67"/>
      <c r="AH67"/>
      <c r="AI67"/>
      <c r="AJ67"/>
      <c r="AK67"/>
      <c r="AL67"/>
      <c r="AM67"/>
      <c r="AN67"/>
      <c r="AO67"/>
      <c r="AP67"/>
      <c r="AQ67"/>
      <c r="AR67"/>
      <c r="AS67"/>
      <c r="AT67"/>
      <c r="AU67"/>
      <c r="AV67"/>
      <c r="AW67"/>
    </row>
    <row r="68" spans="1:49" s="122" customFormat="1" ht="20.25" customHeight="1">
      <c r="A68" s="10" t="s">
        <v>370</v>
      </c>
      <c r="B68" s="174"/>
      <c r="C68" s="310"/>
      <c r="D68" s="174"/>
      <c r="E68" s="310"/>
      <c r="F68" s="174"/>
      <c r="G68" s="310"/>
      <c r="H68" s="174">
        <v>1</v>
      </c>
      <c r="I68" s="310">
        <v>267.7</v>
      </c>
      <c r="J68" s="174"/>
      <c r="K68" s="310"/>
      <c r="L68" s="174"/>
      <c r="M68" s="310"/>
      <c r="N68" s="174"/>
      <c r="O68" s="310"/>
      <c r="P68" s="174"/>
      <c r="Q68" s="310"/>
      <c r="R68" s="176">
        <f>SUM(B68,J68,N68,D68,F68,H68,L68,P68)</f>
        <v>1</v>
      </c>
      <c r="S68" s="716">
        <f>SUM(C68,K68,O68,E68,G68,I68,M68,Q68)</f>
        <v>267.7</v>
      </c>
      <c r="T68"/>
      <c r="U68"/>
      <c r="V68"/>
      <c r="W68"/>
      <c r="X68"/>
      <c r="Y68"/>
      <c r="Z68"/>
      <c r="AA68"/>
      <c r="AB68"/>
      <c r="AC68"/>
      <c r="AD68"/>
      <c r="AE68"/>
      <c r="AF68"/>
      <c r="AG68"/>
      <c r="AH68"/>
      <c r="AI68"/>
      <c r="AJ68"/>
      <c r="AK68"/>
      <c r="AL68"/>
      <c r="AM68"/>
      <c r="AN68"/>
      <c r="AO68"/>
      <c r="AP68"/>
      <c r="AQ68"/>
      <c r="AR68"/>
      <c r="AS68"/>
      <c r="AT68"/>
      <c r="AU68"/>
      <c r="AV68"/>
      <c r="AW68"/>
    </row>
    <row r="69" spans="1:49" s="122" customFormat="1" ht="20.25" customHeight="1">
      <c r="A69" s="10" t="s">
        <v>58</v>
      </c>
      <c r="B69" s="174"/>
      <c r="C69" s="310"/>
      <c r="D69" s="174"/>
      <c r="E69" s="310"/>
      <c r="F69" s="174"/>
      <c r="G69" s="310"/>
      <c r="H69" s="174">
        <v>1</v>
      </c>
      <c r="I69" s="310">
        <v>218.8</v>
      </c>
      <c r="J69" s="174"/>
      <c r="K69" s="310"/>
      <c r="L69" s="174">
        <v>2</v>
      </c>
      <c r="M69" s="310">
        <v>527.5</v>
      </c>
      <c r="N69" s="174"/>
      <c r="O69" s="310"/>
      <c r="P69" s="174"/>
      <c r="Q69" s="310"/>
      <c r="R69" s="176">
        <f t="shared" si="8"/>
        <v>3</v>
      </c>
      <c r="S69" s="716">
        <f t="shared" si="9"/>
        <v>746.3</v>
      </c>
      <c r="T69"/>
      <c r="U69"/>
      <c r="V69"/>
      <c r="W69"/>
      <c r="X69"/>
      <c r="Y69"/>
      <c r="Z69"/>
      <c r="AA69"/>
      <c r="AB69"/>
      <c r="AC69"/>
      <c r="AD69"/>
      <c r="AE69"/>
      <c r="AF69"/>
      <c r="AG69"/>
      <c r="AH69"/>
      <c r="AI69"/>
      <c r="AJ69"/>
      <c r="AK69"/>
      <c r="AL69"/>
      <c r="AM69"/>
      <c r="AN69"/>
      <c r="AO69"/>
      <c r="AP69"/>
      <c r="AQ69"/>
      <c r="AR69"/>
      <c r="AS69"/>
      <c r="AT69"/>
      <c r="AU69"/>
      <c r="AV69"/>
      <c r="AW69"/>
    </row>
    <row r="70" spans="1:49" s="122" customFormat="1" ht="20.25" customHeight="1">
      <c r="A70" s="10" t="s">
        <v>201</v>
      </c>
      <c r="B70" s="174">
        <v>1</v>
      </c>
      <c r="C70" s="310">
        <v>232.2</v>
      </c>
      <c r="D70" s="174"/>
      <c r="E70" s="310"/>
      <c r="F70" s="174"/>
      <c r="G70" s="310"/>
      <c r="H70" s="174"/>
      <c r="I70" s="310"/>
      <c r="J70" s="174"/>
      <c r="K70" s="310"/>
      <c r="L70" s="174"/>
      <c r="M70" s="310"/>
      <c r="N70" s="174"/>
      <c r="O70" s="310"/>
      <c r="P70" s="174"/>
      <c r="Q70" s="310"/>
      <c r="R70" s="176">
        <f t="shared" si="8"/>
        <v>1</v>
      </c>
      <c r="S70" s="716">
        <f t="shared" si="9"/>
        <v>232.2</v>
      </c>
      <c r="T70"/>
      <c r="U70"/>
      <c r="V70"/>
      <c r="W70"/>
      <c r="X70"/>
      <c r="Y70"/>
      <c r="Z70"/>
      <c r="AA70"/>
      <c r="AB70"/>
      <c r="AC70"/>
      <c r="AD70"/>
      <c r="AE70"/>
      <c r="AF70"/>
      <c r="AG70"/>
      <c r="AH70"/>
      <c r="AI70"/>
      <c r="AJ70"/>
      <c r="AK70"/>
      <c r="AL70"/>
      <c r="AM70"/>
      <c r="AN70"/>
      <c r="AO70"/>
      <c r="AP70"/>
      <c r="AQ70"/>
      <c r="AR70"/>
      <c r="AS70"/>
      <c r="AT70"/>
      <c r="AU70"/>
      <c r="AV70"/>
      <c r="AW70"/>
    </row>
    <row r="71" spans="1:49" s="122" customFormat="1" ht="20.25" customHeight="1">
      <c r="A71" s="10" t="s">
        <v>244</v>
      </c>
      <c r="B71" s="174">
        <v>1</v>
      </c>
      <c r="C71" s="310">
        <v>244.3</v>
      </c>
      <c r="D71" s="174"/>
      <c r="E71" s="310"/>
      <c r="F71" s="174"/>
      <c r="G71" s="310"/>
      <c r="H71" s="174"/>
      <c r="I71" s="310"/>
      <c r="J71" s="174"/>
      <c r="K71" s="310"/>
      <c r="L71" s="174">
        <v>1</v>
      </c>
      <c r="M71" s="310">
        <v>218</v>
      </c>
      <c r="N71" s="174"/>
      <c r="O71" s="310"/>
      <c r="P71" s="174"/>
      <c r="Q71" s="310"/>
      <c r="R71" s="176">
        <f t="shared" si="8"/>
        <v>2</v>
      </c>
      <c r="S71" s="716">
        <f t="shared" si="9"/>
        <v>462.3</v>
      </c>
      <c r="T71"/>
      <c r="U71"/>
      <c r="V71"/>
      <c r="W71"/>
      <c r="X71"/>
      <c r="Y71"/>
      <c r="Z71"/>
      <c r="AA71"/>
      <c r="AB71"/>
      <c r="AC71"/>
      <c r="AD71"/>
      <c r="AE71"/>
      <c r="AF71"/>
      <c r="AG71"/>
      <c r="AH71"/>
      <c r="AI71"/>
      <c r="AJ71"/>
      <c r="AK71"/>
      <c r="AL71"/>
      <c r="AM71"/>
      <c r="AN71"/>
      <c r="AO71"/>
      <c r="AP71"/>
      <c r="AQ71"/>
      <c r="AR71"/>
      <c r="AS71"/>
      <c r="AT71"/>
      <c r="AU71"/>
      <c r="AV71"/>
      <c r="AW71"/>
    </row>
    <row r="72" spans="1:49" s="122" customFormat="1" ht="20.25" customHeight="1" thickBot="1">
      <c r="A72" s="10" t="s">
        <v>160</v>
      </c>
      <c r="B72" s="174">
        <v>2</v>
      </c>
      <c r="C72" s="310">
        <v>398.6</v>
      </c>
      <c r="D72" s="174"/>
      <c r="E72" s="310"/>
      <c r="F72" s="174"/>
      <c r="G72" s="310"/>
      <c r="H72" s="174">
        <v>1</v>
      </c>
      <c r="I72" s="310">
        <v>280.2</v>
      </c>
      <c r="J72" s="174"/>
      <c r="K72" s="310"/>
      <c r="L72" s="174"/>
      <c r="M72" s="310"/>
      <c r="N72" s="174"/>
      <c r="O72" s="310"/>
      <c r="P72" s="174"/>
      <c r="Q72" s="310"/>
      <c r="R72" s="176">
        <f>SUM(B72,J72,N72,D72,F72,H72,L72,P72)</f>
        <v>3</v>
      </c>
      <c r="S72" s="716">
        <f>SUM(C72,K72,O72,E72,G72,I72,M72,Q72)</f>
        <v>678.8</v>
      </c>
      <c r="T72"/>
      <c r="U72"/>
      <c r="V72"/>
      <c r="W72"/>
      <c r="X72"/>
      <c r="Y72"/>
      <c r="Z72"/>
      <c r="AA72"/>
      <c r="AB72"/>
      <c r="AC72"/>
      <c r="AD72"/>
      <c r="AE72"/>
      <c r="AF72"/>
      <c r="AG72"/>
      <c r="AH72"/>
      <c r="AI72"/>
      <c r="AJ72"/>
      <c r="AK72"/>
      <c r="AL72"/>
      <c r="AM72"/>
      <c r="AN72"/>
      <c r="AO72"/>
      <c r="AP72"/>
      <c r="AQ72"/>
      <c r="AR72"/>
      <c r="AS72"/>
      <c r="AT72"/>
      <c r="AU72"/>
      <c r="AV72"/>
      <c r="AW72"/>
    </row>
    <row r="73" spans="1:49" s="122" customFormat="1" ht="22.5" customHeight="1" thickBot="1">
      <c r="A73" s="1224" t="s">
        <v>156</v>
      </c>
      <c r="B73" s="1225">
        <v>15</v>
      </c>
      <c r="C73" s="1226">
        <v>1100.5</v>
      </c>
      <c r="D73" s="1225"/>
      <c r="E73" s="1226"/>
      <c r="F73" s="1225"/>
      <c r="G73" s="1226"/>
      <c r="H73" s="1225">
        <v>8</v>
      </c>
      <c r="I73" s="1226">
        <v>406.3</v>
      </c>
      <c r="J73" s="1225">
        <v>2</v>
      </c>
      <c r="K73" s="1226">
        <v>175</v>
      </c>
      <c r="L73" s="1225">
        <v>5</v>
      </c>
      <c r="M73" s="1226">
        <v>515.7</v>
      </c>
      <c r="N73" s="1225">
        <v>1</v>
      </c>
      <c r="O73" s="1226">
        <v>115.8</v>
      </c>
      <c r="P73" s="1225">
        <v>2</v>
      </c>
      <c r="Q73" s="1226">
        <v>358.3</v>
      </c>
      <c r="R73" s="1227">
        <f>SUM(B73,J73,N73,D73,F73,H73,L73,P73)</f>
        <v>33</v>
      </c>
      <c r="S73" s="715">
        <f>SUM(C73,O73,K73,E73,G73,I73,M73,Q73)</f>
        <v>2671.6000000000004</v>
      </c>
      <c r="T73"/>
      <c r="U73"/>
      <c r="V73"/>
      <c r="W73"/>
      <c r="X73"/>
      <c r="Y73"/>
      <c r="Z73"/>
      <c r="AA73"/>
      <c r="AB73"/>
      <c r="AC73"/>
      <c r="AD73"/>
      <c r="AE73"/>
      <c r="AF73"/>
      <c r="AG73"/>
      <c r="AH73"/>
      <c r="AI73"/>
      <c r="AJ73"/>
      <c r="AK73"/>
      <c r="AL73"/>
      <c r="AM73"/>
      <c r="AN73"/>
      <c r="AO73"/>
      <c r="AP73"/>
      <c r="AQ73"/>
      <c r="AR73"/>
      <c r="AS73"/>
      <c r="AT73"/>
      <c r="AU73"/>
      <c r="AV73"/>
      <c r="AW73"/>
    </row>
    <row r="74" spans="1:49" s="122" customFormat="1" ht="23.25" customHeight="1" thickBot="1">
      <c r="A74" s="130" t="s">
        <v>60</v>
      </c>
      <c r="B74" s="131">
        <f aca="true" t="shared" si="10" ref="B74:S74">SUM(B5:B73)</f>
        <v>130</v>
      </c>
      <c r="C74" s="715">
        <f t="shared" si="10"/>
        <v>16199.500000000004</v>
      </c>
      <c r="D74" s="131">
        <f t="shared" si="10"/>
        <v>0</v>
      </c>
      <c r="E74" s="715">
        <f t="shared" si="10"/>
        <v>0</v>
      </c>
      <c r="F74" s="131">
        <f t="shared" si="10"/>
        <v>0</v>
      </c>
      <c r="G74" s="715">
        <f t="shared" si="10"/>
        <v>0</v>
      </c>
      <c r="H74" s="131">
        <f t="shared" si="10"/>
        <v>65</v>
      </c>
      <c r="I74" s="715">
        <f t="shared" si="10"/>
        <v>7818.5</v>
      </c>
      <c r="J74" s="131">
        <f t="shared" si="10"/>
        <v>16</v>
      </c>
      <c r="K74" s="715">
        <f t="shared" si="10"/>
        <v>2319.7</v>
      </c>
      <c r="L74" s="131">
        <f t="shared" si="10"/>
        <v>59</v>
      </c>
      <c r="M74" s="715">
        <f t="shared" si="10"/>
        <v>8345</v>
      </c>
      <c r="N74" s="131">
        <f t="shared" si="10"/>
        <v>13</v>
      </c>
      <c r="O74" s="715">
        <f t="shared" si="10"/>
        <v>2018.3999999999999</v>
      </c>
      <c r="P74" s="131">
        <f t="shared" si="10"/>
        <v>14</v>
      </c>
      <c r="Q74" s="715">
        <f t="shared" si="10"/>
        <v>3177</v>
      </c>
      <c r="R74" s="131">
        <f t="shared" si="10"/>
        <v>297</v>
      </c>
      <c r="S74" s="715">
        <f t="shared" si="10"/>
        <v>39878.100000000006</v>
      </c>
      <c r="T74"/>
      <c r="U74"/>
      <c r="V74"/>
      <c r="W74"/>
      <c r="X74"/>
      <c r="Y74"/>
      <c r="Z74"/>
      <c r="AA74"/>
      <c r="AB74"/>
      <c r="AC74"/>
      <c r="AD74"/>
      <c r="AE74"/>
      <c r="AF74"/>
      <c r="AG74"/>
      <c r="AH74"/>
      <c r="AI74"/>
      <c r="AJ74"/>
      <c r="AK74"/>
      <c r="AL74"/>
      <c r="AM74"/>
      <c r="AN74"/>
      <c r="AO74"/>
      <c r="AP74"/>
      <c r="AQ74"/>
      <c r="AR74"/>
      <c r="AS74"/>
      <c r="AT74"/>
      <c r="AU74"/>
      <c r="AV74"/>
      <c r="AW74"/>
    </row>
    <row r="75" spans="1:40" ht="18.75" customHeight="1">
      <c r="A75"/>
      <c r="B75"/>
      <c r="C75" s="313"/>
      <c r="D75"/>
      <c r="E75" s="313"/>
      <c r="F75"/>
      <c r="G75" s="313"/>
      <c r="H75" s="65"/>
      <c r="I75" s="319"/>
      <c r="J75"/>
      <c r="K75" s="313"/>
      <c r="L75" s="65"/>
      <c r="M75" s="319"/>
      <c r="N75" s="65"/>
      <c r="O75" s="319"/>
      <c r="P75"/>
      <c r="Q75" s="313"/>
      <c r="R75"/>
      <c r="S75" s="313"/>
      <c r="T75"/>
      <c r="U75"/>
      <c r="V75"/>
      <c r="W75"/>
      <c r="X75"/>
      <c r="Y75"/>
      <c r="Z75"/>
      <c r="AA75"/>
      <c r="AB75"/>
      <c r="AC75"/>
      <c r="AD75"/>
      <c r="AE75"/>
      <c r="AF75"/>
      <c r="AG75"/>
      <c r="AH75"/>
      <c r="AI75"/>
      <c r="AJ75"/>
      <c r="AK75"/>
      <c r="AL75"/>
      <c r="AM75"/>
      <c r="AN75"/>
    </row>
    <row r="76" spans="3:19" s="57" customFormat="1" ht="18" customHeight="1">
      <c r="C76" s="314"/>
      <c r="E76" s="314"/>
      <c r="G76" s="314"/>
      <c r="I76" s="314"/>
      <c r="K76" s="314"/>
      <c r="M76" s="314"/>
      <c r="O76" s="314"/>
      <c r="Q76" s="314"/>
      <c r="S76" s="314"/>
    </row>
    <row r="77" spans="3:19" s="57" customFormat="1" ht="15.75" customHeight="1">
      <c r="C77" s="314"/>
      <c r="E77" s="314"/>
      <c r="G77" s="314"/>
      <c r="I77" s="314"/>
      <c r="K77" s="314"/>
      <c r="M77" s="314"/>
      <c r="O77" s="314"/>
      <c r="Q77" s="314"/>
      <c r="S77" s="314"/>
    </row>
    <row r="78" spans="3:22" s="57" customFormat="1" ht="15.75" customHeight="1">
      <c r="C78" s="314"/>
      <c r="E78" s="314"/>
      <c r="G78" s="314"/>
      <c r="I78" s="314"/>
      <c r="K78" s="314"/>
      <c r="M78" s="314"/>
      <c r="O78" s="314"/>
      <c r="Q78" s="314"/>
      <c r="S78" s="314"/>
      <c r="V78" s="225"/>
    </row>
    <row r="79" spans="3:19" s="57" customFormat="1" ht="15.75" customHeight="1">
      <c r="C79" s="314"/>
      <c r="E79" s="314"/>
      <c r="G79" s="314"/>
      <c r="I79" s="314"/>
      <c r="K79" s="314"/>
      <c r="M79" s="314"/>
      <c r="O79" s="314"/>
      <c r="Q79" s="314"/>
      <c r="S79" s="314"/>
    </row>
    <row r="80" spans="3:13" s="57" customFormat="1" ht="17.25" customHeight="1">
      <c r="C80" s="279"/>
      <c r="E80" s="279"/>
      <c r="G80" s="279"/>
      <c r="I80" s="279"/>
      <c r="K80" s="279"/>
      <c r="M80" s="279"/>
    </row>
    <row r="81" spans="3:13" s="57" customFormat="1" ht="17.25" customHeight="1">
      <c r="C81" s="279"/>
      <c r="E81" s="279"/>
      <c r="G81" s="279"/>
      <c r="I81" s="279"/>
      <c r="K81" s="279"/>
      <c r="M81" s="279"/>
    </row>
    <row r="82" spans="3:26" s="57" customFormat="1" ht="17.25" customHeight="1">
      <c r="C82" s="279"/>
      <c r="E82" s="279"/>
      <c r="G82" s="279"/>
      <c r="I82" s="279"/>
      <c r="K82" s="279"/>
      <c r="M82" s="279"/>
      <c r="R82" s="189"/>
      <c r="S82" s="188"/>
      <c r="T82" s="188"/>
      <c r="U82" s="188"/>
      <c r="V82" s="188"/>
      <c r="W82" s="188"/>
      <c r="X82" s="188"/>
      <c r="Y82" s="188"/>
      <c r="Z82" s="188"/>
    </row>
    <row r="83" spans="3:26" s="57" customFormat="1" ht="17.25" customHeight="1">
      <c r="C83" s="279"/>
      <c r="E83" s="279"/>
      <c r="G83" s="279"/>
      <c r="I83" s="279"/>
      <c r="K83" s="279"/>
      <c r="M83" s="279"/>
      <c r="R83" s="189"/>
      <c r="S83" s="188"/>
      <c r="T83" s="188"/>
      <c r="U83" s="188"/>
      <c r="V83" s="188"/>
      <c r="W83" s="188"/>
      <c r="X83" s="188"/>
      <c r="Y83" s="188"/>
      <c r="Z83" s="188"/>
    </row>
    <row r="84" spans="3:26" s="57" customFormat="1" ht="17.25" customHeight="1">
      <c r="C84" s="279"/>
      <c r="E84" s="279"/>
      <c r="G84" s="279"/>
      <c r="I84" s="279"/>
      <c r="K84" s="279"/>
      <c r="M84" s="279"/>
      <c r="R84" s="189"/>
      <c r="S84" s="188"/>
      <c r="T84" s="188"/>
      <c r="U84" s="188"/>
      <c r="V84" s="188"/>
      <c r="W84" s="188"/>
      <c r="X84" s="188"/>
      <c r="Y84" s="188"/>
      <c r="Z84" s="188"/>
    </row>
    <row r="85" spans="3:26" s="57" customFormat="1" ht="17.25" customHeight="1">
      <c r="C85" s="279"/>
      <c r="E85" s="279"/>
      <c r="G85" s="279"/>
      <c r="I85" s="279"/>
      <c r="K85" s="279"/>
      <c r="M85" s="279"/>
      <c r="R85" s="189"/>
      <c r="S85" s="188"/>
      <c r="T85" s="188"/>
      <c r="U85" s="188"/>
      <c r="V85" s="188"/>
      <c r="W85" s="188"/>
      <c r="X85" s="188"/>
      <c r="Y85" s="188"/>
      <c r="Z85" s="188"/>
    </row>
    <row r="86" spans="3:26" s="57" customFormat="1" ht="17.25" customHeight="1">
      <c r="C86" s="279"/>
      <c r="E86" s="279"/>
      <c r="G86" s="279"/>
      <c r="I86" s="279"/>
      <c r="K86" s="279"/>
      <c r="M86" s="279"/>
      <c r="R86" s="189"/>
      <c r="S86" s="188"/>
      <c r="T86" s="188"/>
      <c r="U86" s="188"/>
      <c r="V86" s="188"/>
      <c r="W86" s="188"/>
      <c r="X86" s="188"/>
      <c r="Y86" s="188"/>
      <c r="Z86" s="188"/>
    </row>
    <row r="87" spans="3:26" s="57" customFormat="1" ht="35.25" customHeight="1">
      <c r="C87" s="279"/>
      <c r="E87" s="279"/>
      <c r="G87" s="279"/>
      <c r="I87" s="279"/>
      <c r="K87" s="279"/>
      <c r="M87" s="279"/>
      <c r="R87" s="189"/>
      <c r="S87" s="188"/>
      <c r="T87" s="188"/>
      <c r="U87" s="188"/>
      <c r="V87" s="188"/>
      <c r="W87" s="188"/>
      <c r="X87" s="188"/>
      <c r="Y87" s="188"/>
      <c r="Z87" s="188"/>
    </row>
    <row r="88" spans="3:26" s="57" customFormat="1" ht="20.25" customHeight="1">
      <c r="C88" s="279"/>
      <c r="E88" s="279"/>
      <c r="G88" s="279"/>
      <c r="I88" s="279"/>
      <c r="K88" s="279"/>
      <c r="M88" s="279"/>
      <c r="R88" s="189"/>
      <c r="S88" s="188"/>
      <c r="T88" s="188"/>
      <c r="U88" s="188"/>
      <c r="V88" s="188"/>
      <c r="W88" s="188"/>
      <c r="X88" s="188"/>
      <c r="Y88" s="188"/>
      <c r="Z88" s="188"/>
    </row>
    <row r="89" spans="3:26" s="57" customFormat="1" ht="11.25">
      <c r="C89" s="279"/>
      <c r="E89" s="279"/>
      <c r="G89" s="279"/>
      <c r="I89" s="279"/>
      <c r="K89" s="279"/>
      <c r="M89" s="279"/>
      <c r="R89" s="189"/>
      <c r="S89" s="188"/>
      <c r="T89" s="188"/>
      <c r="U89" s="188"/>
      <c r="V89" s="188"/>
      <c r="W89" s="188"/>
      <c r="X89" s="188"/>
      <c r="Y89" s="188"/>
      <c r="Z89" s="188"/>
    </row>
    <row r="90" spans="3:26" s="57" customFormat="1" ht="11.25">
      <c r="C90" s="279"/>
      <c r="E90" s="279"/>
      <c r="G90" s="279"/>
      <c r="I90" s="279"/>
      <c r="K90" s="279"/>
      <c r="M90" s="279"/>
      <c r="R90" s="189"/>
      <c r="S90" s="188"/>
      <c r="T90" s="188"/>
      <c r="U90" s="188"/>
      <c r="V90" s="188"/>
      <c r="W90" s="188"/>
      <c r="X90" s="188"/>
      <c r="Y90" s="188"/>
      <c r="Z90" s="188"/>
    </row>
    <row r="91" spans="3:26" s="57" customFormat="1" ht="11.25">
      <c r="C91" s="279"/>
      <c r="E91" s="279"/>
      <c r="G91" s="279"/>
      <c r="I91" s="279"/>
      <c r="K91" s="279"/>
      <c r="M91" s="279"/>
      <c r="R91" s="189"/>
      <c r="S91" s="188"/>
      <c r="T91" s="188"/>
      <c r="U91" s="188"/>
      <c r="V91" s="188"/>
      <c r="W91" s="188"/>
      <c r="X91" s="188"/>
      <c r="Y91" s="188"/>
      <c r="Z91" s="188"/>
    </row>
    <row r="92" spans="3:71" s="65" customFormat="1" ht="12.75">
      <c r="C92" s="280"/>
      <c r="E92" s="280"/>
      <c r="G92" s="280"/>
      <c r="I92" s="280"/>
      <c r="K92" s="280"/>
      <c r="M92" s="280"/>
      <c r="R92" s="189"/>
      <c r="S92" s="188"/>
      <c r="T92" s="188"/>
      <c r="U92" s="188"/>
      <c r="V92" s="188"/>
      <c r="W92" s="188"/>
      <c r="X92" s="188"/>
      <c r="Y92" s="188"/>
      <c r="Z92" s="188"/>
      <c r="AA92" s="57"/>
      <c r="AB92" s="57"/>
      <c r="AC92" s="57"/>
      <c r="AD92" s="57"/>
      <c r="AE92" s="57"/>
      <c r="AF92" s="57"/>
      <c r="AG92" s="57"/>
      <c r="AH92" s="57"/>
      <c r="AI92" s="57"/>
      <c r="AJ92" s="57"/>
      <c r="AK92" s="57"/>
      <c r="AL92" s="57"/>
      <c r="AM92" s="57"/>
      <c r="AN92" s="57"/>
      <c r="AO92"/>
      <c r="AP92"/>
      <c r="AQ92"/>
      <c r="AR92"/>
      <c r="AS92"/>
      <c r="AT92"/>
      <c r="AU92"/>
      <c r="AV92"/>
      <c r="AW92"/>
      <c r="AX92"/>
      <c r="AY92"/>
      <c r="AZ92"/>
      <c r="BA92"/>
      <c r="BB92"/>
      <c r="BC92"/>
      <c r="BD92"/>
      <c r="BE92"/>
      <c r="BF92"/>
      <c r="BG92"/>
      <c r="BH92"/>
      <c r="BI92"/>
      <c r="BJ92"/>
      <c r="BK92"/>
      <c r="BL92"/>
      <c r="BM92"/>
      <c r="BN92"/>
      <c r="BO92"/>
      <c r="BP92"/>
      <c r="BQ92"/>
      <c r="BR92"/>
      <c r="BS92"/>
    </row>
    <row r="93" spans="3:71" s="65" customFormat="1" ht="12.75">
      <c r="C93" s="280"/>
      <c r="E93" s="280"/>
      <c r="G93" s="280"/>
      <c r="I93" s="280"/>
      <c r="K93" s="280"/>
      <c r="M93" s="280"/>
      <c r="R93" s="189"/>
      <c r="S93" s="188"/>
      <c r="T93" s="188"/>
      <c r="U93" s="188"/>
      <c r="V93" s="188"/>
      <c r="W93" s="188"/>
      <c r="X93" s="188"/>
      <c r="Y93" s="188"/>
      <c r="Z93" s="188"/>
      <c r="AA93" s="57"/>
      <c r="AB93" s="57"/>
      <c r="AC93" s="57"/>
      <c r="AD93" s="57"/>
      <c r="AE93" s="57"/>
      <c r="AF93" s="57"/>
      <c r="AG93" s="57"/>
      <c r="AH93" s="57"/>
      <c r="AI93" s="57"/>
      <c r="AJ93" s="57"/>
      <c r="AK93" s="57"/>
      <c r="AL93" s="57"/>
      <c r="AM93" s="57"/>
      <c r="AN93" s="57"/>
      <c r="AO93"/>
      <c r="AP93"/>
      <c r="AQ93"/>
      <c r="AR93"/>
      <c r="AS93"/>
      <c r="AT93"/>
      <c r="AU93"/>
      <c r="AV93"/>
      <c r="AW93"/>
      <c r="AX93"/>
      <c r="AY93"/>
      <c r="AZ93"/>
      <c r="BA93"/>
      <c r="BB93"/>
      <c r="BC93"/>
      <c r="BD93"/>
      <c r="BE93"/>
      <c r="BF93"/>
      <c r="BG93"/>
      <c r="BH93"/>
      <c r="BI93"/>
      <c r="BJ93"/>
      <c r="BK93"/>
      <c r="BL93"/>
      <c r="BM93"/>
      <c r="BN93"/>
      <c r="BO93"/>
      <c r="BP93"/>
      <c r="BQ93"/>
      <c r="BR93"/>
      <c r="BS93"/>
    </row>
    <row r="94" spans="3:71" s="65" customFormat="1" ht="12.75">
      <c r="C94" s="280"/>
      <c r="E94" s="280"/>
      <c r="G94" s="280"/>
      <c r="I94" s="280"/>
      <c r="K94" s="280"/>
      <c r="M94" s="280"/>
      <c r="R94" s="189"/>
      <c r="S94" s="188"/>
      <c r="T94" s="188"/>
      <c r="U94" s="188"/>
      <c r="V94" s="188"/>
      <c r="W94" s="188"/>
      <c r="X94" s="188"/>
      <c r="Y94" s="188"/>
      <c r="Z94" s="188"/>
      <c r="AA94" s="57"/>
      <c r="AB94" s="57"/>
      <c r="AC94" s="57"/>
      <c r="AD94" s="57"/>
      <c r="AE94" s="57"/>
      <c r="AF94" s="57"/>
      <c r="AG94" s="57"/>
      <c r="AH94" s="57"/>
      <c r="AI94" s="57"/>
      <c r="AJ94" s="57"/>
      <c r="AK94" s="57"/>
      <c r="AL94" s="57"/>
      <c r="AM94" s="57"/>
      <c r="AN94" s="57"/>
      <c r="AO94"/>
      <c r="AP94"/>
      <c r="AQ94"/>
      <c r="AR94"/>
      <c r="AS94"/>
      <c r="AT94"/>
      <c r="AU94"/>
      <c r="AV94"/>
      <c r="AW94"/>
      <c r="AX94"/>
      <c r="AY94"/>
      <c r="AZ94"/>
      <c r="BA94"/>
      <c r="BB94"/>
      <c r="BC94"/>
      <c r="BD94"/>
      <c r="BE94"/>
      <c r="BF94"/>
      <c r="BG94"/>
      <c r="BH94"/>
      <c r="BI94"/>
      <c r="BJ94"/>
      <c r="BK94"/>
      <c r="BL94"/>
      <c r="BM94"/>
      <c r="BN94"/>
      <c r="BO94"/>
      <c r="BP94"/>
      <c r="BQ94"/>
      <c r="BR94"/>
      <c r="BS94"/>
    </row>
    <row r="95" spans="3:71" s="65" customFormat="1" ht="12.75">
      <c r="C95" s="280"/>
      <c r="E95" s="280"/>
      <c r="G95" s="280"/>
      <c r="I95" s="280"/>
      <c r="K95" s="280"/>
      <c r="M95" s="280"/>
      <c r="R95" s="189"/>
      <c r="S95" s="188"/>
      <c r="T95" s="188"/>
      <c r="U95" s="188"/>
      <c r="V95" s="188"/>
      <c r="W95" s="188"/>
      <c r="X95" s="188"/>
      <c r="Y95" s="188"/>
      <c r="Z95" s="188"/>
      <c r="AA95" s="57"/>
      <c r="AB95" s="57"/>
      <c r="AC95" s="57"/>
      <c r="AD95" s="57"/>
      <c r="AE95" s="57"/>
      <c r="AF95" s="57"/>
      <c r="AG95" s="57"/>
      <c r="AH95" s="57"/>
      <c r="AI95" s="57"/>
      <c r="AJ95" s="57"/>
      <c r="AK95" s="57"/>
      <c r="AL95" s="57"/>
      <c r="AM95" s="57"/>
      <c r="AN95" s="57"/>
      <c r="AO95"/>
      <c r="AP95"/>
      <c r="AQ95"/>
      <c r="AR95"/>
      <c r="AS95"/>
      <c r="AT95"/>
      <c r="AU95"/>
      <c r="AV95"/>
      <c r="AW95"/>
      <c r="AX95"/>
      <c r="AY95"/>
      <c r="AZ95"/>
      <c r="BA95"/>
      <c r="BB95"/>
      <c r="BC95"/>
      <c r="BD95"/>
      <c r="BE95"/>
      <c r="BF95"/>
      <c r="BG95"/>
      <c r="BH95"/>
      <c r="BI95"/>
      <c r="BJ95"/>
      <c r="BK95"/>
      <c r="BL95"/>
      <c r="BM95"/>
      <c r="BN95"/>
      <c r="BO95"/>
      <c r="BP95"/>
      <c r="BQ95"/>
      <c r="BR95"/>
      <c r="BS95"/>
    </row>
    <row r="96" spans="3:71" s="65" customFormat="1" ht="12.75">
      <c r="C96" s="280"/>
      <c r="E96" s="280"/>
      <c r="G96" s="280"/>
      <c r="I96" s="280"/>
      <c r="K96" s="280"/>
      <c r="M96" s="280"/>
      <c r="R96" s="189"/>
      <c r="S96" s="188"/>
      <c r="T96" s="188"/>
      <c r="U96" s="188"/>
      <c r="V96" s="188"/>
      <c r="W96" s="188"/>
      <c r="X96" s="188"/>
      <c r="Y96" s="188"/>
      <c r="Z96" s="188"/>
      <c r="AA96" s="57"/>
      <c r="AB96" s="57"/>
      <c r="AC96" s="57"/>
      <c r="AD96" s="57"/>
      <c r="AE96" s="57"/>
      <c r="AF96" s="57"/>
      <c r="AG96" s="57"/>
      <c r="AH96" s="57"/>
      <c r="AI96" s="57"/>
      <c r="AJ96" s="57"/>
      <c r="AK96" s="57"/>
      <c r="AL96" s="57"/>
      <c r="AM96" s="57"/>
      <c r="AN96" s="57"/>
      <c r="AO96"/>
      <c r="AP96"/>
      <c r="AQ96"/>
      <c r="AR96"/>
      <c r="AS96"/>
      <c r="AT96"/>
      <c r="AU96"/>
      <c r="AV96"/>
      <c r="AW96"/>
      <c r="AX96"/>
      <c r="AY96"/>
      <c r="AZ96"/>
      <c r="BA96"/>
      <c r="BB96"/>
      <c r="BC96"/>
      <c r="BD96"/>
      <c r="BE96"/>
      <c r="BF96"/>
      <c r="BG96"/>
      <c r="BH96"/>
      <c r="BI96"/>
      <c r="BJ96"/>
      <c r="BK96"/>
      <c r="BL96"/>
      <c r="BM96"/>
      <c r="BN96"/>
      <c r="BO96"/>
      <c r="BP96"/>
      <c r="BQ96"/>
      <c r="BR96"/>
      <c r="BS96"/>
    </row>
    <row r="97" spans="3:71" s="65" customFormat="1" ht="12.75">
      <c r="C97" s="280"/>
      <c r="E97" s="280"/>
      <c r="G97" s="280"/>
      <c r="I97" s="280"/>
      <c r="K97" s="280"/>
      <c r="M97" s="280"/>
      <c r="R97" s="189"/>
      <c r="S97" s="188"/>
      <c r="T97" s="188"/>
      <c r="U97" s="188"/>
      <c r="V97" s="188"/>
      <c r="W97" s="188"/>
      <c r="X97" s="188"/>
      <c r="Y97" s="188"/>
      <c r="Z97" s="188"/>
      <c r="AA97" s="57"/>
      <c r="AB97" s="57"/>
      <c r="AC97" s="57"/>
      <c r="AD97" s="57"/>
      <c r="AE97" s="57"/>
      <c r="AF97" s="57"/>
      <c r="AG97" s="57"/>
      <c r="AH97" s="57"/>
      <c r="AI97" s="57"/>
      <c r="AJ97" s="57"/>
      <c r="AK97" s="57"/>
      <c r="AL97" s="57"/>
      <c r="AM97" s="57"/>
      <c r="AN97" s="57"/>
      <c r="AO97"/>
      <c r="AP97"/>
      <c r="AQ97"/>
      <c r="AR97"/>
      <c r="AS97"/>
      <c r="AT97"/>
      <c r="AU97"/>
      <c r="AV97"/>
      <c r="AW97"/>
      <c r="AX97"/>
      <c r="AY97"/>
      <c r="AZ97"/>
      <c r="BA97"/>
      <c r="BB97"/>
      <c r="BC97"/>
      <c r="BD97"/>
      <c r="BE97"/>
      <c r="BF97"/>
      <c r="BG97"/>
      <c r="BH97"/>
      <c r="BI97"/>
      <c r="BJ97"/>
      <c r="BK97"/>
      <c r="BL97"/>
      <c r="BM97"/>
      <c r="BN97"/>
      <c r="BO97"/>
      <c r="BP97"/>
      <c r="BQ97"/>
      <c r="BR97"/>
      <c r="BS97"/>
    </row>
    <row r="98" spans="3:71" s="65" customFormat="1" ht="12.75">
      <c r="C98" s="280"/>
      <c r="E98" s="280"/>
      <c r="G98" s="280"/>
      <c r="I98" s="280"/>
      <c r="K98" s="280"/>
      <c r="M98" s="280"/>
      <c r="R98" s="189"/>
      <c r="S98" s="188"/>
      <c r="T98" s="188"/>
      <c r="U98" s="188"/>
      <c r="V98" s="188"/>
      <c r="W98" s="188"/>
      <c r="X98" s="188"/>
      <c r="Y98" s="188"/>
      <c r="Z98" s="188"/>
      <c r="AA98" s="57"/>
      <c r="AB98" s="57"/>
      <c r="AC98" s="57"/>
      <c r="AD98" s="57"/>
      <c r="AE98" s="57"/>
      <c r="AF98" s="57"/>
      <c r="AG98" s="57"/>
      <c r="AH98" s="57"/>
      <c r="AI98" s="57"/>
      <c r="AJ98" s="57"/>
      <c r="AK98" s="57"/>
      <c r="AL98" s="57"/>
      <c r="AM98" s="57"/>
      <c r="AN98" s="57"/>
      <c r="AO98"/>
      <c r="AP98"/>
      <c r="AQ98"/>
      <c r="AR98"/>
      <c r="AS98"/>
      <c r="AT98"/>
      <c r="AU98"/>
      <c r="AV98"/>
      <c r="AW98"/>
      <c r="AX98"/>
      <c r="AY98"/>
      <c r="AZ98"/>
      <c r="BA98"/>
      <c r="BB98"/>
      <c r="BC98"/>
      <c r="BD98"/>
      <c r="BE98"/>
      <c r="BF98"/>
      <c r="BG98"/>
      <c r="BH98"/>
      <c r="BI98"/>
      <c r="BJ98"/>
      <c r="BK98"/>
      <c r="BL98"/>
      <c r="BM98"/>
      <c r="BN98"/>
      <c r="BO98"/>
      <c r="BP98"/>
      <c r="BQ98"/>
      <c r="BR98"/>
      <c r="BS98"/>
    </row>
    <row r="99" spans="3:71" s="65" customFormat="1" ht="12.75">
      <c r="C99" s="280"/>
      <c r="E99" s="280"/>
      <c r="G99" s="280"/>
      <c r="I99" s="280"/>
      <c r="K99" s="280"/>
      <c r="M99" s="280"/>
      <c r="R99" s="189"/>
      <c r="S99" s="188"/>
      <c r="T99" s="188"/>
      <c r="U99" s="188"/>
      <c r="V99" s="188"/>
      <c r="W99" s="188"/>
      <c r="X99" s="188"/>
      <c r="Y99" s="188"/>
      <c r="Z99" s="188"/>
      <c r="AA99" s="57"/>
      <c r="AB99" s="57"/>
      <c r="AC99" s="57"/>
      <c r="AD99" s="57"/>
      <c r="AE99" s="57"/>
      <c r="AF99" s="57"/>
      <c r="AG99" s="57"/>
      <c r="AH99" s="57"/>
      <c r="AI99" s="57"/>
      <c r="AJ99" s="57"/>
      <c r="AK99" s="57"/>
      <c r="AL99" s="57"/>
      <c r="AM99" s="57"/>
      <c r="AN99" s="57"/>
      <c r="AO99"/>
      <c r="AP99"/>
      <c r="AQ99"/>
      <c r="AR99"/>
      <c r="AS99"/>
      <c r="AT99"/>
      <c r="AU99"/>
      <c r="AV99"/>
      <c r="AW99"/>
      <c r="AX99"/>
      <c r="AY99"/>
      <c r="AZ99"/>
      <c r="BA99"/>
      <c r="BB99"/>
      <c r="BC99"/>
      <c r="BD99"/>
      <c r="BE99"/>
      <c r="BF99"/>
      <c r="BG99"/>
      <c r="BH99"/>
      <c r="BI99"/>
      <c r="BJ99"/>
      <c r="BK99"/>
      <c r="BL99"/>
      <c r="BM99"/>
      <c r="BN99"/>
      <c r="BO99"/>
      <c r="BP99"/>
      <c r="BQ99"/>
      <c r="BR99"/>
      <c r="BS99"/>
    </row>
    <row r="100" spans="3:71" s="65" customFormat="1" ht="12.75">
      <c r="C100" s="280"/>
      <c r="E100" s="280"/>
      <c r="G100" s="280"/>
      <c r="I100" s="280"/>
      <c r="K100" s="280"/>
      <c r="M100" s="280"/>
      <c r="R100" s="189"/>
      <c r="S100" s="188"/>
      <c r="T100" s="188"/>
      <c r="U100" s="188"/>
      <c r="V100" s="188"/>
      <c r="W100" s="188"/>
      <c r="X100" s="188"/>
      <c r="Y100" s="188"/>
      <c r="Z100" s="188"/>
      <c r="AA100" s="57"/>
      <c r="AB100" s="57"/>
      <c r="AC100" s="57"/>
      <c r="AD100" s="57"/>
      <c r="AE100" s="57"/>
      <c r="AF100" s="57"/>
      <c r="AG100" s="57"/>
      <c r="AH100" s="57"/>
      <c r="AI100" s="57"/>
      <c r="AJ100" s="57"/>
      <c r="AK100" s="57"/>
      <c r="AL100" s="57"/>
      <c r="AM100" s="57"/>
      <c r="AN100" s="57"/>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row>
    <row r="101" spans="3:71" s="65" customFormat="1" ht="12.75">
      <c r="C101" s="280"/>
      <c r="E101" s="280"/>
      <c r="G101" s="280"/>
      <c r="I101" s="280"/>
      <c r="K101" s="280"/>
      <c r="M101" s="280"/>
      <c r="R101" s="189"/>
      <c r="S101" s="188"/>
      <c r="T101" s="188"/>
      <c r="U101" s="188"/>
      <c r="V101" s="188"/>
      <c r="W101" s="188"/>
      <c r="X101" s="188"/>
      <c r="Y101" s="188"/>
      <c r="Z101" s="188"/>
      <c r="AA101" s="57"/>
      <c r="AB101" s="57"/>
      <c r="AC101" s="57"/>
      <c r="AD101" s="57"/>
      <c r="AE101" s="57"/>
      <c r="AF101" s="57"/>
      <c r="AG101" s="57"/>
      <c r="AH101" s="57"/>
      <c r="AI101" s="57"/>
      <c r="AJ101" s="57"/>
      <c r="AK101" s="57"/>
      <c r="AL101" s="57"/>
      <c r="AM101" s="57"/>
      <c r="AN101" s="57"/>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row>
    <row r="102" spans="3:71" s="65" customFormat="1" ht="12.75">
      <c r="C102" s="280"/>
      <c r="E102" s="280"/>
      <c r="G102" s="280"/>
      <c r="I102" s="280"/>
      <c r="K102" s="280"/>
      <c r="M102" s="280"/>
      <c r="R102" s="189"/>
      <c r="S102" s="188"/>
      <c r="T102" s="188"/>
      <c r="U102" s="188"/>
      <c r="V102" s="188"/>
      <c r="W102" s="188"/>
      <c r="X102" s="188"/>
      <c r="Y102" s="188"/>
      <c r="Z102" s="188"/>
      <c r="AA102" s="57"/>
      <c r="AB102" s="57"/>
      <c r="AC102" s="57"/>
      <c r="AD102" s="57"/>
      <c r="AE102" s="57"/>
      <c r="AF102" s="57"/>
      <c r="AG102" s="57"/>
      <c r="AH102" s="57"/>
      <c r="AI102" s="57"/>
      <c r="AJ102" s="57"/>
      <c r="AK102" s="57"/>
      <c r="AL102" s="57"/>
      <c r="AM102" s="57"/>
      <c r="AN102" s="57"/>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row>
    <row r="103" spans="3:71" s="65" customFormat="1" ht="12.75">
      <c r="C103" s="280"/>
      <c r="E103" s="280"/>
      <c r="G103" s="280"/>
      <c r="I103" s="280"/>
      <c r="K103" s="280"/>
      <c r="M103" s="280"/>
      <c r="R103" s="189"/>
      <c r="S103" s="188"/>
      <c r="T103" s="188"/>
      <c r="U103" s="188"/>
      <c r="V103" s="188"/>
      <c r="W103" s="188"/>
      <c r="X103" s="188"/>
      <c r="Y103" s="188"/>
      <c r="Z103" s="188"/>
      <c r="AA103" s="57"/>
      <c r="AB103" s="57"/>
      <c r="AC103" s="57"/>
      <c r="AD103" s="57"/>
      <c r="AE103" s="57"/>
      <c r="AF103" s="57"/>
      <c r="AG103" s="57"/>
      <c r="AH103" s="57"/>
      <c r="AI103" s="57"/>
      <c r="AJ103" s="57"/>
      <c r="AK103" s="57"/>
      <c r="AL103" s="57"/>
      <c r="AM103" s="57"/>
      <c r="AN103" s="57"/>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row>
    <row r="104" spans="3:71" s="65" customFormat="1" ht="12.75">
      <c r="C104" s="280"/>
      <c r="E104" s="280"/>
      <c r="G104" s="280"/>
      <c r="I104" s="280"/>
      <c r="K104" s="280"/>
      <c r="M104" s="280"/>
      <c r="R104" s="189"/>
      <c r="S104" s="188"/>
      <c r="T104" s="188"/>
      <c r="U104" s="188"/>
      <c r="V104" s="188"/>
      <c r="W104" s="188"/>
      <c r="X104" s="188"/>
      <c r="Y104" s="188"/>
      <c r="Z104" s="188"/>
      <c r="AA104" s="57"/>
      <c r="AB104" s="57"/>
      <c r="AC104" s="57"/>
      <c r="AD104" s="57"/>
      <c r="AE104" s="57"/>
      <c r="AF104" s="57"/>
      <c r="AG104" s="57"/>
      <c r="AH104" s="57"/>
      <c r="AI104" s="57"/>
      <c r="AJ104" s="57"/>
      <c r="AK104" s="57"/>
      <c r="AL104" s="57"/>
      <c r="AM104" s="57"/>
      <c r="AN104" s="57"/>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row>
    <row r="105" spans="3:71" s="65" customFormat="1" ht="12.75">
      <c r="C105" s="280"/>
      <c r="E105" s="280"/>
      <c r="G105" s="280"/>
      <c r="I105" s="280"/>
      <c r="K105" s="280"/>
      <c r="M105" s="280"/>
      <c r="R105" s="189"/>
      <c r="S105" s="188"/>
      <c r="T105" s="188"/>
      <c r="U105" s="188"/>
      <c r="V105" s="188"/>
      <c r="W105" s="188"/>
      <c r="X105" s="188"/>
      <c r="Y105" s="188"/>
      <c r="Z105" s="188"/>
      <c r="AA105" s="57"/>
      <c r="AB105" s="57"/>
      <c r="AC105" s="57"/>
      <c r="AD105" s="57"/>
      <c r="AE105" s="57"/>
      <c r="AF105" s="57"/>
      <c r="AG105" s="57"/>
      <c r="AH105" s="57"/>
      <c r="AI105" s="57"/>
      <c r="AJ105" s="57"/>
      <c r="AK105" s="57"/>
      <c r="AL105" s="57"/>
      <c r="AM105" s="57"/>
      <c r="AN105" s="57"/>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row>
    <row r="106" spans="3:71" s="65" customFormat="1" ht="12.75">
      <c r="C106" s="280"/>
      <c r="E106" s="280"/>
      <c r="G106" s="280"/>
      <c r="I106" s="280"/>
      <c r="K106" s="280"/>
      <c r="M106" s="280"/>
      <c r="R106" s="189"/>
      <c r="S106" s="188"/>
      <c r="T106" s="188"/>
      <c r="U106" s="188"/>
      <c r="V106" s="188"/>
      <c r="W106" s="188"/>
      <c r="X106" s="188"/>
      <c r="Y106" s="188"/>
      <c r="Z106" s="188"/>
      <c r="AA106" s="57"/>
      <c r="AB106" s="57"/>
      <c r="AC106" s="57"/>
      <c r="AD106" s="57"/>
      <c r="AE106" s="57"/>
      <c r="AF106" s="57"/>
      <c r="AG106" s="57"/>
      <c r="AH106" s="57"/>
      <c r="AI106" s="57"/>
      <c r="AJ106" s="57"/>
      <c r="AK106" s="57"/>
      <c r="AL106" s="57"/>
      <c r="AM106" s="57"/>
      <c r="AN106" s="57"/>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row>
    <row r="107" spans="3:71" s="65" customFormat="1" ht="12.75">
      <c r="C107" s="280"/>
      <c r="E107" s="280"/>
      <c r="G107" s="280"/>
      <c r="I107" s="280"/>
      <c r="K107" s="280"/>
      <c r="M107" s="280"/>
      <c r="R107" s="189"/>
      <c r="S107" s="188"/>
      <c r="T107" s="188"/>
      <c r="U107" s="188"/>
      <c r="V107" s="188"/>
      <c r="W107" s="188"/>
      <c r="X107" s="188"/>
      <c r="Y107" s="188"/>
      <c r="Z107" s="188"/>
      <c r="AA107" s="57"/>
      <c r="AB107" s="57"/>
      <c r="AC107" s="57"/>
      <c r="AD107" s="57"/>
      <c r="AE107" s="57"/>
      <c r="AF107" s="57"/>
      <c r="AG107" s="57"/>
      <c r="AH107" s="57"/>
      <c r="AI107" s="57"/>
      <c r="AJ107" s="57"/>
      <c r="AK107" s="57"/>
      <c r="AL107" s="57"/>
      <c r="AM107" s="57"/>
      <c r="AN107" s="5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row>
    <row r="108" spans="3:71" s="65" customFormat="1" ht="12.75">
      <c r="C108" s="280"/>
      <c r="E108" s="280"/>
      <c r="G108" s="280"/>
      <c r="I108" s="280"/>
      <c r="K108" s="280"/>
      <c r="M108" s="280"/>
      <c r="R108" s="189"/>
      <c r="S108" s="188"/>
      <c r="T108" s="188"/>
      <c r="U108" s="188"/>
      <c r="V108" s="188"/>
      <c r="W108" s="188"/>
      <c r="X108" s="188"/>
      <c r="Y108" s="188"/>
      <c r="Z108" s="188"/>
      <c r="AA108" s="57"/>
      <c r="AB108" s="57"/>
      <c r="AC108" s="57"/>
      <c r="AD108" s="57"/>
      <c r="AE108" s="57"/>
      <c r="AF108" s="57"/>
      <c r="AG108" s="57"/>
      <c r="AH108" s="57"/>
      <c r="AI108" s="57"/>
      <c r="AJ108" s="57"/>
      <c r="AK108" s="57"/>
      <c r="AL108" s="57"/>
      <c r="AM108" s="57"/>
      <c r="AN108" s="57"/>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row>
    <row r="109" spans="3:71" s="65" customFormat="1" ht="12.75">
      <c r="C109" s="280"/>
      <c r="E109" s="280"/>
      <c r="G109" s="280"/>
      <c r="I109" s="280"/>
      <c r="K109" s="280"/>
      <c r="M109" s="280"/>
      <c r="R109" s="189"/>
      <c r="S109" s="188"/>
      <c r="T109" s="188"/>
      <c r="U109" s="188"/>
      <c r="V109" s="188"/>
      <c r="W109" s="188"/>
      <c r="X109" s="188"/>
      <c r="Y109" s="188"/>
      <c r="Z109" s="188"/>
      <c r="AA109" s="57"/>
      <c r="AB109" s="57"/>
      <c r="AC109" s="57"/>
      <c r="AD109" s="57"/>
      <c r="AE109" s="57"/>
      <c r="AF109" s="57"/>
      <c r="AG109" s="57"/>
      <c r="AH109" s="57"/>
      <c r="AI109" s="57"/>
      <c r="AJ109" s="57"/>
      <c r="AK109" s="57"/>
      <c r="AL109" s="57"/>
      <c r="AM109" s="57"/>
      <c r="AN109" s="57"/>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row>
    <row r="110" spans="3:71" s="65" customFormat="1" ht="12.75">
      <c r="C110" s="280"/>
      <c r="E110" s="280"/>
      <c r="G110" s="280"/>
      <c r="I110" s="280"/>
      <c r="K110" s="280"/>
      <c r="M110" s="280"/>
      <c r="R110" s="189"/>
      <c r="S110" s="188"/>
      <c r="T110" s="188"/>
      <c r="U110" s="188"/>
      <c r="V110" s="188"/>
      <c r="W110" s="188"/>
      <c r="X110" s="188"/>
      <c r="Y110" s="188"/>
      <c r="Z110" s="188"/>
      <c r="AA110" s="57"/>
      <c r="AB110" s="57"/>
      <c r="AC110" s="57"/>
      <c r="AD110" s="57"/>
      <c r="AE110" s="57"/>
      <c r="AF110" s="57"/>
      <c r="AG110" s="57"/>
      <c r="AH110" s="57"/>
      <c r="AI110" s="57"/>
      <c r="AJ110" s="57"/>
      <c r="AK110" s="57"/>
      <c r="AL110" s="57"/>
      <c r="AM110" s="57"/>
      <c r="AN110" s="57"/>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row>
    <row r="111" spans="3:71" s="65" customFormat="1" ht="12.75">
      <c r="C111" s="280"/>
      <c r="E111" s="280"/>
      <c r="G111" s="280"/>
      <c r="I111" s="280"/>
      <c r="K111" s="280"/>
      <c r="M111" s="280"/>
      <c r="R111" s="189"/>
      <c r="S111" s="188"/>
      <c r="T111" s="188"/>
      <c r="U111" s="188"/>
      <c r="V111" s="188"/>
      <c r="W111" s="188"/>
      <c r="X111" s="188"/>
      <c r="Y111" s="188"/>
      <c r="Z111" s="188"/>
      <c r="AA111" s="57"/>
      <c r="AB111" s="57"/>
      <c r="AC111" s="57"/>
      <c r="AD111" s="57"/>
      <c r="AE111" s="57"/>
      <c r="AF111" s="57"/>
      <c r="AG111" s="57"/>
      <c r="AH111" s="57"/>
      <c r="AI111" s="57"/>
      <c r="AJ111" s="57"/>
      <c r="AK111" s="57"/>
      <c r="AL111" s="57"/>
      <c r="AM111" s="57"/>
      <c r="AN111" s="57"/>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row>
    <row r="112" spans="3:71" s="65" customFormat="1" ht="12.75">
      <c r="C112" s="280"/>
      <c r="E112" s="280"/>
      <c r="G112" s="280"/>
      <c r="I112" s="280"/>
      <c r="K112" s="280"/>
      <c r="M112" s="280"/>
      <c r="R112" s="189"/>
      <c r="S112" s="188"/>
      <c r="T112" s="188"/>
      <c r="U112" s="188"/>
      <c r="V112" s="188"/>
      <c r="W112" s="188"/>
      <c r="X112" s="188"/>
      <c r="Y112" s="188"/>
      <c r="Z112" s="188"/>
      <c r="AA112" s="57"/>
      <c r="AB112" s="57"/>
      <c r="AC112" s="57"/>
      <c r="AD112" s="57"/>
      <c r="AE112" s="57"/>
      <c r="AF112" s="57"/>
      <c r="AG112" s="57"/>
      <c r="AH112" s="57"/>
      <c r="AI112" s="57"/>
      <c r="AJ112" s="57"/>
      <c r="AK112" s="57"/>
      <c r="AL112" s="57"/>
      <c r="AM112" s="57"/>
      <c r="AN112" s="57"/>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row>
    <row r="113" spans="3:71" s="65" customFormat="1" ht="12.75">
      <c r="C113" s="280"/>
      <c r="E113" s="280"/>
      <c r="G113" s="280"/>
      <c r="I113" s="280"/>
      <c r="K113" s="280"/>
      <c r="M113" s="280"/>
      <c r="R113" s="189"/>
      <c r="S113" s="188"/>
      <c r="T113" s="188"/>
      <c r="U113" s="188"/>
      <c r="V113" s="188"/>
      <c r="W113" s="188"/>
      <c r="X113" s="188"/>
      <c r="Y113" s="188"/>
      <c r="Z113" s="188"/>
      <c r="AA113" s="57"/>
      <c r="AB113" s="57"/>
      <c r="AC113" s="57"/>
      <c r="AD113" s="57"/>
      <c r="AE113" s="57"/>
      <c r="AF113" s="57"/>
      <c r="AG113" s="57"/>
      <c r="AH113" s="57"/>
      <c r="AI113" s="57"/>
      <c r="AJ113" s="57"/>
      <c r="AK113" s="57"/>
      <c r="AL113" s="57"/>
      <c r="AM113" s="57"/>
      <c r="AN113" s="57"/>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row>
    <row r="114" spans="3:71" s="65" customFormat="1" ht="12.75">
      <c r="C114" s="280"/>
      <c r="E114" s="280"/>
      <c r="G114" s="280"/>
      <c r="I114" s="280"/>
      <c r="K114" s="280"/>
      <c r="M114" s="280"/>
      <c r="R114" s="189"/>
      <c r="S114" s="188"/>
      <c r="T114" s="188"/>
      <c r="U114" s="188"/>
      <c r="V114" s="188"/>
      <c r="W114" s="188"/>
      <c r="X114" s="188"/>
      <c r="Y114" s="188"/>
      <c r="Z114" s="188"/>
      <c r="AA114" s="57"/>
      <c r="AB114" s="57"/>
      <c r="AC114" s="57"/>
      <c r="AD114" s="57"/>
      <c r="AE114" s="57"/>
      <c r="AF114" s="57"/>
      <c r="AG114" s="57"/>
      <c r="AH114" s="57"/>
      <c r="AI114" s="57"/>
      <c r="AJ114" s="57"/>
      <c r="AK114" s="57"/>
      <c r="AL114" s="57"/>
      <c r="AM114" s="57"/>
      <c r="AN114" s="57"/>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row>
    <row r="115" spans="3:71" s="65" customFormat="1" ht="12.75">
      <c r="C115" s="280"/>
      <c r="E115" s="280"/>
      <c r="G115" s="280"/>
      <c r="I115" s="280"/>
      <c r="K115" s="280"/>
      <c r="M115" s="280"/>
      <c r="R115" s="189"/>
      <c r="S115" s="188"/>
      <c r="T115" s="188"/>
      <c r="U115" s="188"/>
      <c r="V115" s="188"/>
      <c r="W115" s="188"/>
      <c r="X115" s="188"/>
      <c r="Y115" s="188"/>
      <c r="Z115" s="188"/>
      <c r="AA115" s="57"/>
      <c r="AB115" s="57"/>
      <c r="AC115" s="57"/>
      <c r="AD115" s="57"/>
      <c r="AE115" s="57"/>
      <c r="AF115" s="57"/>
      <c r="AG115" s="57"/>
      <c r="AH115" s="57"/>
      <c r="AI115" s="57"/>
      <c r="AJ115" s="57"/>
      <c r="AK115" s="57"/>
      <c r="AL115" s="57"/>
      <c r="AM115" s="57"/>
      <c r="AN115" s="57"/>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row>
    <row r="116" spans="3:71" s="65" customFormat="1" ht="12.75">
      <c r="C116" s="280"/>
      <c r="E116" s="280"/>
      <c r="G116" s="280"/>
      <c r="I116" s="280"/>
      <c r="K116" s="280"/>
      <c r="M116" s="280"/>
      <c r="R116" s="189"/>
      <c r="S116" s="188"/>
      <c r="T116" s="188"/>
      <c r="U116" s="188"/>
      <c r="V116" s="188"/>
      <c r="W116" s="188"/>
      <c r="X116" s="188"/>
      <c r="Y116" s="188"/>
      <c r="Z116" s="188"/>
      <c r="AA116" s="57"/>
      <c r="AB116" s="57"/>
      <c r="AC116" s="57"/>
      <c r="AD116" s="57"/>
      <c r="AE116" s="57"/>
      <c r="AF116" s="57"/>
      <c r="AG116" s="57"/>
      <c r="AH116" s="57"/>
      <c r="AI116" s="57"/>
      <c r="AJ116" s="57"/>
      <c r="AK116" s="57"/>
      <c r="AL116" s="57"/>
      <c r="AM116" s="57"/>
      <c r="AN116" s="57"/>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row>
    <row r="117" spans="3:71" s="65" customFormat="1" ht="12.75">
      <c r="C117" s="280"/>
      <c r="E117" s="280"/>
      <c r="G117" s="280"/>
      <c r="I117" s="280"/>
      <c r="K117" s="280"/>
      <c r="M117" s="280"/>
      <c r="R117" s="189"/>
      <c r="S117" s="188"/>
      <c r="T117" s="188"/>
      <c r="U117" s="188"/>
      <c r="V117" s="188"/>
      <c r="W117" s="188"/>
      <c r="X117" s="188"/>
      <c r="Y117" s="188"/>
      <c r="Z117" s="188"/>
      <c r="AA117" s="57"/>
      <c r="AB117" s="57"/>
      <c r="AC117" s="57"/>
      <c r="AD117" s="57"/>
      <c r="AE117" s="57"/>
      <c r="AF117" s="57"/>
      <c r="AG117" s="57"/>
      <c r="AH117" s="57"/>
      <c r="AI117" s="57"/>
      <c r="AJ117" s="57"/>
      <c r="AK117" s="57"/>
      <c r="AL117" s="57"/>
      <c r="AM117" s="57"/>
      <c r="AN117" s="5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row>
    <row r="118" spans="3:71" s="65" customFormat="1" ht="12.75">
      <c r="C118" s="280"/>
      <c r="E118" s="280"/>
      <c r="G118" s="280"/>
      <c r="I118" s="280"/>
      <c r="K118" s="280"/>
      <c r="M118" s="280"/>
      <c r="R118" s="189"/>
      <c r="S118" s="188"/>
      <c r="T118" s="188"/>
      <c r="U118" s="188"/>
      <c r="V118" s="188"/>
      <c r="W118" s="188"/>
      <c r="X118" s="188"/>
      <c r="Y118" s="188"/>
      <c r="Z118" s="188"/>
      <c r="AA118" s="57"/>
      <c r="AB118" s="57"/>
      <c r="AC118" s="57"/>
      <c r="AD118" s="57"/>
      <c r="AE118" s="57"/>
      <c r="AF118" s="57"/>
      <c r="AG118" s="57"/>
      <c r="AH118" s="57"/>
      <c r="AI118" s="57"/>
      <c r="AJ118" s="57"/>
      <c r="AK118" s="57"/>
      <c r="AL118" s="57"/>
      <c r="AM118" s="57"/>
      <c r="AN118" s="57"/>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row>
    <row r="119" spans="3:71" s="65" customFormat="1" ht="12.75">
      <c r="C119" s="280"/>
      <c r="E119" s="280"/>
      <c r="G119" s="280"/>
      <c r="I119" s="280"/>
      <c r="K119" s="280"/>
      <c r="M119" s="280"/>
      <c r="R119" s="189"/>
      <c r="S119" s="188"/>
      <c r="T119" s="188"/>
      <c r="U119" s="188"/>
      <c r="V119" s="188"/>
      <c r="W119" s="188"/>
      <c r="X119" s="188"/>
      <c r="Y119" s="188"/>
      <c r="Z119" s="188"/>
      <c r="AA119" s="57"/>
      <c r="AB119" s="57"/>
      <c r="AC119" s="57"/>
      <c r="AD119" s="57"/>
      <c r="AE119" s="57"/>
      <c r="AF119" s="57"/>
      <c r="AG119" s="57"/>
      <c r="AH119" s="57"/>
      <c r="AI119" s="57"/>
      <c r="AJ119" s="57"/>
      <c r="AK119" s="57"/>
      <c r="AL119" s="57"/>
      <c r="AM119" s="57"/>
      <c r="AN119" s="57"/>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row>
    <row r="120" spans="3:71" s="65" customFormat="1" ht="12.75">
      <c r="C120" s="280"/>
      <c r="E120" s="280"/>
      <c r="G120" s="280"/>
      <c r="I120" s="280"/>
      <c r="K120" s="280"/>
      <c r="M120" s="280"/>
      <c r="R120" s="189"/>
      <c r="S120" s="188"/>
      <c r="T120" s="188"/>
      <c r="U120" s="188"/>
      <c r="V120" s="188"/>
      <c r="W120" s="188"/>
      <c r="X120" s="188"/>
      <c r="Y120" s="188"/>
      <c r="Z120" s="188"/>
      <c r="AA120" s="57"/>
      <c r="AB120" s="57"/>
      <c r="AC120" s="57"/>
      <c r="AD120" s="57"/>
      <c r="AE120" s="57"/>
      <c r="AF120" s="57"/>
      <c r="AG120" s="57"/>
      <c r="AH120" s="57"/>
      <c r="AI120" s="57"/>
      <c r="AJ120" s="57"/>
      <c r="AK120" s="57"/>
      <c r="AL120" s="57"/>
      <c r="AM120" s="57"/>
      <c r="AN120" s="57"/>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row>
    <row r="121" spans="3:71" s="65" customFormat="1" ht="12.75">
      <c r="C121" s="280"/>
      <c r="E121" s="280"/>
      <c r="G121" s="280"/>
      <c r="I121" s="280"/>
      <c r="K121" s="280"/>
      <c r="M121" s="280"/>
      <c r="R121" s="189"/>
      <c r="S121" s="188"/>
      <c r="T121" s="188"/>
      <c r="U121" s="188"/>
      <c r="V121" s="188"/>
      <c r="W121" s="188"/>
      <c r="X121" s="188"/>
      <c r="Y121" s="188"/>
      <c r="Z121" s="188"/>
      <c r="AA121" s="57"/>
      <c r="AB121" s="57"/>
      <c r="AC121" s="57"/>
      <c r="AD121" s="57"/>
      <c r="AE121" s="57"/>
      <c r="AF121" s="57"/>
      <c r="AG121" s="57"/>
      <c r="AH121" s="57"/>
      <c r="AI121" s="57"/>
      <c r="AJ121" s="57"/>
      <c r="AK121" s="57"/>
      <c r="AL121" s="57"/>
      <c r="AM121" s="57"/>
      <c r="AN121" s="57"/>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row>
    <row r="122" spans="3:71" s="65" customFormat="1" ht="12.75">
      <c r="C122" s="280"/>
      <c r="E122" s="280"/>
      <c r="G122" s="280"/>
      <c r="I122" s="280"/>
      <c r="K122" s="280"/>
      <c r="M122" s="280"/>
      <c r="R122" s="189"/>
      <c r="S122" s="188"/>
      <c r="T122" s="188"/>
      <c r="U122" s="188"/>
      <c r="V122" s="188"/>
      <c r="W122" s="188"/>
      <c r="X122" s="188"/>
      <c r="Y122" s="188"/>
      <c r="Z122" s="188"/>
      <c r="AA122" s="57"/>
      <c r="AB122" s="57"/>
      <c r="AC122" s="57"/>
      <c r="AD122" s="57"/>
      <c r="AE122" s="57"/>
      <c r="AF122" s="57"/>
      <c r="AG122" s="57"/>
      <c r="AH122" s="57"/>
      <c r="AI122" s="57"/>
      <c r="AJ122" s="57"/>
      <c r="AK122" s="57"/>
      <c r="AL122" s="57"/>
      <c r="AM122" s="57"/>
      <c r="AN122" s="57"/>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row>
    <row r="123" spans="3:71" s="65" customFormat="1" ht="12.75">
      <c r="C123" s="280"/>
      <c r="E123" s="280"/>
      <c r="G123" s="280"/>
      <c r="I123" s="280"/>
      <c r="K123" s="280"/>
      <c r="M123" s="280"/>
      <c r="R123" s="189"/>
      <c r="S123" s="188"/>
      <c r="T123" s="188"/>
      <c r="U123" s="188"/>
      <c r="V123" s="188"/>
      <c r="W123" s="188"/>
      <c r="X123" s="188"/>
      <c r="Y123" s="188"/>
      <c r="Z123" s="188"/>
      <c r="AA123" s="57"/>
      <c r="AB123" s="57"/>
      <c r="AC123" s="57"/>
      <c r="AD123" s="57"/>
      <c r="AE123" s="57"/>
      <c r="AF123" s="57"/>
      <c r="AG123" s="57"/>
      <c r="AH123" s="57"/>
      <c r="AI123" s="57"/>
      <c r="AJ123" s="57"/>
      <c r="AK123" s="57"/>
      <c r="AL123" s="57"/>
      <c r="AM123" s="57"/>
      <c r="AN123" s="57"/>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3:71" s="65" customFormat="1" ht="12.75">
      <c r="C124" s="280"/>
      <c r="E124" s="280"/>
      <c r="G124" s="280"/>
      <c r="I124" s="280"/>
      <c r="K124" s="280"/>
      <c r="M124" s="280"/>
      <c r="R124" s="189"/>
      <c r="S124" s="188"/>
      <c r="T124" s="188"/>
      <c r="U124" s="188"/>
      <c r="V124" s="188"/>
      <c r="W124" s="188"/>
      <c r="X124" s="188"/>
      <c r="Y124" s="188"/>
      <c r="Z124" s="188"/>
      <c r="AA124" s="57"/>
      <c r="AB124" s="57"/>
      <c r="AC124" s="57"/>
      <c r="AD124" s="57"/>
      <c r="AE124" s="57"/>
      <c r="AF124" s="57"/>
      <c r="AG124" s="57"/>
      <c r="AH124" s="57"/>
      <c r="AI124" s="57"/>
      <c r="AJ124" s="57"/>
      <c r="AK124" s="57"/>
      <c r="AL124" s="57"/>
      <c r="AM124" s="57"/>
      <c r="AN124" s="57"/>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row>
    <row r="125" spans="3:71" s="65" customFormat="1" ht="12.75">
      <c r="C125" s="280"/>
      <c r="E125" s="280"/>
      <c r="G125" s="280"/>
      <c r="I125" s="280"/>
      <c r="K125" s="280"/>
      <c r="M125" s="280"/>
      <c r="R125" s="189"/>
      <c r="S125" s="188"/>
      <c r="T125" s="188"/>
      <c r="U125" s="188"/>
      <c r="V125" s="188"/>
      <c r="W125" s="188"/>
      <c r="X125" s="188"/>
      <c r="Y125" s="188"/>
      <c r="Z125" s="188"/>
      <c r="AA125" s="57"/>
      <c r="AB125" s="57"/>
      <c r="AC125" s="57"/>
      <c r="AD125" s="57"/>
      <c r="AE125" s="57"/>
      <c r="AF125" s="57"/>
      <c r="AG125" s="57"/>
      <c r="AH125" s="57"/>
      <c r="AI125" s="57"/>
      <c r="AJ125" s="57"/>
      <c r="AK125" s="57"/>
      <c r="AL125" s="57"/>
      <c r="AM125" s="57"/>
      <c r="AN125" s="57"/>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row>
    <row r="126" spans="3:71" s="65" customFormat="1" ht="12.75">
      <c r="C126" s="280"/>
      <c r="E126" s="280"/>
      <c r="G126" s="280"/>
      <c r="I126" s="280"/>
      <c r="K126" s="280"/>
      <c r="M126" s="280"/>
      <c r="R126" s="189"/>
      <c r="S126" s="188"/>
      <c r="T126" s="188"/>
      <c r="U126" s="188"/>
      <c r="V126" s="188"/>
      <c r="W126" s="188"/>
      <c r="X126" s="188"/>
      <c r="Y126" s="188"/>
      <c r="Z126" s="188"/>
      <c r="AA126" s="57"/>
      <c r="AB126" s="57"/>
      <c r="AC126" s="57"/>
      <c r="AD126" s="57"/>
      <c r="AE126" s="57"/>
      <c r="AF126" s="57"/>
      <c r="AG126" s="57"/>
      <c r="AH126" s="57"/>
      <c r="AI126" s="57"/>
      <c r="AJ126" s="57"/>
      <c r="AK126" s="57"/>
      <c r="AL126" s="57"/>
      <c r="AM126" s="57"/>
      <c r="AN126" s="57"/>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row>
    <row r="127" spans="3:71" s="65" customFormat="1" ht="12.75">
      <c r="C127" s="280"/>
      <c r="E127" s="280"/>
      <c r="G127" s="280"/>
      <c r="I127" s="280"/>
      <c r="K127" s="280"/>
      <c r="M127" s="280"/>
      <c r="R127" s="189"/>
      <c r="S127" s="188"/>
      <c r="T127" s="188"/>
      <c r="U127" s="188"/>
      <c r="V127" s="188"/>
      <c r="W127" s="188"/>
      <c r="X127" s="188"/>
      <c r="Y127" s="188"/>
      <c r="Z127" s="188"/>
      <c r="AA127" s="57"/>
      <c r="AB127" s="57"/>
      <c r="AC127" s="57"/>
      <c r="AD127" s="57"/>
      <c r="AE127" s="57"/>
      <c r="AF127" s="57"/>
      <c r="AG127" s="57"/>
      <c r="AH127" s="57"/>
      <c r="AI127" s="57"/>
      <c r="AJ127" s="57"/>
      <c r="AK127" s="57"/>
      <c r="AL127" s="57"/>
      <c r="AM127" s="57"/>
      <c r="AN127" s="5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row>
    <row r="128" spans="3:71" s="65" customFormat="1" ht="12.75">
      <c r="C128" s="280"/>
      <c r="E128" s="280"/>
      <c r="G128" s="280"/>
      <c r="I128" s="280"/>
      <c r="K128" s="280"/>
      <c r="M128" s="280"/>
      <c r="R128" s="189"/>
      <c r="S128" s="188"/>
      <c r="T128" s="188"/>
      <c r="U128" s="188"/>
      <c r="V128" s="188"/>
      <c r="W128" s="188"/>
      <c r="X128" s="188"/>
      <c r="Y128" s="188"/>
      <c r="Z128" s="188"/>
      <c r="AA128" s="57"/>
      <c r="AB128" s="57"/>
      <c r="AC128" s="57"/>
      <c r="AD128" s="57"/>
      <c r="AE128" s="57"/>
      <c r="AF128" s="57"/>
      <c r="AG128" s="57"/>
      <c r="AH128" s="57"/>
      <c r="AI128" s="57"/>
      <c r="AJ128" s="57"/>
      <c r="AK128" s="57"/>
      <c r="AL128" s="57"/>
      <c r="AM128" s="57"/>
      <c r="AN128" s="57"/>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row>
    <row r="129" spans="3:71" s="65" customFormat="1" ht="12.75">
      <c r="C129" s="280"/>
      <c r="E129" s="280"/>
      <c r="G129" s="280"/>
      <c r="I129" s="280"/>
      <c r="K129" s="280"/>
      <c r="M129" s="280"/>
      <c r="R129" s="189"/>
      <c r="S129" s="188"/>
      <c r="T129" s="188"/>
      <c r="U129" s="188"/>
      <c r="V129" s="188"/>
      <c r="W129" s="188"/>
      <c r="X129" s="188"/>
      <c r="Y129" s="188"/>
      <c r="Z129" s="188"/>
      <c r="AA129" s="57"/>
      <c r="AB129" s="57"/>
      <c r="AC129" s="57"/>
      <c r="AD129" s="57"/>
      <c r="AE129" s="57"/>
      <c r="AF129" s="57"/>
      <c r="AG129" s="57"/>
      <c r="AH129" s="57"/>
      <c r="AI129" s="57"/>
      <c r="AJ129" s="57"/>
      <c r="AK129" s="57"/>
      <c r="AL129" s="57"/>
      <c r="AM129" s="57"/>
      <c r="AN129" s="57"/>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row>
    <row r="130" spans="3:71" s="65" customFormat="1" ht="12.75">
      <c r="C130" s="280"/>
      <c r="E130" s="280"/>
      <c r="G130" s="280"/>
      <c r="I130" s="280"/>
      <c r="K130" s="280"/>
      <c r="M130" s="280"/>
      <c r="R130" s="189"/>
      <c r="S130" s="188"/>
      <c r="T130" s="188"/>
      <c r="U130" s="188"/>
      <c r="V130" s="188"/>
      <c r="W130" s="188"/>
      <c r="X130" s="188"/>
      <c r="Y130" s="188"/>
      <c r="Z130" s="188"/>
      <c r="AA130" s="57"/>
      <c r="AB130" s="57"/>
      <c r="AC130" s="57"/>
      <c r="AD130" s="57"/>
      <c r="AE130" s="57"/>
      <c r="AF130" s="57"/>
      <c r="AG130" s="57"/>
      <c r="AH130" s="57"/>
      <c r="AI130" s="57"/>
      <c r="AJ130" s="57"/>
      <c r="AK130" s="57"/>
      <c r="AL130" s="57"/>
      <c r="AM130" s="57"/>
      <c r="AN130" s="57"/>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row>
    <row r="131" spans="3:71" s="65" customFormat="1" ht="12.75">
      <c r="C131" s="280"/>
      <c r="E131" s="280"/>
      <c r="G131" s="280"/>
      <c r="I131" s="280"/>
      <c r="K131" s="280"/>
      <c r="M131" s="280"/>
      <c r="R131" s="189"/>
      <c r="S131" s="188"/>
      <c r="T131" s="188"/>
      <c r="U131" s="188"/>
      <c r="V131" s="188"/>
      <c r="W131" s="188"/>
      <c r="X131" s="188"/>
      <c r="Y131" s="188"/>
      <c r="Z131" s="188"/>
      <c r="AA131" s="57"/>
      <c r="AB131" s="57"/>
      <c r="AC131" s="57"/>
      <c r="AD131" s="57"/>
      <c r="AE131" s="57"/>
      <c r="AF131" s="57"/>
      <c r="AG131" s="57"/>
      <c r="AH131" s="57"/>
      <c r="AI131" s="57"/>
      <c r="AJ131" s="57"/>
      <c r="AK131" s="57"/>
      <c r="AL131" s="57"/>
      <c r="AM131" s="57"/>
      <c r="AN131" s="57"/>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row>
    <row r="132" spans="3:71" s="65" customFormat="1" ht="12.75">
      <c r="C132" s="280"/>
      <c r="E132" s="280"/>
      <c r="G132" s="280"/>
      <c r="I132" s="280"/>
      <c r="K132" s="280"/>
      <c r="M132" s="280"/>
      <c r="R132" s="189"/>
      <c r="S132" s="188"/>
      <c r="T132" s="188"/>
      <c r="U132" s="188"/>
      <c r="V132" s="188"/>
      <c r="W132" s="188"/>
      <c r="X132" s="188"/>
      <c r="Y132" s="188"/>
      <c r="Z132" s="188"/>
      <c r="AA132" s="57"/>
      <c r="AB132" s="57"/>
      <c r="AC132" s="57"/>
      <c r="AD132" s="57"/>
      <c r="AE132" s="57"/>
      <c r="AF132" s="57"/>
      <c r="AG132" s="57"/>
      <c r="AH132" s="57"/>
      <c r="AI132" s="57"/>
      <c r="AJ132" s="57"/>
      <c r="AK132" s="57"/>
      <c r="AL132" s="57"/>
      <c r="AM132" s="57"/>
      <c r="AN132" s="57"/>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row>
    <row r="133" spans="3:71" s="65" customFormat="1" ht="12.75">
      <c r="C133" s="280"/>
      <c r="E133" s="280"/>
      <c r="G133" s="280"/>
      <c r="I133" s="280"/>
      <c r="K133" s="280"/>
      <c r="M133" s="280"/>
      <c r="R133" s="189"/>
      <c r="S133" s="188"/>
      <c r="T133" s="188"/>
      <c r="U133" s="188"/>
      <c r="V133" s="188"/>
      <c r="W133" s="188"/>
      <c r="X133" s="188"/>
      <c r="Y133" s="188"/>
      <c r="Z133" s="188"/>
      <c r="AA133" s="57"/>
      <c r="AB133" s="57"/>
      <c r="AC133" s="57"/>
      <c r="AD133" s="57"/>
      <c r="AE133" s="57"/>
      <c r="AF133" s="57"/>
      <c r="AG133" s="57"/>
      <c r="AH133" s="57"/>
      <c r="AI133" s="57"/>
      <c r="AJ133" s="57"/>
      <c r="AK133" s="57"/>
      <c r="AL133" s="57"/>
      <c r="AM133" s="57"/>
      <c r="AN133" s="57"/>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row>
    <row r="134" spans="3:71" s="65" customFormat="1" ht="12.75">
      <c r="C134" s="280"/>
      <c r="E134" s="280"/>
      <c r="G134" s="280"/>
      <c r="I134" s="280"/>
      <c r="K134" s="280"/>
      <c r="M134" s="280"/>
      <c r="R134" s="189"/>
      <c r="S134" s="188"/>
      <c r="T134" s="188"/>
      <c r="U134" s="188"/>
      <c r="V134" s="188"/>
      <c r="W134" s="188"/>
      <c r="X134" s="188"/>
      <c r="Y134" s="188"/>
      <c r="Z134" s="188"/>
      <c r="AA134" s="57"/>
      <c r="AB134" s="57"/>
      <c r="AC134" s="57"/>
      <c r="AD134" s="57"/>
      <c r="AE134" s="57"/>
      <c r="AF134" s="57"/>
      <c r="AG134" s="57"/>
      <c r="AH134" s="57"/>
      <c r="AI134" s="57"/>
      <c r="AJ134" s="57"/>
      <c r="AK134" s="57"/>
      <c r="AL134" s="57"/>
      <c r="AM134" s="57"/>
      <c r="AN134" s="57"/>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row>
    <row r="135" spans="3:71" s="65" customFormat="1" ht="12.75">
      <c r="C135" s="280"/>
      <c r="E135" s="280"/>
      <c r="G135" s="280"/>
      <c r="I135" s="280"/>
      <c r="K135" s="280"/>
      <c r="M135" s="280"/>
      <c r="R135" s="189"/>
      <c r="S135" s="188"/>
      <c r="T135" s="188"/>
      <c r="U135" s="188"/>
      <c r="V135" s="188"/>
      <c r="W135" s="188"/>
      <c r="X135" s="188"/>
      <c r="Y135" s="188"/>
      <c r="Z135" s="188"/>
      <c r="AA135" s="57"/>
      <c r="AB135" s="57"/>
      <c r="AC135" s="57"/>
      <c r="AD135" s="57"/>
      <c r="AE135" s="57"/>
      <c r="AF135" s="57"/>
      <c r="AG135" s="57"/>
      <c r="AH135" s="57"/>
      <c r="AI135" s="57"/>
      <c r="AJ135" s="57"/>
      <c r="AK135" s="57"/>
      <c r="AL135" s="57"/>
      <c r="AM135" s="57"/>
      <c r="AN135" s="57"/>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row>
    <row r="136" spans="3:71" s="65" customFormat="1" ht="12.75">
      <c r="C136" s="280"/>
      <c r="E136" s="280"/>
      <c r="G136" s="280"/>
      <c r="I136" s="280"/>
      <c r="K136" s="280"/>
      <c r="M136" s="280"/>
      <c r="R136" s="189"/>
      <c r="S136" s="188"/>
      <c r="T136" s="188"/>
      <c r="U136" s="188"/>
      <c r="V136" s="188"/>
      <c r="W136" s="188"/>
      <c r="X136" s="188"/>
      <c r="Y136" s="188"/>
      <c r="Z136" s="188"/>
      <c r="AA136" s="57"/>
      <c r="AB136" s="57"/>
      <c r="AC136" s="57"/>
      <c r="AD136" s="57"/>
      <c r="AE136" s="57"/>
      <c r="AF136" s="57"/>
      <c r="AG136" s="57"/>
      <c r="AH136" s="57"/>
      <c r="AI136" s="57"/>
      <c r="AJ136" s="57"/>
      <c r="AK136" s="57"/>
      <c r="AL136" s="57"/>
      <c r="AM136" s="57"/>
      <c r="AN136" s="57"/>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row>
    <row r="137" spans="3:71" s="65" customFormat="1" ht="12.75">
      <c r="C137" s="280"/>
      <c r="E137" s="280"/>
      <c r="G137" s="280"/>
      <c r="I137" s="280"/>
      <c r="K137" s="280"/>
      <c r="M137" s="280"/>
      <c r="R137" s="189"/>
      <c r="S137" s="188"/>
      <c r="T137" s="188"/>
      <c r="U137" s="188"/>
      <c r="V137" s="188"/>
      <c r="W137" s="188"/>
      <c r="X137" s="188"/>
      <c r="Y137" s="188"/>
      <c r="Z137" s="188"/>
      <c r="AA137" s="57"/>
      <c r="AB137" s="57"/>
      <c r="AC137" s="57"/>
      <c r="AD137" s="57"/>
      <c r="AE137" s="57"/>
      <c r="AF137" s="57"/>
      <c r="AG137" s="57"/>
      <c r="AH137" s="57"/>
      <c r="AI137" s="57"/>
      <c r="AJ137" s="57"/>
      <c r="AK137" s="57"/>
      <c r="AL137" s="57"/>
      <c r="AM137" s="57"/>
      <c r="AN137" s="5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row>
    <row r="138" spans="3:71" s="65" customFormat="1" ht="12.75">
      <c r="C138" s="280"/>
      <c r="E138" s="280"/>
      <c r="G138" s="280"/>
      <c r="I138" s="280"/>
      <c r="K138" s="280"/>
      <c r="M138" s="280"/>
      <c r="R138" s="189"/>
      <c r="S138" s="188"/>
      <c r="T138" s="188"/>
      <c r="U138" s="188"/>
      <c r="V138" s="188"/>
      <c r="W138" s="188"/>
      <c r="X138" s="188"/>
      <c r="Y138" s="188"/>
      <c r="Z138" s="188"/>
      <c r="AA138" s="57"/>
      <c r="AB138" s="57"/>
      <c r="AC138" s="57"/>
      <c r="AD138" s="57"/>
      <c r="AE138" s="57"/>
      <c r="AF138" s="57"/>
      <c r="AG138" s="57"/>
      <c r="AH138" s="57"/>
      <c r="AI138" s="57"/>
      <c r="AJ138" s="57"/>
      <c r="AK138" s="57"/>
      <c r="AL138" s="57"/>
      <c r="AM138" s="57"/>
      <c r="AN138" s="57"/>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row>
    <row r="139" spans="3:71" s="65" customFormat="1" ht="12.75">
      <c r="C139" s="280"/>
      <c r="E139" s="280"/>
      <c r="G139" s="280"/>
      <c r="I139" s="280"/>
      <c r="K139" s="280"/>
      <c r="M139" s="280"/>
      <c r="R139" s="189"/>
      <c r="S139" s="188"/>
      <c r="T139" s="188"/>
      <c r="U139" s="188"/>
      <c r="V139" s="188"/>
      <c r="W139" s="188"/>
      <c r="X139" s="188"/>
      <c r="Y139" s="188"/>
      <c r="Z139" s="188"/>
      <c r="AA139" s="57"/>
      <c r="AB139" s="57"/>
      <c r="AC139" s="57"/>
      <c r="AD139" s="57"/>
      <c r="AE139" s="57"/>
      <c r="AF139" s="57"/>
      <c r="AG139" s="57"/>
      <c r="AH139" s="57"/>
      <c r="AI139" s="57"/>
      <c r="AJ139" s="57"/>
      <c r="AK139" s="57"/>
      <c r="AL139" s="57"/>
      <c r="AM139" s="57"/>
      <c r="AN139" s="57"/>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row>
    <row r="140" spans="3:71" s="65" customFormat="1" ht="12.75">
      <c r="C140" s="280"/>
      <c r="E140" s="280"/>
      <c r="G140" s="280"/>
      <c r="I140" s="280"/>
      <c r="K140" s="280"/>
      <c r="M140" s="280"/>
      <c r="R140" s="189"/>
      <c r="S140" s="188"/>
      <c r="T140" s="188"/>
      <c r="U140" s="188"/>
      <c r="V140" s="188"/>
      <c r="W140" s="188"/>
      <c r="X140" s="188"/>
      <c r="Y140" s="188"/>
      <c r="Z140" s="188"/>
      <c r="AA140" s="57"/>
      <c r="AB140" s="57"/>
      <c r="AC140" s="57"/>
      <c r="AD140" s="57"/>
      <c r="AE140" s="57"/>
      <c r="AF140" s="57"/>
      <c r="AG140" s="57"/>
      <c r="AH140" s="57"/>
      <c r="AI140" s="57"/>
      <c r="AJ140" s="57"/>
      <c r="AK140" s="57"/>
      <c r="AL140" s="57"/>
      <c r="AM140" s="57"/>
      <c r="AN140" s="57"/>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row>
    <row r="141" spans="1:71" s="65" customFormat="1" ht="21.75">
      <c r="A141" s="111"/>
      <c r="B141" s="111"/>
      <c r="C141" s="281"/>
      <c r="D141" s="111"/>
      <c r="E141" s="281"/>
      <c r="F141" s="111"/>
      <c r="G141" s="281"/>
      <c r="H141" s="111"/>
      <c r="I141" s="281"/>
      <c r="J141" s="111"/>
      <c r="K141" s="281"/>
      <c r="L141" s="111"/>
      <c r="M141" s="281"/>
      <c r="N141" s="111"/>
      <c r="O141" s="111"/>
      <c r="P141" s="111"/>
      <c r="Q141" s="111"/>
      <c r="R141" s="189"/>
      <c r="S141" s="188"/>
      <c r="T141" s="188"/>
      <c r="U141" s="188"/>
      <c r="V141" s="188"/>
      <c r="W141" s="188"/>
      <c r="X141" s="188"/>
      <c r="Y141" s="188"/>
      <c r="Z141" s="188"/>
      <c r="AA141" s="57"/>
      <c r="AB141" s="57"/>
      <c r="AC141" s="57"/>
      <c r="AD141" s="57"/>
      <c r="AE141" s="57"/>
      <c r="AF141" s="57"/>
      <c r="AG141" s="57"/>
      <c r="AH141" s="57"/>
      <c r="AI141" s="57"/>
      <c r="AJ141" s="57"/>
      <c r="AK141" s="57"/>
      <c r="AL141" s="57"/>
      <c r="AM141" s="57"/>
      <c r="AN141" s="57"/>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row>
    <row r="142" spans="1:71" s="65" customFormat="1" ht="21.75">
      <c r="A142" s="111"/>
      <c r="B142" s="111"/>
      <c r="C142" s="281"/>
      <c r="D142" s="111"/>
      <c r="E142" s="281"/>
      <c r="F142" s="111"/>
      <c r="G142" s="281"/>
      <c r="H142" s="111"/>
      <c r="I142" s="281"/>
      <c r="J142" s="111"/>
      <c r="K142" s="281"/>
      <c r="L142" s="111"/>
      <c r="M142" s="281"/>
      <c r="N142" s="111"/>
      <c r="O142" s="111"/>
      <c r="P142" s="111"/>
      <c r="Q142" s="111"/>
      <c r="R142" s="189"/>
      <c r="S142" s="188"/>
      <c r="T142" s="188"/>
      <c r="U142" s="188"/>
      <c r="V142" s="188"/>
      <c r="W142" s="188"/>
      <c r="X142" s="188"/>
      <c r="Y142" s="188"/>
      <c r="Z142" s="188"/>
      <c r="AA142" s="57"/>
      <c r="AB142" s="57"/>
      <c r="AC142" s="57"/>
      <c r="AD142" s="57"/>
      <c r="AE142" s="57"/>
      <c r="AF142" s="57"/>
      <c r="AG142" s="57"/>
      <c r="AH142" s="57"/>
      <c r="AI142" s="57"/>
      <c r="AJ142" s="57"/>
      <c r="AK142" s="57"/>
      <c r="AL142" s="57"/>
      <c r="AM142" s="57"/>
      <c r="AN142" s="57"/>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row>
    <row r="143" spans="1:71" s="65" customFormat="1" ht="21.75">
      <c r="A143" s="111"/>
      <c r="B143" s="111"/>
      <c r="C143" s="281"/>
      <c r="D143" s="111"/>
      <c r="E143" s="281"/>
      <c r="F143" s="111"/>
      <c r="G143" s="281"/>
      <c r="H143" s="111"/>
      <c r="I143" s="281"/>
      <c r="J143" s="111"/>
      <c r="K143" s="281"/>
      <c r="L143" s="111"/>
      <c r="M143" s="281"/>
      <c r="N143" s="111"/>
      <c r="O143" s="111"/>
      <c r="P143" s="111"/>
      <c r="Q143" s="111"/>
      <c r="R143" s="189"/>
      <c r="S143" s="188"/>
      <c r="T143" s="188"/>
      <c r="U143" s="188"/>
      <c r="V143" s="188"/>
      <c r="W143" s="188"/>
      <c r="X143" s="188"/>
      <c r="Y143" s="188"/>
      <c r="Z143" s="188"/>
      <c r="AA143" s="57"/>
      <c r="AB143" s="57"/>
      <c r="AC143" s="57"/>
      <c r="AD143" s="57"/>
      <c r="AE143" s="57"/>
      <c r="AF143" s="57"/>
      <c r="AG143" s="57"/>
      <c r="AH143" s="57"/>
      <c r="AI143" s="57"/>
      <c r="AJ143" s="57"/>
      <c r="AK143" s="57"/>
      <c r="AL143" s="57"/>
      <c r="AM143" s="57"/>
      <c r="AN143" s="57"/>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row>
  </sheetData>
  <sheetProtection/>
  <mergeCells count="10">
    <mergeCell ref="A2:A3"/>
    <mergeCell ref="B2:C2"/>
    <mergeCell ref="D2:E2"/>
    <mergeCell ref="R2:S2"/>
    <mergeCell ref="N2:O2"/>
    <mergeCell ref="P2:Q2"/>
    <mergeCell ref="F2:G2"/>
    <mergeCell ref="H2:I2"/>
    <mergeCell ref="L2:M2"/>
    <mergeCell ref="J2:K2"/>
  </mergeCells>
  <printOptions horizontalCentered="1"/>
  <pageMargins left="0" right="0" top="0" bottom="0.05" header="0.39" footer="0.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indexed="14"/>
  </sheetPr>
  <dimension ref="A1:H249"/>
  <sheetViews>
    <sheetView zoomScalePageLayoutView="0" workbookViewId="0" topLeftCell="B16">
      <selection activeCell="H23" sqref="H23"/>
    </sheetView>
  </sheetViews>
  <sheetFormatPr defaultColWidth="9.140625" defaultRowHeight="12.75"/>
  <cols>
    <col min="1" max="1" width="13.28125" style="655" customWidth="1"/>
    <col min="2" max="2" width="3.00390625" style="655" bestFit="1" customWidth="1"/>
    <col min="3" max="3" width="43.7109375" style="664" customWidth="1"/>
    <col min="4" max="4" width="62.57421875" style="657" customWidth="1"/>
    <col min="5" max="5" width="5.8515625" style="655" customWidth="1"/>
    <col min="6" max="6" width="9.57421875" style="657" customWidth="1"/>
    <col min="7" max="7" width="9.140625" style="86" customWidth="1"/>
    <col min="8" max="8" width="11.7109375" style="86" customWidth="1"/>
    <col min="9" max="16384" width="9.140625" style="657" customWidth="1"/>
  </cols>
  <sheetData>
    <row r="1" spans="1:6" ht="24.75" customHeight="1" thickBot="1">
      <c r="A1" s="186" t="s">
        <v>332</v>
      </c>
      <c r="C1" s="654"/>
      <c r="D1" s="656"/>
      <c r="E1" s="692"/>
      <c r="F1" s="19" t="s">
        <v>0</v>
      </c>
    </row>
    <row r="2" spans="1:8" s="646" customFormat="1" ht="34.5" customHeight="1" thickBot="1">
      <c r="A2" s="670" t="s">
        <v>135</v>
      </c>
      <c r="B2" s="671"/>
      <c r="C2" s="672" t="s">
        <v>134</v>
      </c>
      <c r="D2" s="670" t="s">
        <v>136</v>
      </c>
      <c r="E2" s="670" t="s">
        <v>10</v>
      </c>
      <c r="F2" s="673" t="s">
        <v>9</v>
      </c>
      <c r="H2" s="647"/>
    </row>
    <row r="3" spans="1:8" s="191" customFormat="1" ht="63">
      <c r="A3" s="674" t="s">
        <v>70</v>
      </c>
      <c r="B3" s="229">
        <v>1</v>
      </c>
      <c r="C3" s="675" t="s">
        <v>239</v>
      </c>
      <c r="D3" s="995" t="s">
        <v>335</v>
      </c>
      <c r="E3" s="676">
        <v>12</v>
      </c>
      <c r="F3" s="677">
        <v>1922.8</v>
      </c>
      <c r="H3" s="190"/>
    </row>
    <row r="4" spans="2:6" ht="63">
      <c r="B4" s="229">
        <v>2</v>
      </c>
      <c r="C4" s="675" t="s">
        <v>240</v>
      </c>
      <c r="D4" s="995" t="s">
        <v>336</v>
      </c>
      <c r="E4" s="676">
        <v>17</v>
      </c>
      <c r="F4" s="677">
        <v>1249.5</v>
      </c>
    </row>
    <row r="5" spans="2:6" ht="63">
      <c r="B5" s="229">
        <v>3</v>
      </c>
      <c r="C5" s="675" t="s">
        <v>337</v>
      </c>
      <c r="D5" s="995" t="s">
        <v>338</v>
      </c>
      <c r="E5" s="676">
        <v>17</v>
      </c>
      <c r="F5" s="677">
        <v>1347.5</v>
      </c>
    </row>
    <row r="6" spans="2:6" ht="63">
      <c r="B6" s="229">
        <v>4</v>
      </c>
      <c r="C6" s="675" t="s">
        <v>340</v>
      </c>
      <c r="D6" s="995" t="s">
        <v>341</v>
      </c>
      <c r="E6" s="676">
        <v>21</v>
      </c>
      <c r="F6" s="677">
        <v>2974.9</v>
      </c>
    </row>
    <row r="7" spans="2:6" ht="63">
      <c r="B7" s="229">
        <v>5</v>
      </c>
      <c r="C7" s="675" t="s">
        <v>342</v>
      </c>
      <c r="D7" s="995" t="s">
        <v>343</v>
      </c>
      <c r="E7" s="676">
        <v>17</v>
      </c>
      <c r="F7" s="677">
        <v>2518.3</v>
      </c>
    </row>
    <row r="8" spans="2:6" ht="63">
      <c r="B8" s="229">
        <v>6</v>
      </c>
      <c r="C8" s="675" t="s">
        <v>344</v>
      </c>
      <c r="D8" s="995" t="s">
        <v>345</v>
      </c>
      <c r="E8" s="676">
        <v>15</v>
      </c>
      <c r="F8" s="677">
        <v>1856.9</v>
      </c>
    </row>
    <row r="9" spans="2:6" ht="63">
      <c r="B9" s="229">
        <v>7</v>
      </c>
      <c r="C9" s="675" t="s">
        <v>346</v>
      </c>
      <c r="D9" s="995" t="s">
        <v>347</v>
      </c>
      <c r="E9" s="676">
        <v>16</v>
      </c>
      <c r="F9" s="677">
        <v>2427</v>
      </c>
    </row>
    <row r="10" spans="2:6" ht="63">
      <c r="B10" s="229">
        <v>8</v>
      </c>
      <c r="C10" s="675" t="s">
        <v>348</v>
      </c>
      <c r="D10" s="995" t="s">
        <v>349</v>
      </c>
      <c r="E10" s="676">
        <v>15</v>
      </c>
      <c r="F10" s="677">
        <v>1902.6</v>
      </c>
    </row>
    <row r="11" spans="1:8" s="646" customFormat="1" ht="21" customHeight="1">
      <c r="A11" s="648"/>
      <c r="B11" s="649"/>
      <c r="C11" s="246" t="s">
        <v>183</v>
      </c>
      <c r="D11" s="650"/>
      <c r="E11" s="246">
        <f>SUM(E3:E10)</f>
        <v>130</v>
      </c>
      <c r="F11" s="282">
        <f>SUM(F3:F10)</f>
        <v>16199.5</v>
      </c>
      <c r="H11" s="647"/>
    </row>
    <row r="12" spans="1:8" s="7" customFormat="1" ht="63">
      <c r="A12" s="303" t="s">
        <v>76</v>
      </c>
      <c r="B12" s="229">
        <v>9</v>
      </c>
      <c r="C12" s="675" t="s">
        <v>206</v>
      </c>
      <c r="D12" s="996" t="s">
        <v>339</v>
      </c>
      <c r="E12" s="680">
        <v>16</v>
      </c>
      <c r="F12" s="677">
        <v>1842.3</v>
      </c>
      <c r="H12" s="86"/>
    </row>
    <row r="13" spans="1:8" s="7" customFormat="1" ht="63">
      <c r="A13" s="146"/>
      <c r="B13" s="229">
        <v>10</v>
      </c>
      <c r="C13" s="675" t="s">
        <v>350</v>
      </c>
      <c r="D13" s="996" t="s">
        <v>351</v>
      </c>
      <c r="E13" s="680">
        <v>17</v>
      </c>
      <c r="F13" s="677">
        <v>2361</v>
      </c>
      <c r="H13" s="86"/>
    </row>
    <row r="14" spans="1:8" s="7" customFormat="1" ht="63">
      <c r="A14" s="146"/>
      <c r="B14" s="229">
        <v>11</v>
      </c>
      <c r="C14" s="675" t="s">
        <v>352</v>
      </c>
      <c r="D14" s="996" t="s">
        <v>353</v>
      </c>
      <c r="E14" s="680">
        <v>15</v>
      </c>
      <c r="F14" s="677">
        <v>1468.8</v>
      </c>
      <c r="H14" s="86"/>
    </row>
    <row r="15" spans="1:8" s="7" customFormat="1" ht="63">
      <c r="A15" s="146"/>
      <c r="B15" s="229">
        <v>12</v>
      </c>
      <c r="C15" s="675" t="s">
        <v>241</v>
      </c>
      <c r="D15" s="996" t="s">
        <v>354</v>
      </c>
      <c r="E15" s="680">
        <v>17</v>
      </c>
      <c r="F15" s="677">
        <v>2146.4</v>
      </c>
      <c r="H15" s="86"/>
    </row>
    <row r="16" spans="1:8" s="651" customFormat="1" ht="21.75" customHeight="1">
      <c r="A16" s="248"/>
      <c r="B16" s="652"/>
      <c r="C16" s="247" t="s">
        <v>183</v>
      </c>
      <c r="D16" s="248"/>
      <c r="E16" s="247">
        <f>SUM(E12:E15)</f>
        <v>65</v>
      </c>
      <c r="F16" s="283">
        <f>SUM(F12:F15)</f>
        <v>7818.5</v>
      </c>
      <c r="H16" s="42"/>
    </row>
    <row r="17" spans="1:8" s="230" customFormat="1" ht="62.25" customHeight="1">
      <c r="A17" s="303" t="s">
        <v>77</v>
      </c>
      <c r="B17" s="296">
        <v>13</v>
      </c>
      <c r="C17" s="675" t="s">
        <v>191</v>
      </c>
      <c r="D17" s="996" t="s">
        <v>355</v>
      </c>
      <c r="E17" s="678">
        <v>16</v>
      </c>
      <c r="F17" s="679">
        <v>2319.7</v>
      </c>
      <c r="H17" s="231"/>
    </row>
    <row r="18" spans="1:8" s="682" customFormat="1" ht="24.75" customHeight="1">
      <c r="A18" s="250"/>
      <c r="B18" s="681"/>
      <c r="C18" s="249" t="s">
        <v>183</v>
      </c>
      <c r="D18" s="250"/>
      <c r="E18" s="251">
        <f>SUM(E17:E17)</f>
        <v>16</v>
      </c>
      <c r="F18" s="284">
        <f>SUM(F17:F17)</f>
        <v>2319.7</v>
      </c>
      <c r="H18" s="683"/>
    </row>
    <row r="19" spans="1:8" s="230" customFormat="1" ht="42">
      <c r="A19" s="303" t="s">
        <v>78</v>
      </c>
      <c r="B19" s="229">
        <v>14</v>
      </c>
      <c r="C19" s="675" t="s">
        <v>210</v>
      </c>
      <c r="D19" s="996" t="s">
        <v>359</v>
      </c>
      <c r="E19" s="680">
        <v>12</v>
      </c>
      <c r="F19" s="677">
        <v>2179.3</v>
      </c>
      <c r="H19" s="231"/>
    </row>
    <row r="20" spans="1:8" s="147" customFormat="1" ht="63">
      <c r="A20" s="286"/>
      <c r="B20" s="229">
        <v>15</v>
      </c>
      <c r="C20" s="675" t="s">
        <v>211</v>
      </c>
      <c r="D20" s="996" t="s">
        <v>360</v>
      </c>
      <c r="E20" s="680">
        <v>16</v>
      </c>
      <c r="F20" s="677">
        <v>2769</v>
      </c>
      <c r="H20" s="192"/>
    </row>
    <row r="21" spans="1:8" s="147" customFormat="1" ht="63">
      <c r="A21" s="286"/>
      <c r="B21" s="229">
        <v>16</v>
      </c>
      <c r="C21" s="675" t="s">
        <v>356</v>
      </c>
      <c r="D21" s="996" t="s">
        <v>357</v>
      </c>
      <c r="E21" s="680">
        <v>15</v>
      </c>
      <c r="F21" s="677">
        <v>1632.7</v>
      </c>
      <c r="H21" s="192"/>
    </row>
    <row r="22" spans="1:8" s="147" customFormat="1" ht="63">
      <c r="A22" s="286"/>
      <c r="B22" s="229">
        <v>17</v>
      </c>
      <c r="C22" s="675" t="s">
        <v>212</v>
      </c>
      <c r="D22" s="996" t="s">
        <v>358</v>
      </c>
      <c r="E22" s="680">
        <v>16</v>
      </c>
      <c r="F22" s="677">
        <v>1764</v>
      </c>
      <c r="H22" s="192"/>
    </row>
    <row r="23" spans="1:8" s="147" customFormat="1" ht="21">
      <c r="A23" s="254"/>
      <c r="B23" s="681"/>
      <c r="C23" s="249" t="s">
        <v>183</v>
      </c>
      <c r="D23" s="250"/>
      <c r="E23" s="693">
        <f>SUM(E19:E22)</f>
        <v>59</v>
      </c>
      <c r="F23" s="284">
        <f>SUM(F19:F22)</f>
        <v>8345</v>
      </c>
      <c r="H23" s="192"/>
    </row>
    <row r="24" spans="1:8" s="653" customFormat="1" ht="63">
      <c r="A24" s="303" t="s">
        <v>174</v>
      </c>
      <c r="B24" s="296">
        <v>18</v>
      </c>
      <c r="C24" s="675" t="s">
        <v>361</v>
      </c>
      <c r="D24" s="996" t="s">
        <v>362</v>
      </c>
      <c r="E24" s="678">
        <v>13</v>
      </c>
      <c r="F24" s="679">
        <v>2018.4</v>
      </c>
      <c r="H24" s="684"/>
    </row>
    <row r="25" spans="1:8" s="121" customFormat="1" ht="21.75" thickBot="1">
      <c r="A25" s="252"/>
      <c r="B25" s="685"/>
      <c r="C25" s="686" t="s">
        <v>183</v>
      </c>
      <c r="D25" s="687"/>
      <c r="E25" s="686">
        <f>SUM(E24:E24)</f>
        <v>13</v>
      </c>
      <c r="F25" s="688">
        <f>SUM(F24:F24)</f>
        <v>2018.4</v>
      </c>
      <c r="H25" s="86"/>
    </row>
    <row r="26" spans="1:8" s="653" customFormat="1" ht="63">
      <c r="A26" s="303" t="s">
        <v>80</v>
      </c>
      <c r="B26" s="296">
        <v>19</v>
      </c>
      <c r="C26" s="675" t="s">
        <v>363</v>
      </c>
      <c r="D26" s="996" t="s">
        <v>364</v>
      </c>
      <c r="E26" s="678">
        <v>14</v>
      </c>
      <c r="F26" s="679">
        <v>3177</v>
      </c>
      <c r="H26" s="684"/>
    </row>
    <row r="27" spans="1:8" s="121" customFormat="1" ht="21.75" thickBot="1">
      <c r="A27" s="252"/>
      <c r="B27" s="685"/>
      <c r="C27" s="686" t="s">
        <v>183</v>
      </c>
      <c r="D27" s="687"/>
      <c r="E27" s="686">
        <f>SUM(E26:E26)</f>
        <v>14</v>
      </c>
      <c r="F27" s="688">
        <f>SUM(F26:F26)</f>
        <v>3177</v>
      </c>
      <c r="H27" s="86"/>
    </row>
    <row r="28" spans="1:8" s="653" customFormat="1" ht="19.5" customHeight="1" thickBot="1">
      <c r="A28" s="130"/>
      <c r="B28" s="689"/>
      <c r="C28" s="672" t="s">
        <v>60</v>
      </c>
      <c r="D28" s="690"/>
      <c r="E28" s="694">
        <f>SUM(E3:E27)/2</f>
        <v>297</v>
      </c>
      <c r="F28" s="285">
        <f>SUM(F3:F27)/2</f>
        <v>39878.09999999999</v>
      </c>
      <c r="H28" s="684"/>
    </row>
    <row r="29" spans="1:8" s="233" customFormat="1" ht="18.75" customHeight="1">
      <c r="A29" s="147"/>
      <c r="B29" s="658"/>
      <c r="C29" s="195"/>
      <c r="D29" s="145"/>
      <c r="E29" s="146"/>
      <c r="F29" s="659"/>
      <c r="H29" s="691"/>
    </row>
    <row r="30" spans="1:8" s="121" customFormat="1" ht="19.5" customHeight="1">
      <c r="A30" s="67"/>
      <c r="B30" s="660"/>
      <c r="C30" s="195"/>
      <c r="D30" s="145"/>
      <c r="E30" s="146"/>
      <c r="F30" s="661"/>
      <c r="H30" s="86"/>
    </row>
    <row r="31" spans="1:8" s="121" customFormat="1" ht="19.5" customHeight="1">
      <c r="A31" s="114"/>
      <c r="B31" s="662"/>
      <c r="C31" s="194"/>
      <c r="D31" s="223"/>
      <c r="E31" s="224"/>
      <c r="F31" s="663"/>
      <c r="H31" s="86"/>
    </row>
    <row r="32" spans="1:8" s="7" customFormat="1" ht="18.75" customHeight="1">
      <c r="A32" s="114"/>
      <c r="B32" s="662"/>
      <c r="C32" s="194"/>
      <c r="D32" s="145"/>
      <c r="E32" s="146"/>
      <c r="F32" s="661"/>
      <c r="H32" s="86"/>
    </row>
    <row r="33" spans="1:8" s="7" customFormat="1" ht="18.75" customHeight="1">
      <c r="A33" s="114"/>
      <c r="B33" s="662"/>
      <c r="C33" s="194"/>
      <c r="D33" s="223"/>
      <c r="E33" s="224"/>
      <c r="F33" s="663"/>
      <c r="H33" s="86"/>
    </row>
    <row r="34" spans="1:8" s="7" customFormat="1" ht="18.75" customHeight="1">
      <c r="A34" s="114"/>
      <c r="B34" s="662"/>
      <c r="C34" s="194"/>
      <c r="D34" s="145"/>
      <c r="E34" s="224"/>
      <c r="F34" s="661"/>
      <c r="H34" s="86"/>
    </row>
    <row r="35" spans="1:8" s="7" customFormat="1" ht="18.75" customHeight="1">
      <c r="A35" s="114"/>
      <c r="B35" s="662"/>
      <c r="C35" s="194"/>
      <c r="D35" s="145"/>
      <c r="E35" s="146"/>
      <c r="F35" s="661"/>
      <c r="H35" s="86"/>
    </row>
    <row r="36" spans="1:8" s="7" customFormat="1" ht="18.75" customHeight="1">
      <c r="A36" s="114"/>
      <c r="B36" s="662"/>
      <c r="C36" s="194"/>
      <c r="D36" s="145"/>
      <c r="E36" s="146"/>
      <c r="F36" s="661"/>
      <c r="H36" s="86"/>
    </row>
    <row r="37" spans="1:8" s="7" customFormat="1" ht="18.75" customHeight="1">
      <c r="A37" s="114"/>
      <c r="B37" s="662"/>
      <c r="C37" s="193"/>
      <c r="D37" s="145"/>
      <c r="E37" s="146"/>
      <c r="F37" s="661"/>
      <c r="H37" s="86"/>
    </row>
    <row r="38" spans="1:8" s="121" customFormat="1" ht="19.5" customHeight="1">
      <c r="A38" s="114"/>
      <c r="B38" s="662"/>
      <c r="C38" s="193"/>
      <c r="D38" s="145"/>
      <c r="E38" s="146"/>
      <c r="F38" s="661"/>
      <c r="H38" s="86"/>
    </row>
    <row r="39" spans="1:8" s="121" customFormat="1" ht="19.5" customHeight="1">
      <c r="A39" s="655"/>
      <c r="B39" s="655"/>
      <c r="C39" s="664"/>
      <c r="D39" s="657"/>
      <c r="E39" s="655"/>
      <c r="F39" s="657"/>
      <c r="H39" s="86"/>
    </row>
    <row r="41" spans="1:6" ht="18.75">
      <c r="A41" s="148"/>
      <c r="B41" s="148"/>
      <c r="C41" s="147"/>
      <c r="D41" s="147"/>
      <c r="E41" s="148"/>
      <c r="F41" s="665"/>
    </row>
    <row r="42" spans="1:8" s="147" customFormat="1" ht="21.75" customHeight="1">
      <c r="A42" s="148"/>
      <c r="B42" s="148"/>
      <c r="C42" s="666"/>
      <c r="E42" s="148"/>
      <c r="F42" s="99"/>
      <c r="H42" s="192"/>
    </row>
    <row r="43" spans="1:8" s="121" customFormat="1" ht="18" customHeight="1">
      <c r="A43" s="86"/>
      <c r="B43" s="86"/>
      <c r="C43" s="667"/>
      <c r="D43" s="86"/>
      <c r="E43" s="695"/>
      <c r="F43" s="86"/>
      <c r="H43" s="86"/>
    </row>
    <row r="44" spans="3:5" s="86" customFormat="1" ht="19.5" customHeight="1">
      <c r="C44" s="667"/>
      <c r="E44" s="695"/>
    </row>
    <row r="45" spans="3:5" s="86" customFormat="1" ht="15">
      <c r="C45" s="667"/>
      <c r="E45" s="695"/>
    </row>
    <row r="46" spans="3:5" s="86" customFormat="1" ht="15">
      <c r="C46" s="667"/>
      <c r="E46" s="695"/>
    </row>
    <row r="47" spans="3:5" s="86" customFormat="1" ht="15">
      <c r="C47" s="667"/>
      <c r="E47" s="695"/>
    </row>
    <row r="48" spans="3:5" s="86" customFormat="1" ht="15">
      <c r="C48" s="667"/>
      <c r="E48" s="695"/>
    </row>
    <row r="49" spans="3:5" s="86" customFormat="1" ht="15">
      <c r="C49" s="667"/>
      <c r="E49" s="695"/>
    </row>
    <row r="50" spans="3:5" s="86" customFormat="1" ht="15">
      <c r="C50" s="667"/>
      <c r="E50" s="695"/>
    </row>
    <row r="51" spans="3:5" s="86" customFormat="1" ht="15">
      <c r="C51" s="667"/>
      <c r="E51" s="695"/>
    </row>
    <row r="52" spans="3:5" s="86" customFormat="1" ht="15">
      <c r="C52" s="667"/>
      <c r="E52" s="695"/>
    </row>
    <row r="53" spans="3:5" s="86" customFormat="1" ht="15">
      <c r="C53" s="667"/>
      <c r="E53" s="695"/>
    </row>
    <row r="54" spans="3:5" s="86" customFormat="1" ht="15">
      <c r="C54" s="667"/>
      <c r="E54" s="695"/>
    </row>
    <row r="55" spans="3:5" s="86" customFormat="1" ht="15">
      <c r="C55" s="667"/>
      <c r="E55" s="695"/>
    </row>
    <row r="56" spans="3:5" s="86" customFormat="1" ht="15">
      <c r="C56" s="667"/>
      <c r="E56" s="695"/>
    </row>
    <row r="57" spans="3:5" s="86" customFormat="1" ht="15">
      <c r="C57" s="667"/>
      <c r="E57" s="695"/>
    </row>
    <row r="58" spans="3:5" s="86" customFormat="1" ht="15">
      <c r="C58" s="667"/>
      <c r="E58" s="695"/>
    </row>
    <row r="59" spans="3:5" s="86" customFormat="1" ht="15">
      <c r="C59" s="667"/>
      <c r="E59" s="695"/>
    </row>
    <row r="60" spans="3:5" s="86" customFormat="1" ht="15">
      <c r="C60" s="667"/>
      <c r="E60" s="695"/>
    </row>
    <row r="61" spans="3:5" s="86" customFormat="1" ht="15">
      <c r="C61" s="667"/>
      <c r="E61" s="695"/>
    </row>
    <row r="62" spans="3:5" s="86" customFormat="1" ht="15">
      <c r="C62" s="667"/>
      <c r="E62" s="695"/>
    </row>
    <row r="63" spans="3:5" s="86" customFormat="1" ht="15">
      <c r="C63" s="667"/>
      <c r="E63" s="695"/>
    </row>
    <row r="64" spans="3:5" s="86" customFormat="1" ht="15">
      <c r="C64" s="667"/>
      <c r="E64" s="695"/>
    </row>
    <row r="65" spans="3:5" s="86" customFormat="1" ht="15">
      <c r="C65" s="667"/>
      <c r="E65" s="695"/>
    </row>
    <row r="66" spans="3:5" s="86" customFormat="1" ht="15">
      <c r="C66" s="667"/>
      <c r="E66" s="695"/>
    </row>
    <row r="67" spans="3:5" s="86" customFormat="1" ht="15">
      <c r="C67" s="667"/>
      <c r="E67" s="695"/>
    </row>
    <row r="68" spans="3:5" s="86" customFormat="1" ht="15">
      <c r="C68" s="667"/>
      <c r="E68" s="695"/>
    </row>
    <row r="69" spans="3:5" s="86" customFormat="1" ht="15">
      <c r="C69" s="667"/>
      <c r="E69" s="695"/>
    </row>
    <row r="70" spans="3:5" s="86" customFormat="1" ht="15">
      <c r="C70" s="667"/>
      <c r="E70" s="695"/>
    </row>
    <row r="71" spans="3:5" s="86" customFormat="1" ht="15">
      <c r="C71" s="667"/>
      <c r="E71" s="695"/>
    </row>
    <row r="72" spans="3:5" s="86" customFormat="1" ht="15">
      <c r="C72" s="667"/>
      <c r="E72" s="695"/>
    </row>
    <row r="73" spans="3:5" s="86" customFormat="1" ht="15">
      <c r="C73" s="667"/>
      <c r="E73" s="695"/>
    </row>
    <row r="74" spans="3:5" s="86" customFormat="1" ht="15">
      <c r="C74" s="667"/>
      <c r="E74" s="695"/>
    </row>
    <row r="75" spans="3:5" s="86" customFormat="1" ht="15">
      <c r="C75" s="667"/>
      <c r="E75" s="695"/>
    </row>
    <row r="76" spans="3:5" s="86" customFormat="1" ht="15">
      <c r="C76" s="667"/>
      <c r="E76" s="695"/>
    </row>
    <row r="77" spans="3:5" s="86" customFormat="1" ht="15">
      <c r="C77" s="667"/>
      <c r="E77" s="695"/>
    </row>
    <row r="78" spans="3:5" s="86" customFormat="1" ht="15">
      <c r="C78" s="667"/>
      <c r="E78" s="695"/>
    </row>
    <row r="79" spans="3:5" s="86" customFormat="1" ht="15">
      <c r="C79" s="667"/>
      <c r="E79" s="695"/>
    </row>
    <row r="80" spans="3:5" s="86" customFormat="1" ht="15">
      <c r="C80" s="667"/>
      <c r="E80" s="695"/>
    </row>
    <row r="81" spans="3:5" s="86" customFormat="1" ht="15">
      <c r="C81" s="667"/>
      <c r="E81" s="695"/>
    </row>
    <row r="82" spans="3:5" s="86" customFormat="1" ht="15">
      <c r="C82" s="667"/>
      <c r="E82" s="695"/>
    </row>
    <row r="83" spans="3:5" s="86" customFormat="1" ht="15">
      <c r="C83" s="667"/>
      <c r="E83" s="695"/>
    </row>
    <row r="84" spans="3:5" s="86" customFormat="1" ht="15">
      <c r="C84" s="667"/>
      <c r="E84" s="695"/>
    </row>
    <row r="85" spans="3:5" s="86" customFormat="1" ht="15">
      <c r="C85" s="667"/>
      <c r="E85" s="695"/>
    </row>
    <row r="86" spans="3:5" s="86" customFormat="1" ht="15">
      <c r="C86" s="667"/>
      <c r="E86" s="695"/>
    </row>
    <row r="87" spans="3:5" s="86" customFormat="1" ht="18.75" customHeight="1">
      <c r="C87" s="667"/>
      <c r="E87" s="695"/>
    </row>
    <row r="88" spans="3:5" s="86" customFormat="1" ht="18" customHeight="1">
      <c r="C88" s="667"/>
      <c r="E88" s="695"/>
    </row>
    <row r="89" spans="3:5" s="86" customFormat="1" ht="18" customHeight="1">
      <c r="C89" s="667"/>
      <c r="E89" s="695"/>
    </row>
    <row r="90" spans="3:5" s="86" customFormat="1" ht="18.75" customHeight="1">
      <c r="C90" s="667"/>
      <c r="E90" s="695"/>
    </row>
    <row r="91" spans="3:5" s="86" customFormat="1" ht="18.75" customHeight="1">
      <c r="C91" s="667"/>
      <c r="E91" s="695"/>
    </row>
    <row r="92" spans="3:5" s="86" customFormat="1" ht="17.25" customHeight="1">
      <c r="C92" s="667"/>
      <c r="E92" s="695"/>
    </row>
    <row r="93" spans="3:5" s="86" customFormat="1" ht="19.5" customHeight="1">
      <c r="C93" s="667"/>
      <c r="E93" s="695"/>
    </row>
    <row r="94" spans="3:5" s="86" customFormat="1" ht="19.5" customHeight="1">
      <c r="C94" s="667"/>
      <c r="E94" s="695"/>
    </row>
    <row r="95" spans="3:5" s="86" customFormat="1" ht="15">
      <c r="C95" s="667"/>
      <c r="E95" s="695"/>
    </row>
    <row r="96" spans="3:5" s="86" customFormat="1" ht="18.75" customHeight="1">
      <c r="C96" s="667"/>
      <c r="E96" s="695"/>
    </row>
    <row r="97" spans="3:5" s="86" customFormat="1" ht="18.75" customHeight="1">
      <c r="C97" s="667"/>
      <c r="E97" s="695"/>
    </row>
    <row r="98" spans="3:5" s="86" customFormat="1" ht="18.75" customHeight="1">
      <c r="C98" s="667"/>
      <c r="E98" s="695"/>
    </row>
    <row r="99" spans="3:5" s="86" customFormat="1" ht="18.75" customHeight="1">
      <c r="C99" s="667"/>
      <c r="E99" s="695"/>
    </row>
    <row r="100" spans="3:5" s="86" customFormat="1" ht="19.5" customHeight="1">
      <c r="C100" s="667"/>
      <c r="E100" s="695"/>
    </row>
    <row r="101" spans="3:5" s="86" customFormat="1" ht="15">
      <c r="C101" s="667"/>
      <c r="E101" s="695"/>
    </row>
    <row r="102" spans="3:5" s="86" customFormat="1" ht="15">
      <c r="C102" s="667"/>
      <c r="E102" s="695"/>
    </row>
    <row r="103" spans="3:5" s="86" customFormat="1" ht="15">
      <c r="C103" s="667"/>
      <c r="E103" s="695"/>
    </row>
    <row r="104" spans="3:5" s="86" customFormat="1" ht="15">
      <c r="C104" s="667"/>
      <c r="E104" s="695"/>
    </row>
    <row r="105" spans="3:5" s="86" customFormat="1" ht="15">
      <c r="C105" s="667"/>
      <c r="E105" s="695"/>
    </row>
    <row r="106" spans="3:5" s="86" customFormat="1" ht="15">
      <c r="C106" s="667"/>
      <c r="E106" s="695"/>
    </row>
    <row r="107" spans="3:5" s="86" customFormat="1" ht="15">
      <c r="C107" s="667"/>
      <c r="E107" s="695"/>
    </row>
    <row r="108" spans="3:5" s="86" customFormat="1" ht="15">
      <c r="C108" s="667"/>
      <c r="E108" s="695"/>
    </row>
    <row r="109" spans="3:5" s="86" customFormat="1" ht="15">
      <c r="C109" s="667"/>
      <c r="E109" s="695"/>
    </row>
    <row r="110" spans="3:5" s="86" customFormat="1" ht="15">
      <c r="C110" s="667"/>
      <c r="E110" s="695"/>
    </row>
    <row r="111" spans="3:5" s="86" customFormat="1" ht="15">
      <c r="C111" s="667"/>
      <c r="E111" s="695"/>
    </row>
    <row r="112" spans="3:5" s="86" customFormat="1" ht="15">
      <c r="C112" s="667"/>
      <c r="E112" s="695"/>
    </row>
    <row r="113" spans="3:5" s="86" customFormat="1" ht="15">
      <c r="C113" s="667"/>
      <c r="E113" s="695"/>
    </row>
    <row r="114" spans="3:5" s="86" customFormat="1" ht="15">
      <c r="C114" s="667"/>
      <c r="E114" s="695"/>
    </row>
    <row r="115" spans="3:5" s="86" customFormat="1" ht="15">
      <c r="C115" s="667"/>
      <c r="E115" s="695"/>
    </row>
    <row r="116" spans="3:5" s="86" customFormat="1" ht="15">
      <c r="C116" s="667"/>
      <c r="E116" s="695"/>
    </row>
    <row r="117" spans="1:6" s="86" customFormat="1" ht="18.75">
      <c r="A117" s="668"/>
      <c r="B117" s="668"/>
      <c r="C117" s="669"/>
      <c r="D117" s="7"/>
      <c r="E117" s="668"/>
      <c r="F117" s="7"/>
    </row>
    <row r="118" spans="1:8" s="7" customFormat="1" ht="18.75">
      <c r="A118" s="668"/>
      <c r="B118" s="668"/>
      <c r="C118" s="669"/>
      <c r="E118" s="668"/>
      <c r="H118" s="86"/>
    </row>
    <row r="119" spans="1:8" s="7" customFormat="1" ht="18.75">
      <c r="A119" s="668"/>
      <c r="B119" s="668"/>
      <c r="C119" s="669"/>
      <c r="E119" s="668"/>
      <c r="H119" s="86"/>
    </row>
    <row r="120" spans="1:8" s="7" customFormat="1" ht="18.75">
      <c r="A120" s="668"/>
      <c r="B120" s="668"/>
      <c r="C120" s="669"/>
      <c r="E120" s="668"/>
      <c r="H120" s="86"/>
    </row>
    <row r="121" spans="1:8" s="7" customFormat="1" ht="18.75">
      <c r="A121" s="668"/>
      <c r="B121" s="668"/>
      <c r="C121" s="669"/>
      <c r="E121" s="668"/>
      <c r="H121" s="86"/>
    </row>
    <row r="122" spans="1:8" s="7" customFormat="1" ht="18.75">
      <c r="A122" s="668"/>
      <c r="B122" s="668"/>
      <c r="C122" s="669"/>
      <c r="E122" s="668"/>
      <c r="H122" s="86"/>
    </row>
    <row r="123" spans="1:8" s="7" customFormat="1" ht="18.75">
      <c r="A123" s="668"/>
      <c r="B123" s="668"/>
      <c r="C123" s="669"/>
      <c r="E123" s="668"/>
      <c r="H123" s="86"/>
    </row>
    <row r="124" spans="1:8" s="7" customFormat="1" ht="18.75">
      <c r="A124" s="668"/>
      <c r="B124" s="668"/>
      <c r="C124" s="669"/>
      <c r="E124" s="668"/>
      <c r="H124" s="86"/>
    </row>
    <row r="125" spans="1:8" s="7" customFormat="1" ht="18.75">
      <c r="A125" s="668"/>
      <c r="B125" s="668"/>
      <c r="C125" s="669"/>
      <c r="E125" s="668"/>
      <c r="H125" s="86"/>
    </row>
    <row r="126" spans="1:8" s="7" customFormat="1" ht="18.75">
      <c r="A126" s="668"/>
      <c r="B126" s="668"/>
      <c r="C126" s="669"/>
      <c r="E126" s="668"/>
      <c r="H126" s="86"/>
    </row>
    <row r="127" spans="1:8" s="7" customFormat="1" ht="18.75">
      <c r="A127" s="668"/>
      <c r="B127" s="668"/>
      <c r="C127" s="669"/>
      <c r="E127" s="668"/>
      <c r="H127" s="86"/>
    </row>
    <row r="128" spans="1:8" s="7" customFormat="1" ht="18.75">
      <c r="A128" s="668"/>
      <c r="B128" s="668"/>
      <c r="C128" s="669"/>
      <c r="E128" s="668"/>
      <c r="H128" s="86"/>
    </row>
    <row r="129" spans="1:8" s="7" customFormat="1" ht="18.75">
      <c r="A129" s="668"/>
      <c r="B129" s="668"/>
      <c r="C129" s="669"/>
      <c r="E129" s="668"/>
      <c r="H129" s="86"/>
    </row>
    <row r="130" spans="1:8" s="7" customFormat="1" ht="18.75">
      <c r="A130" s="668"/>
      <c r="B130" s="668"/>
      <c r="C130" s="669"/>
      <c r="E130" s="668"/>
      <c r="H130" s="86"/>
    </row>
    <row r="131" spans="1:8" s="7" customFormat="1" ht="18.75">
      <c r="A131" s="668"/>
      <c r="B131" s="668"/>
      <c r="C131" s="669"/>
      <c r="E131" s="668"/>
      <c r="H131" s="86"/>
    </row>
    <row r="132" spans="1:8" s="7" customFormat="1" ht="18.75">
      <c r="A132" s="668"/>
      <c r="B132" s="668"/>
      <c r="C132" s="669"/>
      <c r="E132" s="668"/>
      <c r="H132" s="86"/>
    </row>
    <row r="133" spans="1:8" s="7" customFormat="1" ht="18.75">
      <c r="A133" s="668"/>
      <c r="B133" s="668"/>
      <c r="C133" s="669"/>
      <c r="E133" s="668"/>
      <c r="H133" s="86"/>
    </row>
    <row r="134" spans="1:8" s="7" customFormat="1" ht="18.75">
      <c r="A134" s="668"/>
      <c r="B134" s="668"/>
      <c r="C134" s="669"/>
      <c r="E134" s="668"/>
      <c r="H134" s="86"/>
    </row>
    <row r="135" spans="1:8" s="7" customFormat="1" ht="18.75">
      <c r="A135" s="668"/>
      <c r="B135" s="668"/>
      <c r="C135" s="669"/>
      <c r="E135" s="668"/>
      <c r="H135" s="86"/>
    </row>
    <row r="136" spans="1:8" s="7" customFormat="1" ht="18.75">
      <c r="A136" s="668"/>
      <c r="B136" s="668"/>
      <c r="C136" s="669"/>
      <c r="E136" s="668"/>
      <c r="H136" s="86"/>
    </row>
    <row r="137" spans="1:8" s="7" customFormat="1" ht="18.75">
      <c r="A137" s="668"/>
      <c r="B137" s="668"/>
      <c r="C137" s="669"/>
      <c r="E137" s="668"/>
      <c r="H137" s="86"/>
    </row>
    <row r="138" spans="1:8" s="7" customFormat="1" ht="18.75">
      <c r="A138" s="668"/>
      <c r="B138" s="668"/>
      <c r="C138" s="669"/>
      <c r="E138" s="668"/>
      <c r="H138" s="86"/>
    </row>
    <row r="139" spans="1:8" s="7" customFormat="1" ht="18.75">
      <c r="A139" s="668"/>
      <c r="B139" s="668"/>
      <c r="C139" s="669"/>
      <c r="E139" s="668"/>
      <c r="H139" s="86"/>
    </row>
    <row r="140" spans="1:8" s="7" customFormat="1" ht="18.75">
      <c r="A140" s="668"/>
      <c r="B140" s="668"/>
      <c r="C140" s="669"/>
      <c r="E140" s="668"/>
      <c r="H140" s="86"/>
    </row>
    <row r="141" spans="1:8" s="7" customFormat="1" ht="18.75">
      <c r="A141" s="668"/>
      <c r="B141" s="668"/>
      <c r="C141" s="669"/>
      <c r="E141" s="668"/>
      <c r="H141" s="86"/>
    </row>
    <row r="142" spans="1:8" s="7" customFormat="1" ht="18.75">
      <c r="A142" s="668"/>
      <c r="B142" s="668"/>
      <c r="C142" s="669"/>
      <c r="E142" s="668"/>
      <c r="H142" s="86"/>
    </row>
    <row r="143" spans="1:8" s="7" customFormat="1" ht="18.75">
      <c r="A143" s="668"/>
      <c r="B143" s="668"/>
      <c r="C143" s="669"/>
      <c r="E143" s="668"/>
      <c r="H143" s="86"/>
    </row>
    <row r="144" spans="1:8" s="7" customFormat="1" ht="18.75">
      <c r="A144" s="668"/>
      <c r="B144" s="668"/>
      <c r="C144" s="669"/>
      <c r="E144" s="668"/>
      <c r="H144" s="86"/>
    </row>
    <row r="145" spans="1:8" s="7" customFormat="1" ht="18.75">
      <c r="A145" s="668"/>
      <c r="B145" s="668"/>
      <c r="C145" s="669"/>
      <c r="E145" s="668"/>
      <c r="H145" s="86"/>
    </row>
    <row r="146" spans="1:8" s="7" customFormat="1" ht="18.75">
      <c r="A146" s="668"/>
      <c r="B146" s="668"/>
      <c r="C146" s="669"/>
      <c r="E146" s="668"/>
      <c r="H146" s="86"/>
    </row>
    <row r="147" spans="1:8" s="7" customFormat="1" ht="18.75">
      <c r="A147" s="668"/>
      <c r="B147" s="668"/>
      <c r="C147" s="669"/>
      <c r="E147" s="668"/>
      <c r="H147" s="86"/>
    </row>
    <row r="148" spans="1:8" s="7" customFormat="1" ht="18.75">
      <c r="A148" s="668"/>
      <c r="B148" s="668"/>
      <c r="C148" s="669"/>
      <c r="E148" s="668"/>
      <c r="H148" s="86"/>
    </row>
    <row r="149" spans="1:8" s="7" customFormat="1" ht="18.75">
      <c r="A149" s="668"/>
      <c r="B149" s="668"/>
      <c r="C149" s="669"/>
      <c r="E149" s="668"/>
      <c r="H149" s="86"/>
    </row>
    <row r="150" spans="1:8" s="7" customFormat="1" ht="18.75">
      <c r="A150" s="668"/>
      <c r="B150" s="668"/>
      <c r="C150" s="669"/>
      <c r="E150" s="668"/>
      <c r="H150" s="86"/>
    </row>
    <row r="151" spans="1:8" s="7" customFormat="1" ht="18.75">
      <c r="A151" s="668"/>
      <c r="B151" s="668"/>
      <c r="C151" s="669"/>
      <c r="E151" s="668"/>
      <c r="H151" s="86"/>
    </row>
    <row r="152" spans="1:8" s="7" customFormat="1" ht="18.75">
      <c r="A152" s="668"/>
      <c r="B152" s="668"/>
      <c r="C152" s="669"/>
      <c r="E152" s="668"/>
      <c r="H152" s="86"/>
    </row>
    <row r="153" spans="1:8" s="7" customFormat="1" ht="18.75">
      <c r="A153" s="668"/>
      <c r="B153" s="668"/>
      <c r="C153" s="669"/>
      <c r="E153" s="668"/>
      <c r="H153" s="86"/>
    </row>
    <row r="154" spans="1:8" s="7" customFormat="1" ht="18.75">
      <c r="A154" s="668"/>
      <c r="B154" s="668"/>
      <c r="C154" s="669"/>
      <c r="E154" s="668"/>
      <c r="H154" s="86"/>
    </row>
    <row r="155" spans="1:8" s="7" customFormat="1" ht="18.75">
      <c r="A155" s="668"/>
      <c r="B155" s="668"/>
      <c r="C155" s="669"/>
      <c r="E155" s="668"/>
      <c r="H155" s="86"/>
    </row>
    <row r="156" spans="1:8" s="7" customFormat="1" ht="18.75">
      <c r="A156" s="668"/>
      <c r="B156" s="668"/>
      <c r="C156" s="669"/>
      <c r="E156" s="668"/>
      <c r="H156" s="86"/>
    </row>
    <row r="157" spans="1:8" s="7" customFormat="1" ht="18.75">
      <c r="A157" s="668"/>
      <c r="B157" s="668"/>
      <c r="C157" s="669"/>
      <c r="E157" s="668"/>
      <c r="H157" s="86"/>
    </row>
    <row r="158" spans="1:8" s="7" customFormat="1" ht="18.75">
      <c r="A158" s="668"/>
      <c r="B158" s="668"/>
      <c r="C158" s="669"/>
      <c r="E158" s="668"/>
      <c r="H158" s="86"/>
    </row>
    <row r="159" spans="1:8" s="7" customFormat="1" ht="18.75">
      <c r="A159" s="668"/>
      <c r="B159" s="668"/>
      <c r="C159" s="669"/>
      <c r="E159" s="668"/>
      <c r="H159" s="86"/>
    </row>
    <row r="160" spans="1:8" s="7" customFormat="1" ht="18.75">
      <c r="A160" s="668"/>
      <c r="B160" s="668"/>
      <c r="C160" s="669"/>
      <c r="E160" s="668"/>
      <c r="H160" s="86"/>
    </row>
    <row r="161" spans="1:8" s="7" customFormat="1" ht="18.75">
      <c r="A161" s="668"/>
      <c r="B161" s="668"/>
      <c r="C161" s="669"/>
      <c r="E161" s="668"/>
      <c r="H161" s="86"/>
    </row>
    <row r="162" spans="1:8" s="7" customFormat="1" ht="18.75">
      <c r="A162" s="668"/>
      <c r="B162" s="668"/>
      <c r="C162" s="669"/>
      <c r="E162" s="668"/>
      <c r="H162" s="86"/>
    </row>
    <row r="163" spans="1:8" s="7" customFormat="1" ht="18.75">
      <c r="A163" s="668"/>
      <c r="B163" s="668"/>
      <c r="C163" s="669"/>
      <c r="E163" s="668"/>
      <c r="H163" s="86"/>
    </row>
    <row r="164" spans="1:8" s="7" customFormat="1" ht="18.75">
      <c r="A164" s="668"/>
      <c r="B164" s="668"/>
      <c r="C164" s="669"/>
      <c r="E164" s="668"/>
      <c r="H164" s="86"/>
    </row>
    <row r="165" spans="1:8" s="7" customFormat="1" ht="18.75">
      <c r="A165" s="668"/>
      <c r="B165" s="668"/>
      <c r="C165" s="669"/>
      <c r="E165" s="668"/>
      <c r="H165" s="86"/>
    </row>
    <row r="166" spans="1:8" s="7" customFormat="1" ht="18.75">
      <c r="A166" s="668"/>
      <c r="B166" s="668"/>
      <c r="C166" s="669"/>
      <c r="E166" s="668"/>
      <c r="H166" s="86"/>
    </row>
    <row r="167" spans="1:8" s="7" customFormat="1" ht="18.75">
      <c r="A167" s="668"/>
      <c r="B167" s="668"/>
      <c r="C167" s="669"/>
      <c r="E167" s="668"/>
      <c r="H167" s="86"/>
    </row>
    <row r="168" spans="1:8" s="7" customFormat="1" ht="18.75">
      <c r="A168" s="668"/>
      <c r="B168" s="668"/>
      <c r="C168" s="669"/>
      <c r="E168" s="668"/>
      <c r="H168" s="86"/>
    </row>
    <row r="169" spans="1:8" s="7" customFormat="1" ht="18.75">
      <c r="A169" s="668"/>
      <c r="B169" s="668"/>
      <c r="C169" s="669"/>
      <c r="E169" s="668"/>
      <c r="H169" s="86"/>
    </row>
    <row r="170" spans="1:8" s="7" customFormat="1" ht="18.75">
      <c r="A170" s="668"/>
      <c r="B170" s="668"/>
      <c r="C170" s="669"/>
      <c r="E170" s="668"/>
      <c r="H170" s="86"/>
    </row>
    <row r="171" spans="1:8" s="7" customFormat="1" ht="18.75">
      <c r="A171" s="668"/>
      <c r="B171" s="668"/>
      <c r="C171" s="669"/>
      <c r="E171" s="668"/>
      <c r="H171" s="86"/>
    </row>
    <row r="172" spans="1:8" s="7" customFormat="1" ht="18.75">
      <c r="A172" s="668"/>
      <c r="B172" s="668"/>
      <c r="C172" s="669"/>
      <c r="E172" s="668"/>
      <c r="H172" s="86"/>
    </row>
    <row r="173" spans="1:8" s="7" customFormat="1" ht="18.75">
      <c r="A173" s="668"/>
      <c r="B173" s="668"/>
      <c r="C173" s="669"/>
      <c r="E173" s="668"/>
      <c r="H173" s="86"/>
    </row>
    <row r="174" spans="1:8" s="7" customFormat="1" ht="18.75">
      <c r="A174" s="668"/>
      <c r="B174" s="668"/>
      <c r="C174" s="669"/>
      <c r="E174" s="668"/>
      <c r="H174" s="86"/>
    </row>
    <row r="175" spans="1:8" s="7" customFormat="1" ht="18.75">
      <c r="A175" s="668"/>
      <c r="B175" s="668"/>
      <c r="C175" s="669"/>
      <c r="E175" s="668"/>
      <c r="H175" s="86"/>
    </row>
    <row r="176" spans="1:8" s="7" customFormat="1" ht="18.75">
      <c r="A176" s="668"/>
      <c r="B176" s="668"/>
      <c r="C176" s="669"/>
      <c r="E176" s="668"/>
      <c r="H176" s="86"/>
    </row>
    <row r="177" spans="1:8" s="7" customFormat="1" ht="18.75">
      <c r="A177" s="668"/>
      <c r="B177" s="668"/>
      <c r="C177" s="669"/>
      <c r="E177" s="668"/>
      <c r="H177" s="86"/>
    </row>
    <row r="178" spans="1:8" s="7" customFormat="1" ht="18.75">
      <c r="A178" s="668"/>
      <c r="B178" s="668"/>
      <c r="C178" s="669"/>
      <c r="E178" s="668"/>
      <c r="H178" s="86"/>
    </row>
    <row r="179" spans="1:8" s="7" customFormat="1" ht="18.75">
      <c r="A179" s="668"/>
      <c r="B179" s="668"/>
      <c r="C179" s="669"/>
      <c r="E179" s="668"/>
      <c r="H179" s="86"/>
    </row>
    <row r="180" spans="1:8" s="7" customFormat="1" ht="18.75">
      <c r="A180" s="668"/>
      <c r="B180" s="668"/>
      <c r="C180" s="669"/>
      <c r="E180" s="668"/>
      <c r="H180" s="86"/>
    </row>
    <row r="181" spans="1:8" s="7" customFormat="1" ht="18.75">
      <c r="A181" s="668"/>
      <c r="B181" s="668"/>
      <c r="C181" s="669"/>
      <c r="E181" s="668"/>
      <c r="H181" s="86"/>
    </row>
    <row r="182" spans="1:8" s="7" customFormat="1" ht="18.75">
      <c r="A182" s="668"/>
      <c r="B182" s="668"/>
      <c r="C182" s="669"/>
      <c r="E182" s="668"/>
      <c r="H182" s="86"/>
    </row>
    <row r="183" spans="1:8" s="7" customFormat="1" ht="18.75">
      <c r="A183" s="668"/>
      <c r="B183" s="668"/>
      <c r="C183" s="669"/>
      <c r="E183" s="668"/>
      <c r="H183" s="86"/>
    </row>
    <row r="184" spans="1:8" s="7" customFormat="1" ht="18.75">
      <c r="A184" s="668"/>
      <c r="B184" s="668"/>
      <c r="C184" s="669"/>
      <c r="E184" s="668"/>
      <c r="H184" s="86"/>
    </row>
    <row r="185" spans="1:8" s="7" customFormat="1" ht="18.75">
      <c r="A185" s="668"/>
      <c r="B185" s="668"/>
      <c r="C185" s="669"/>
      <c r="E185" s="668"/>
      <c r="H185" s="86"/>
    </row>
    <row r="186" spans="1:8" s="7" customFormat="1" ht="18.75">
      <c r="A186" s="668"/>
      <c r="B186" s="668"/>
      <c r="C186" s="669"/>
      <c r="E186" s="668"/>
      <c r="H186" s="86"/>
    </row>
    <row r="187" spans="1:8" s="7" customFormat="1" ht="18.75">
      <c r="A187" s="668"/>
      <c r="B187" s="668"/>
      <c r="C187" s="669"/>
      <c r="E187" s="668"/>
      <c r="H187" s="86"/>
    </row>
    <row r="188" spans="1:8" s="7" customFormat="1" ht="18.75">
      <c r="A188" s="668"/>
      <c r="B188" s="668"/>
      <c r="C188" s="669"/>
      <c r="E188" s="668"/>
      <c r="H188" s="86"/>
    </row>
    <row r="189" spans="1:8" s="7" customFormat="1" ht="18.75">
      <c r="A189" s="668"/>
      <c r="B189" s="668"/>
      <c r="C189" s="669"/>
      <c r="E189" s="668"/>
      <c r="H189" s="86"/>
    </row>
    <row r="190" spans="1:8" s="7" customFormat="1" ht="18.75">
      <c r="A190" s="668"/>
      <c r="B190" s="668"/>
      <c r="C190" s="669"/>
      <c r="E190" s="668"/>
      <c r="H190" s="86"/>
    </row>
    <row r="191" spans="1:8" s="7" customFormat="1" ht="18.75">
      <c r="A191" s="655"/>
      <c r="B191" s="655"/>
      <c r="C191" s="664"/>
      <c r="D191" s="657"/>
      <c r="E191" s="655"/>
      <c r="F191" s="657"/>
      <c r="H191" s="86"/>
    </row>
    <row r="192" spans="1:8" s="7" customFormat="1" ht="18.75">
      <c r="A192" s="655"/>
      <c r="B192" s="655"/>
      <c r="C192" s="664"/>
      <c r="D192" s="657"/>
      <c r="E192" s="655"/>
      <c r="F192" s="657"/>
      <c r="H192" s="86"/>
    </row>
    <row r="193" spans="1:8" s="7" customFormat="1" ht="18.75">
      <c r="A193" s="655"/>
      <c r="B193" s="655"/>
      <c r="C193" s="664"/>
      <c r="D193" s="657"/>
      <c r="E193" s="655"/>
      <c r="F193" s="657"/>
      <c r="H193" s="86"/>
    </row>
    <row r="194" spans="1:8" s="7" customFormat="1" ht="18.75">
      <c r="A194" s="655"/>
      <c r="B194" s="655"/>
      <c r="C194" s="664"/>
      <c r="D194" s="657"/>
      <c r="E194" s="655"/>
      <c r="F194" s="657"/>
      <c r="H194" s="86"/>
    </row>
    <row r="195" spans="1:8" s="7" customFormat="1" ht="18.75">
      <c r="A195" s="655"/>
      <c r="B195" s="655"/>
      <c r="C195" s="664"/>
      <c r="D195" s="657"/>
      <c r="E195" s="655"/>
      <c r="F195" s="657"/>
      <c r="H195" s="86"/>
    </row>
    <row r="196" spans="1:8" s="7" customFormat="1" ht="18.75">
      <c r="A196" s="655"/>
      <c r="B196" s="655"/>
      <c r="C196" s="664"/>
      <c r="D196" s="657"/>
      <c r="E196" s="655"/>
      <c r="F196" s="657"/>
      <c r="H196" s="86"/>
    </row>
    <row r="197" spans="1:8" s="7" customFormat="1" ht="18.75">
      <c r="A197" s="655"/>
      <c r="B197" s="655"/>
      <c r="C197" s="664"/>
      <c r="D197" s="657"/>
      <c r="E197" s="655"/>
      <c r="F197" s="657"/>
      <c r="H197" s="86"/>
    </row>
    <row r="198" spans="1:8" s="7" customFormat="1" ht="18.75">
      <c r="A198" s="655"/>
      <c r="B198" s="655"/>
      <c r="C198" s="664"/>
      <c r="D198" s="657"/>
      <c r="E198" s="655"/>
      <c r="F198" s="657"/>
      <c r="H198" s="86"/>
    </row>
    <row r="199" spans="1:8" s="7" customFormat="1" ht="18.75">
      <c r="A199" s="655"/>
      <c r="B199" s="655"/>
      <c r="C199" s="664"/>
      <c r="D199" s="657"/>
      <c r="E199" s="655"/>
      <c r="F199" s="657"/>
      <c r="H199" s="86"/>
    </row>
    <row r="200" spans="1:8" s="7" customFormat="1" ht="18.75">
      <c r="A200" s="655"/>
      <c r="B200" s="655"/>
      <c r="C200" s="664"/>
      <c r="D200" s="657"/>
      <c r="E200" s="655"/>
      <c r="F200" s="657"/>
      <c r="H200" s="86"/>
    </row>
    <row r="201" spans="1:8" s="7" customFormat="1" ht="18.75">
      <c r="A201" s="655"/>
      <c r="B201" s="655"/>
      <c r="C201" s="664"/>
      <c r="D201" s="657"/>
      <c r="E201" s="655"/>
      <c r="F201" s="657"/>
      <c r="H201" s="86"/>
    </row>
    <row r="202" spans="1:8" s="7" customFormat="1" ht="18.75">
      <c r="A202" s="655"/>
      <c r="B202" s="655"/>
      <c r="C202" s="664"/>
      <c r="D202" s="657"/>
      <c r="E202" s="655"/>
      <c r="F202" s="657"/>
      <c r="H202" s="86"/>
    </row>
    <row r="203" spans="1:8" s="7" customFormat="1" ht="18.75">
      <c r="A203" s="655"/>
      <c r="B203" s="655"/>
      <c r="C203" s="664"/>
      <c r="D203" s="657"/>
      <c r="E203" s="655"/>
      <c r="F203" s="657"/>
      <c r="H203" s="86"/>
    </row>
    <row r="204" spans="1:8" s="7" customFormat="1" ht="18.75">
      <c r="A204" s="655"/>
      <c r="B204" s="655"/>
      <c r="C204" s="664"/>
      <c r="D204" s="657"/>
      <c r="E204" s="655"/>
      <c r="F204" s="657"/>
      <c r="H204" s="86"/>
    </row>
    <row r="205" spans="1:8" s="7" customFormat="1" ht="18.75">
      <c r="A205" s="655"/>
      <c r="B205" s="655"/>
      <c r="C205" s="664"/>
      <c r="D205" s="657"/>
      <c r="E205" s="655"/>
      <c r="F205" s="657"/>
      <c r="H205" s="86"/>
    </row>
    <row r="206" spans="1:8" s="7" customFormat="1" ht="18.75">
      <c r="A206" s="655"/>
      <c r="B206" s="655"/>
      <c r="C206" s="664"/>
      <c r="D206" s="657"/>
      <c r="E206" s="655"/>
      <c r="F206" s="657"/>
      <c r="H206" s="86"/>
    </row>
    <row r="207" spans="1:8" s="7" customFormat="1" ht="18.75">
      <c r="A207" s="655"/>
      <c r="B207" s="655"/>
      <c r="C207" s="664"/>
      <c r="D207" s="657"/>
      <c r="E207" s="655"/>
      <c r="F207" s="657"/>
      <c r="H207" s="86"/>
    </row>
    <row r="208" spans="1:8" s="7" customFormat="1" ht="18.75">
      <c r="A208" s="655"/>
      <c r="B208" s="655"/>
      <c r="C208" s="664"/>
      <c r="D208" s="657"/>
      <c r="E208" s="655"/>
      <c r="F208" s="657"/>
      <c r="H208" s="86"/>
    </row>
    <row r="209" spans="1:8" s="7" customFormat="1" ht="18.75">
      <c r="A209" s="655"/>
      <c r="B209" s="655"/>
      <c r="C209" s="664"/>
      <c r="D209" s="657"/>
      <c r="E209" s="655"/>
      <c r="F209" s="657"/>
      <c r="H209" s="86"/>
    </row>
    <row r="210" spans="1:8" s="7" customFormat="1" ht="18.75">
      <c r="A210" s="655"/>
      <c r="B210" s="655"/>
      <c r="C210" s="664"/>
      <c r="D210" s="657"/>
      <c r="E210" s="655"/>
      <c r="F210" s="657"/>
      <c r="H210" s="86"/>
    </row>
    <row r="211" spans="1:8" s="7" customFormat="1" ht="18.75">
      <c r="A211" s="655"/>
      <c r="B211" s="655"/>
      <c r="C211" s="664"/>
      <c r="D211" s="657"/>
      <c r="E211" s="655"/>
      <c r="F211" s="657"/>
      <c r="H211" s="86"/>
    </row>
    <row r="212" spans="1:8" s="7" customFormat="1" ht="18.75">
      <c r="A212" s="655"/>
      <c r="B212" s="655"/>
      <c r="C212" s="664"/>
      <c r="D212" s="657"/>
      <c r="E212" s="655"/>
      <c r="F212" s="657"/>
      <c r="H212" s="86"/>
    </row>
    <row r="213" spans="1:8" s="7" customFormat="1" ht="18.75">
      <c r="A213" s="655"/>
      <c r="B213" s="655"/>
      <c r="C213" s="664"/>
      <c r="D213" s="657"/>
      <c r="E213" s="655"/>
      <c r="F213" s="657"/>
      <c r="H213" s="86"/>
    </row>
    <row r="214" spans="1:8" s="7" customFormat="1" ht="18.75">
      <c r="A214" s="655"/>
      <c r="B214" s="655"/>
      <c r="C214" s="664"/>
      <c r="D214" s="657"/>
      <c r="E214" s="655"/>
      <c r="F214" s="657"/>
      <c r="H214" s="86"/>
    </row>
    <row r="215" spans="1:8" s="7" customFormat="1" ht="18.75">
      <c r="A215" s="655"/>
      <c r="B215" s="655"/>
      <c r="C215" s="664"/>
      <c r="D215" s="657"/>
      <c r="E215" s="655"/>
      <c r="F215" s="657"/>
      <c r="H215" s="86"/>
    </row>
    <row r="216" spans="1:8" s="7" customFormat="1" ht="18.75">
      <c r="A216" s="655"/>
      <c r="B216" s="655"/>
      <c r="C216" s="664"/>
      <c r="D216" s="657"/>
      <c r="E216" s="655"/>
      <c r="F216" s="657"/>
      <c r="H216" s="86"/>
    </row>
    <row r="217" spans="1:8" s="7" customFormat="1" ht="18.75">
      <c r="A217" s="655"/>
      <c r="B217" s="655"/>
      <c r="C217" s="664"/>
      <c r="D217" s="657"/>
      <c r="E217" s="655"/>
      <c r="F217" s="657"/>
      <c r="H217" s="86"/>
    </row>
    <row r="218" spans="1:8" s="7" customFormat="1" ht="18.75">
      <c r="A218" s="655"/>
      <c r="B218" s="655"/>
      <c r="C218" s="664"/>
      <c r="D218" s="657"/>
      <c r="E218" s="655"/>
      <c r="F218" s="657"/>
      <c r="H218" s="86"/>
    </row>
    <row r="219" spans="1:8" s="7" customFormat="1" ht="18.75">
      <c r="A219" s="655"/>
      <c r="B219" s="655"/>
      <c r="C219" s="664"/>
      <c r="D219" s="657"/>
      <c r="E219" s="655"/>
      <c r="F219" s="657"/>
      <c r="H219" s="86"/>
    </row>
    <row r="220" spans="1:8" s="7" customFormat="1" ht="18.75">
      <c r="A220" s="655"/>
      <c r="B220" s="655"/>
      <c r="C220" s="664"/>
      <c r="D220" s="657"/>
      <c r="E220" s="655"/>
      <c r="F220" s="657"/>
      <c r="H220" s="86"/>
    </row>
    <row r="221" spans="1:8" s="7" customFormat="1" ht="18.75">
      <c r="A221" s="655"/>
      <c r="B221" s="655"/>
      <c r="C221" s="664"/>
      <c r="D221" s="657"/>
      <c r="E221" s="655"/>
      <c r="F221" s="657"/>
      <c r="H221" s="86"/>
    </row>
    <row r="222" spans="1:8" s="7" customFormat="1" ht="18.75">
      <c r="A222" s="655"/>
      <c r="B222" s="655"/>
      <c r="C222" s="664"/>
      <c r="D222" s="657"/>
      <c r="E222" s="655"/>
      <c r="F222" s="657"/>
      <c r="H222" s="86"/>
    </row>
    <row r="223" spans="1:8" s="7" customFormat="1" ht="18.75">
      <c r="A223" s="655"/>
      <c r="B223" s="655"/>
      <c r="C223" s="664"/>
      <c r="D223" s="657"/>
      <c r="E223" s="655"/>
      <c r="F223" s="657"/>
      <c r="H223" s="86"/>
    </row>
    <row r="224" spans="1:8" s="7" customFormat="1" ht="18.75">
      <c r="A224" s="655"/>
      <c r="B224" s="655"/>
      <c r="C224" s="664"/>
      <c r="D224" s="657"/>
      <c r="E224" s="655"/>
      <c r="F224" s="657"/>
      <c r="H224" s="86"/>
    </row>
    <row r="225" spans="1:8" s="7" customFormat="1" ht="18.75">
      <c r="A225" s="655"/>
      <c r="B225" s="655"/>
      <c r="C225" s="664"/>
      <c r="D225" s="657"/>
      <c r="E225" s="655"/>
      <c r="F225" s="657"/>
      <c r="H225" s="86"/>
    </row>
    <row r="226" spans="1:8" s="7" customFormat="1" ht="18.75">
      <c r="A226" s="655"/>
      <c r="B226" s="655"/>
      <c r="C226" s="664"/>
      <c r="D226" s="657"/>
      <c r="E226" s="655"/>
      <c r="F226" s="657"/>
      <c r="H226" s="86"/>
    </row>
    <row r="227" spans="1:8" s="7" customFormat="1" ht="18.75">
      <c r="A227" s="655"/>
      <c r="B227" s="655"/>
      <c r="C227" s="664"/>
      <c r="D227" s="657"/>
      <c r="E227" s="655"/>
      <c r="F227" s="657"/>
      <c r="H227" s="86"/>
    </row>
    <row r="228" spans="1:8" s="7" customFormat="1" ht="18.75">
      <c r="A228" s="655"/>
      <c r="B228" s="655"/>
      <c r="C228" s="664"/>
      <c r="D228" s="657"/>
      <c r="E228" s="655"/>
      <c r="F228" s="657"/>
      <c r="H228" s="86"/>
    </row>
    <row r="229" spans="1:8" s="7" customFormat="1" ht="18.75">
      <c r="A229" s="655"/>
      <c r="B229" s="655"/>
      <c r="C229" s="664"/>
      <c r="D229" s="657"/>
      <c r="E229" s="655"/>
      <c r="F229" s="657"/>
      <c r="H229" s="86"/>
    </row>
    <row r="230" spans="1:8" s="7" customFormat="1" ht="18.75">
      <c r="A230" s="655"/>
      <c r="B230" s="655"/>
      <c r="C230" s="664"/>
      <c r="D230" s="657"/>
      <c r="E230" s="655"/>
      <c r="F230" s="657"/>
      <c r="H230" s="86"/>
    </row>
    <row r="231" spans="1:8" s="7" customFormat="1" ht="18.75">
      <c r="A231" s="655"/>
      <c r="B231" s="655"/>
      <c r="C231" s="664"/>
      <c r="D231" s="657"/>
      <c r="E231" s="655"/>
      <c r="F231" s="657"/>
      <c r="H231" s="86"/>
    </row>
    <row r="232" spans="1:8" s="7" customFormat="1" ht="18.75">
      <c r="A232" s="655"/>
      <c r="B232" s="655"/>
      <c r="C232" s="664"/>
      <c r="D232" s="657"/>
      <c r="E232" s="655"/>
      <c r="F232" s="657"/>
      <c r="H232" s="86"/>
    </row>
    <row r="233" spans="1:8" s="7" customFormat="1" ht="18.75">
      <c r="A233" s="655"/>
      <c r="B233" s="655"/>
      <c r="C233" s="664"/>
      <c r="D233" s="657"/>
      <c r="E233" s="655"/>
      <c r="F233" s="657"/>
      <c r="H233" s="86"/>
    </row>
    <row r="234" spans="1:8" s="7" customFormat="1" ht="18.75">
      <c r="A234" s="655"/>
      <c r="B234" s="655"/>
      <c r="C234" s="664"/>
      <c r="D234" s="657"/>
      <c r="E234" s="655"/>
      <c r="F234" s="657"/>
      <c r="H234" s="86"/>
    </row>
    <row r="235" spans="1:8" s="7" customFormat="1" ht="18.75">
      <c r="A235" s="655"/>
      <c r="B235" s="655"/>
      <c r="C235" s="664"/>
      <c r="D235" s="657"/>
      <c r="E235" s="655"/>
      <c r="F235" s="657"/>
      <c r="H235" s="86"/>
    </row>
    <row r="236" spans="1:8" s="7" customFormat="1" ht="18.75">
      <c r="A236" s="655"/>
      <c r="B236" s="655"/>
      <c r="C236" s="664"/>
      <c r="D236" s="657"/>
      <c r="E236" s="655"/>
      <c r="F236" s="657"/>
      <c r="H236" s="86"/>
    </row>
    <row r="237" spans="1:8" s="7" customFormat="1" ht="18.75">
      <c r="A237" s="655"/>
      <c r="B237" s="655"/>
      <c r="C237" s="664"/>
      <c r="D237" s="657"/>
      <c r="E237" s="655"/>
      <c r="F237" s="657"/>
      <c r="H237" s="86"/>
    </row>
    <row r="238" spans="1:8" s="7" customFormat="1" ht="18.75">
      <c r="A238" s="655"/>
      <c r="B238" s="655"/>
      <c r="C238" s="664"/>
      <c r="D238" s="657"/>
      <c r="E238" s="655"/>
      <c r="F238" s="657"/>
      <c r="H238" s="86"/>
    </row>
    <row r="239" spans="1:8" s="7" customFormat="1" ht="18.75">
      <c r="A239" s="655"/>
      <c r="B239" s="655"/>
      <c r="C239" s="664"/>
      <c r="D239" s="657"/>
      <c r="E239" s="655"/>
      <c r="F239" s="657"/>
      <c r="H239" s="86"/>
    </row>
    <row r="240" spans="1:8" s="7" customFormat="1" ht="18.75">
      <c r="A240" s="655"/>
      <c r="B240" s="655"/>
      <c r="C240" s="664"/>
      <c r="D240" s="657"/>
      <c r="E240" s="655"/>
      <c r="F240" s="657"/>
      <c r="H240" s="86"/>
    </row>
    <row r="241" spans="1:8" s="7" customFormat="1" ht="18.75">
      <c r="A241" s="655"/>
      <c r="B241" s="655"/>
      <c r="C241" s="664"/>
      <c r="D241" s="657"/>
      <c r="E241" s="655"/>
      <c r="F241" s="657"/>
      <c r="H241" s="86"/>
    </row>
    <row r="242" spans="1:8" s="7" customFormat="1" ht="18.75">
      <c r="A242" s="655"/>
      <c r="B242" s="655"/>
      <c r="C242" s="664"/>
      <c r="D242" s="657"/>
      <c r="E242" s="655"/>
      <c r="F242" s="657"/>
      <c r="H242" s="86"/>
    </row>
    <row r="243" spans="1:8" s="7" customFormat="1" ht="18.75">
      <c r="A243" s="655"/>
      <c r="B243" s="655"/>
      <c r="C243" s="664"/>
      <c r="D243" s="657"/>
      <c r="E243" s="655"/>
      <c r="F243" s="657"/>
      <c r="H243" s="86"/>
    </row>
    <row r="244" spans="1:8" s="7" customFormat="1" ht="18.75">
      <c r="A244" s="655"/>
      <c r="B244" s="655"/>
      <c r="C244" s="664"/>
      <c r="D244" s="657"/>
      <c r="E244" s="655"/>
      <c r="F244" s="657"/>
      <c r="H244" s="86"/>
    </row>
    <row r="245" spans="1:8" s="7" customFormat="1" ht="18.75">
      <c r="A245" s="655"/>
      <c r="B245" s="655"/>
      <c r="C245" s="664"/>
      <c r="D245" s="657"/>
      <c r="E245" s="655"/>
      <c r="F245" s="657"/>
      <c r="H245" s="86"/>
    </row>
    <row r="246" spans="1:8" s="7" customFormat="1" ht="18.75">
      <c r="A246" s="655"/>
      <c r="B246" s="655"/>
      <c r="C246" s="664"/>
      <c r="D246" s="657"/>
      <c r="E246" s="655"/>
      <c r="F246" s="657"/>
      <c r="H246" s="86"/>
    </row>
    <row r="247" spans="1:8" s="7" customFormat="1" ht="18.75">
      <c r="A247" s="655"/>
      <c r="B247" s="655"/>
      <c r="C247" s="664"/>
      <c r="D247" s="657"/>
      <c r="E247" s="655"/>
      <c r="F247" s="657"/>
      <c r="H247" s="86"/>
    </row>
    <row r="248" spans="1:8" s="7" customFormat="1" ht="18.75">
      <c r="A248" s="655"/>
      <c r="B248" s="655"/>
      <c r="C248" s="664"/>
      <c r="D248" s="657"/>
      <c r="E248" s="655"/>
      <c r="F248" s="657"/>
      <c r="H248" s="86"/>
    </row>
    <row r="249" ht="18.75">
      <c r="G249" s="657"/>
    </row>
  </sheetData>
  <sheetProtection/>
  <printOptions/>
  <pageMargins left="0.44" right="0.32" top="0.43" bottom="0.38" header="0.5"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4"/>
  </sheetPr>
  <dimension ref="A1:AY113"/>
  <sheetViews>
    <sheetView zoomScalePageLayoutView="0" workbookViewId="0" topLeftCell="A1">
      <pane xSplit="1" ySplit="3" topLeftCell="B30" activePane="bottomRight" state="frozen"/>
      <selection pane="topLeft" activeCell="A1" sqref="A1"/>
      <selection pane="topRight" activeCell="B1" sqref="B1"/>
      <selection pane="bottomLeft" activeCell="A4" sqref="A4"/>
      <selection pane="bottomRight" activeCell="A1" sqref="A1:U44"/>
    </sheetView>
  </sheetViews>
  <sheetFormatPr defaultColWidth="9.140625" defaultRowHeight="15.75" customHeight="1"/>
  <cols>
    <col min="1" max="1" width="26.57421875" style="7" customWidth="1"/>
    <col min="2" max="2" width="4.8515625" style="7" customWidth="1"/>
    <col min="3" max="3" width="8.140625" style="315" customWidth="1"/>
    <col min="4" max="4" width="4.140625" style="7" customWidth="1"/>
    <col min="5" max="5" width="8.00390625" style="315" customWidth="1"/>
    <col min="6" max="6" width="4.28125" style="7" customWidth="1"/>
    <col min="7" max="7" width="8.28125" style="315" customWidth="1"/>
    <col min="8" max="8" width="4.00390625" style="7" customWidth="1"/>
    <col min="9" max="9" width="8.00390625" style="315" customWidth="1"/>
    <col min="10" max="10" width="4.140625" style="7" bestFit="1" customWidth="1"/>
    <col min="11" max="11" width="6.421875" style="315" customWidth="1"/>
    <col min="12" max="12" width="5.140625" style="7" bestFit="1" customWidth="1"/>
    <col min="13" max="13" width="8.28125" style="307" customWidth="1"/>
    <col min="14" max="14" width="4.7109375" style="97" bestFit="1" customWidth="1"/>
    <col min="15" max="15" width="5.7109375" style="307" customWidth="1"/>
    <col min="16" max="16" width="4.7109375" style="7" bestFit="1" customWidth="1"/>
    <col min="17" max="17" width="6.57421875" style="315" customWidth="1"/>
    <col min="18" max="18" width="4.421875" style="7" customWidth="1"/>
    <col min="19" max="19" width="6.7109375" style="315" bestFit="1" customWidth="1"/>
    <col min="20" max="20" width="5.421875" style="7" customWidth="1"/>
    <col min="21" max="21" width="9.28125" style="315" customWidth="1"/>
    <col min="22" max="22" width="11.00390625" style="0" customWidth="1"/>
    <col min="23" max="23" width="5.421875" style="0" customWidth="1"/>
    <col min="24" max="24" width="9.421875" style="0" customWidth="1"/>
    <col min="25" max="25" width="5.8515625" style="0" customWidth="1"/>
    <col min="26" max="26" width="16.28125" style="0" customWidth="1"/>
    <col min="27" max="27" width="5.00390625" style="0" customWidth="1"/>
    <col min="28" max="28" width="8.00390625" style="0" customWidth="1"/>
    <col min="29" max="29" width="4.7109375" style="0" customWidth="1"/>
    <col min="30" max="30" width="7.57421875" style="0" customWidth="1"/>
    <col min="31" max="31" width="4.421875" style="0" customWidth="1"/>
    <col min="32" max="32" width="7.00390625" style="0" customWidth="1"/>
    <col min="33" max="33" width="4.8515625" style="0" customWidth="1"/>
    <col min="34" max="34" width="7.140625" style="0" customWidth="1"/>
    <col min="35" max="35" width="4.8515625" style="0" customWidth="1"/>
    <col min="36" max="36" width="7.28125" style="0" customWidth="1"/>
    <col min="37" max="37" width="4.421875" style="0" customWidth="1"/>
    <col min="38" max="38" width="7.00390625" style="0" customWidth="1"/>
    <col min="39" max="39" width="4.57421875" style="0" customWidth="1"/>
    <col min="41" max="41" width="4.57421875" style="0" customWidth="1"/>
    <col min="42" max="42" width="7.7109375" style="0" customWidth="1"/>
    <col min="43" max="43" width="4.7109375" style="0" customWidth="1"/>
    <col min="44" max="44" width="6.57421875" style="0" customWidth="1"/>
    <col min="45" max="45" width="5.28125" style="0" customWidth="1"/>
    <col min="48" max="48" width="5.57421875" style="0" customWidth="1"/>
    <col min="52" max="16384" width="9.140625" style="7" customWidth="1"/>
  </cols>
  <sheetData>
    <row r="1" spans="1:21" ht="27.75" customHeight="1" thickBot="1">
      <c r="A1" s="187" t="s">
        <v>617</v>
      </c>
      <c r="C1" s="307"/>
      <c r="H1" s="97"/>
      <c r="I1" s="307"/>
      <c r="P1" s="97"/>
      <c r="R1" s="121"/>
      <c r="S1" s="320"/>
      <c r="T1" s="121"/>
      <c r="U1" s="321" t="s">
        <v>139</v>
      </c>
    </row>
    <row r="2" spans="1:21" ht="68.25" customHeight="1" thickBot="1">
      <c r="A2" s="1306" t="s">
        <v>1</v>
      </c>
      <c r="B2" s="1308" t="s">
        <v>70</v>
      </c>
      <c r="C2" s="1308"/>
      <c r="D2" s="1309" t="s">
        <v>84</v>
      </c>
      <c r="E2" s="1309"/>
      <c r="F2" s="1309" t="s">
        <v>154</v>
      </c>
      <c r="G2" s="1309"/>
      <c r="H2" s="1311" t="s">
        <v>76</v>
      </c>
      <c r="I2" s="1311"/>
      <c r="J2" s="1309" t="s">
        <v>77</v>
      </c>
      <c r="K2" s="1309"/>
      <c r="L2" s="1312" t="s">
        <v>78</v>
      </c>
      <c r="M2" s="1312"/>
      <c r="N2" s="1311" t="s">
        <v>79</v>
      </c>
      <c r="O2" s="1311"/>
      <c r="P2" s="1311" t="s">
        <v>80</v>
      </c>
      <c r="Q2" s="1311"/>
      <c r="R2" s="1311" t="s">
        <v>92</v>
      </c>
      <c r="S2" s="1311"/>
      <c r="T2" s="1310" t="s">
        <v>65</v>
      </c>
      <c r="U2" s="1310"/>
    </row>
    <row r="3" spans="1:51" s="122" customFormat="1" ht="28.5" customHeight="1" thickBot="1">
      <c r="A3" s="1307"/>
      <c r="B3" s="132" t="s">
        <v>10</v>
      </c>
      <c r="C3" s="308" t="s">
        <v>9</v>
      </c>
      <c r="D3" s="132" t="s">
        <v>10</v>
      </c>
      <c r="E3" s="316" t="s">
        <v>9</v>
      </c>
      <c r="F3" s="132" t="s">
        <v>10</v>
      </c>
      <c r="G3" s="991" t="s">
        <v>9</v>
      </c>
      <c r="H3" s="130" t="s">
        <v>10</v>
      </c>
      <c r="I3" s="991" t="s">
        <v>9</v>
      </c>
      <c r="J3" s="130" t="s">
        <v>10</v>
      </c>
      <c r="K3" s="991" t="s">
        <v>9</v>
      </c>
      <c r="L3" s="130" t="s">
        <v>10</v>
      </c>
      <c r="M3" s="991" t="s">
        <v>9</v>
      </c>
      <c r="N3" s="130" t="s">
        <v>10</v>
      </c>
      <c r="O3" s="991" t="s">
        <v>9</v>
      </c>
      <c r="P3" s="130" t="s">
        <v>10</v>
      </c>
      <c r="Q3" s="991" t="s">
        <v>9</v>
      </c>
      <c r="R3" s="130" t="s">
        <v>10</v>
      </c>
      <c r="S3" s="991" t="s">
        <v>9</v>
      </c>
      <c r="T3" s="130" t="s">
        <v>10</v>
      </c>
      <c r="U3" s="992" t="s">
        <v>9</v>
      </c>
      <c r="V3"/>
      <c r="W3"/>
      <c r="X3"/>
      <c r="Y3"/>
      <c r="Z3"/>
      <c r="AA3"/>
      <c r="AB3"/>
      <c r="AC3"/>
      <c r="AD3"/>
      <c r="AE3"/>
      <c r="AF3"/>
      <c r="AG3"/>
      <c r="AH3"/>
      <c r="AI3"/>
      <c r="AJ3"/>
      <c r="AK3"/>
      <c r="AL3"/>
      <c r="AM3"/>
      <c r="AN3"/>
      <c r="AO3"/>
      <c r="AP3"/>
      <c r="AQ3"/>
      <c r="AR3"/>
      <c r="AS3"/>
      <c r="AT3"/>
      <c r="AU3"/>
      <c r="AV3"/>
      <c r="AW3"/>
      <c r="AX3"/>
      <c r="AY3"/>
    </row>
    <row r="4" spans="1:51" s="122" customFormat="1" ht="23.25" customHeight="1">
      <c r="A4" s="123" t="s">
        <v>140</v>
      </c>
      <c r="B4" s="124"/>
      <c r="C4" s="309"/>
      <c r="D4" s="124"/>
      <c r="E4" s="317"/>
      <c r="F4" s="124"/>
      <c r="G4" s="317"/>
      <c r="H4" s="125"/>
      <c r="I4" s="317"/>
      <c r="J4" s="124"/>
      <c r="K4" s="317"/>
      <c r="L4" s="124"/>
      <c r="M4" s="317"/>
      <c r="N4" s="125"/>
      <c r="O4" s="317"/>
      <c r="P4" s="124"/>
      <c r="Q4" s="317"/>
      <c r="R4" s="125"/>
      <c r="S4" s="317"/>
      <c r="T4" s="123"/>
      <c r="U4" s="322"/>
      <c r="V4"/>
      <c r="W4"/>
      <c r="X4"/>
      <c r="Y4"/>
      <c r="Z4"/>
      <c r="AA4"/>
      <c r="AB4"/>
      <c r="AC4"/>
      <c r="AD4"/>
      <c r="AE4"/>
      <c r="AF4"/>
      <c r="AG4"/>
      <c r="AH4"/>
      <c r="AI4"/>
      <c r="AJ4"/>
      <c r="AK4"/>
      <c r="AL4"/>
      <c r="AM4"/>
      <c r="AN4"/>
      <c r="AO4"/>
      <c r="AP4"/>
      <c r="AQ4"/>
      <c r="AR4"/>
      <c r="AS4"/>
      <c r="AT4"/>
      <c r="AU4"/>
      <c r="AV4"/>
      <c r="AW4"/>
      <c r="AX4"/>
      <c r="AY4"/>
    </row>
    <row r="5" spans="1:51" s="122" customFormat="1" ht="19.5" customHeight="1">
      <c r="A5" s="126" t="s">
        <v>86</v>
      </c>
      <c r="B5" s="174">
        <v>10</v>
      </c>
      <c r="C5" s="310">
        <v>491.5</v>
      </c>
      <c r="D5" s="174">
        <v>8</v>
      </c>
      <c r="E5" s="310">
        <v>639.9</v>
      </c>
      <c r="F5" s="174">
        <v>1</v>
      </c>
      <c r="G5" s="310">
        <v>86.8</v>
      </c>
      <c r="H5" s="174"/>
      <c r="I5" s="310"/>
      <c r="J5" s="174">
        <v>1</v>
      </c>
      <c r="K5" s="310">
        <v>20.4</v>
      </c>
      <c r="L5" s="174">
        <v>13</v>
      </c>
      <c r="M5" s="310">
        <f>107.1+49.5</f>
        <v>156.6</v>
      </c>
      <c r="N5" s="174"/>
      <c r="O5" s="310"/>
      <c r="P5" s="174"/>
      <c r="Q5" s="310"/>
      <c r="R5" s="174"/>
      <c r="S5" s="310"/>
      <c r="T5" s="176">
        <f aca="true" t="shared" si="0" ref="T5:U8">SUM(B5,J5,F5,N5,D5,H5,L5,P5,R5)</f>
        <v>33</v>
      </c>
      <c r="U5" s="764">
        <f t="shared" si="0"/>
        <v>1395.1999999999998</v>
      </c>
      <c r="V5"/>
      <c r="W5"/>
      <c r="X5"/>
      <c r="Y5"/>
      <c r="Z5"/>
      <c r="AA5"/>
      <c r="AB5"/>
      <c r="AC5"/>
      <c r="AD5"/>
      <c r="AE5"/>
      <c r="AF5"/>
      <c r="AG5"/>
      <c r="AH5"/>
      <c r="AI5"/>
      <c r="AJ5"/>
      <c r="AK5"/>
      <c r="AL5"/>
      <c r="AM5"/>
      <c r="AN5"/>
      <c r="AO5"/>
      <c r="AP5"/>
      <c r="AQ5"/>
      <c r="AR5"/>
      <c r="AS5"/>
      <c r="AT5"/>
      <c r="AU5"/>
      <c r="AV5"/>
      <c r="AW5"/>
      <c r="AX5"/>
      <c r="AY5"/>
    </row>
    <row r="6" spans="1:51" s="122" customFormat="1" ht="19.5" customHeight="1">
      <c r="A6" s="126" t="s">
        <v>87</v>
      </c>
      <c r="B6" s="174">
        <f>14+37+25</f>
        <v>76</v>
      </c>
      <c r="C6" s="310">
        <f>689.4+185.2+145.8+69.4+153+44.9+434.2+45.9+247.7+29.9+44.9</f>
        <v>2090.3</v>
      </c>
      <c r="D6" s="174">
        <v>7</v>
      </c>
      <c r="E6" s="310">
        <v>539.9</v>
      </c>
      <c r="F6" s="174">
        <v>1</v>
      </c>
      <c r="G6" s="310">
        <v>83.9</v>
      </c>
      <c r="H6" s="174">
        <f>27+25</f>
        <v>52</v>
      </c>
      <c r="I6" s="310">
        <f>505.5+417.4+44.9</f>
        <v>967.8</v>
      </c>
      <c r="J6" s="174">
        <v>5</v>
      </c>
      <c r="K6" s="310">
        <v>102.5</v>
      </c>
      <c r="L6" s="174">
        <v>3</v>
      </c>
      <c r="M6" s="310">
        <v>308.7</v>
      </c>
      <c r="N6" s="174"/>
      <c r="O6" s="310"/>
      <c r="P6" s="174"/>
      <c r="Q6" s="310"/>
      <c r="R6" s="174"/>
      <c r="S6" s="310"/>
      <c r="T6" s="176">
        <f t="shared" si="0"/>
        <v>144</v>
      </c>
      <c r="U6" s="764">
        <f t="shared" si="0"/>
        <v>4093.1000000000004</v>
      </c>
      <c r="V6"/>
      <c r="W6"/>
      <c r="X6"/>
      <c r="Y6"/>
      <c r="Z6"/>
      <c r="AA6"/>
      <c r="AB6"/>
      <c r="AC6"/>
      <c r="AD6"/>
      <c r="AE6"/>
      <c r="AF6"/>
      <c r="AG6"/>
      <c r="AH6"/>
      <c r="AI6"/>
      <c r="AJ6"/>
      <c r="AK6"/>
      <c r="AL6"/>
      <c r="AM6"/>
      <c r="AN6"/>
      <c r="AO6"/>
      <c r="AP6"/>
      <c r="AQ6"/>
      <c r="AR6"/>
      <c r="AS6"/>
      <c r="AT6"/>
      <c r="AU6"/>
      <c r="AV6"/>
      <c r="AW6"/>
      <c r="AX6"/>
      <c r="AY6"/>
    </row>
    <row r="7" spans="1:51" s="122" customFormat="1" ht="19.5" customHeight="1">
      <c r="A7" s="126" t="s">
        <v>88</v>
      </c>
      <c r="B7" s="174">
        <v>6</v>
      </c>
      <c r="C7" s="310">
        <v>550.7</v>
      </c>
      <c r="D7" s="174">
        <v>10</v>
      </c>
      <c r="E7" s="310">
        <v>835</v>
      </c>
      <c r="F7" s="174">
        <v>2</v>
      </c>
      <c r="G7" s="310">
        <v>167.9</v>
      </c>
      <c r="H7" s="174"/>
      <c r="I7" s="310"/>
      <c r="J7" s="174"/>
      <c r="K7" s="310"/>
      <c r="L7" s="174">
        <v>10</v>
      </c>
      <c r="M7" s="310">
        <f>473.6+385.9-183.4-148.5</f>
        <v>527.6</v>
      </c>
      <c r="N7" s="174"/>
      <c r="O7" s="310">
        <v>35</v>
      </c>
      <c r="P7" s="174"/>
      <c r="Q7" s="310"/>
      <c r="R7" s="174"/>
      <c r="S7" s="310"/>
      <c r="T7" s="176">
        <f t="shared" si="0"/>
        <v>28</v>
      </c>
      <c r="U7" s="764">
        <f t="shared" si="0"/>
        <v>2116.2</v>
      </c>
      <c r="V7"/>
      <c r="W7"/>
      <c r="X7"/>
      <c r="Y7"/>
      <c r="Z7"/>
      <c r="AA7"/>
      <c r="AB7"/>
      <c r="AC7"/>
      <c r="AD7"/>
      <c r="AE7"/>
      <c r="AF7"/>
      <c r="AG7"/>
      <c r="AH7"/>
      <c r="AI7"/>
      <c r="AJ7"/>
      <c r="AK7"/>
      <c r="AL7"/>
      <c r="AM7"/>
      <c r="AN7"/>
      <c r="AO7"/>
      <c r="AP7"/>
      <c r="AQ7"/>
      <c r="AR7"/>
      <c r="AS7"/>
      <c r="AT7"/>
      <c r="AU7"/>
      <c r="AV7"/>
      <c r="AW7"/>
      <c r="AX7"/>
      <c r="AY7"/>
    </row>
    <row r="8" spans="1:51" s="122" customFormat="1" ht="19.5" customHeight="1">
      <c r="A8" s="128" t="s">
        <v>89</v>
      </c>
      <c r="B8" s="325">
        <v>8</v>
      </c>
      <c r="C8" s="326">
        <v>395.8</v>
      </c>
      <c r="D8" s="325">
        <v>5</v>
      </c>
      <c r="E8" s="326">
        <v>373.7</v>
      </c>
      <c r="F8" s="325">
        <v>2</v>
      </c>
      <c r="G8" s="326">
        <v>201.5</v>
      </c>
      <c r="H8" s="325"/>
      <c r="I8" s="326"/>
      <c r="J8" s="325">
        <v>3</v>
      </c>
      <c r="K8" s="326">
        <v>83.6</v>
      </c>
      <c r="L8" s="325">
        <v>3</v>
      </c>
      <c r="M8" s="326">
        <v>107.1</v>
      </c>
      <c r="N8" s="325"/>
      <c r="O8" s="326"/>
      <c r="P8" s="325"/>
      <c r="Q8" s="326"/>
      <c r="R8" s="325"/>
      <c r="S8" s="326">
        <v>137.7</v>
      </c>
      <c r="T8" s="327">
        <f t="shared" si="0"/>
        <v>21</v>
      </c>
      <c r="U8" s="765">
        <f t="shared" si="0"/>
        <v>1299.3999999999999</v>
      </c>
      <c r="V8"/>
      <c r="W8"/>
      <c r="X8"/>
      <c r="Y8"/>
      <c r="Z8"/>
      <c r="AA8"/>
      <c r="AB8"/>
      <c r="AC8"/>
      <c r="AD8"/>
      <c r="AE8"/>
      <c r="AF8"/>
      <c r="AG8"/>
      <c r="AH8"/>
      <c r="AI8"/>
      <c r="AJ8"/>
      <c r="AK8"/>
      <c r="AL8"/>
      <c r="AM8"/>
      <c r="AN8"/>
      <c r="AO8"/>
      <c r="AP8"/>
      <c r="AQ8"/>
      <c r="AR8"/>
      <c r="AS8"/>
      <c r="AT8"/>
      <c r="AU8"/>
      <c r="AV8"/>
      <c r="AW8"/>
      <c r="AX8"/>
      <c r="AY8"/>
    </row>
    <row r="9" spans="1:51" s="122" customFormat="1" ht="23.25" customHeight="1">
      <c r="A9" s="127" t="s">
        <v>16</v>
      </c>
      <c r="B9" s="179"/>
      <c r="C9" s="311"/>
      <c r="D9" s="179"/>
      <c r="E9" s="311"/>
      <c r="F9" s="179"/>
      <c r="G9" s="311"/>
      <c r="H9" s="179"/>
      <c r="I9" s="311"/>
      <c r="J9" s="179"/>
      <c r="K9" s="311"/>
      <c r="L9" s="179"/>
      <c r="M9" s="311"/>
      <c r="N9" s="179"/>
      <c r="O9" s="311"/>
      <c r="P9" s="179"/>
      <c r="Q9" s="311"/>
      <c r="R9" s="179"/>
      <c r="S9" s="311"/>
      <c r="T9" s="177"/>
      <c r="U9" s="324"/>
      <c r="V9"/>
      <c r="W9"/>
      <c r="X9"/>
      <c r="Y9"/>
      <c r="Z9"/>
      <c r="AA9"/>
      <c r="AB9"/>
      <c r="AC9"/>
      <c r="AD9"/>
      <c r="AE9"/>
      <c r="AF9"/>
      <c r="AG9"/>
      <c r="AH9"/>
      <c r="AI9"/>
      <c r="AJ9"/>
      <c r="AK9"/>
      <c r="AL9"/>
      <c r="AM9"/>
      <c r="AN9"/>
      <c r="AO9"/>
      <c r="AP9"/>
      <c r="AQ9"/>
      <c r="AR9"/>
      <c r="AS9"/>
      <c r="AT9"/>
      <c r="AU9"/>
      <c r="AV9"/>
      <c r="AW9"/>
      <c r="AX9"/>
      <c r="AY9"/>
    </row>
    <row r="10" spans="1:51" s="122" customFormat="1" ht="19.5" customHeight="1">
      <c r="A10" s="126" t="s">
        <v>286</v>
      </c>
      <c r="B10" s="174"/>
      <c r="C10" s="310"/>
      <c r="D10" s="174"/>
      <c r="E10" s="310"/>
      <c r="F10" s="174"/>
      <c r="G10" s="310"/>
      <c r="H10" s="174"/>
      <c r="I10" s="310"/>
      <c r="J10" s="174"/>
      <c r="K10" s="310"/>
      <c r="L10" s="174"/>
      <c r="M10" s="310"/>
      <c r="N10" s="174"/>
      <c r="O10" s="310"/>
      <c r="P10" s="174"/>
      <c r="Q10" s="310"/>
      <c r="R10" s="174"/>
      <c r="S10" s="310"/>
      <c r="T10" s="176">
        <f aca="true" t="shared" si="1" ref="T10:U13">SUM(B10,J10,F10,N10,D10,H10,L10,P10,R10)</f>
        <v>0</v>
      </c>
      <c r="U10" s="764">
        <f t="shared" si="1"/>
        <v>0</v>
      </c>
      <c r="V10"/>
      <c r="W10"/>
      <c r="X10"/>
      <c r="Y10"/>
      <c r="Z10"/>
      <c r="AA10"/>
      <c r="AB10"/>
      <c r="AC10"/>
      <c r="AD10"/>
      <c r="AE10"/>
      <c r="AF10"/>
      <c r="AG10"/>
      <c r="AH10"/>
      <c r="AI10"/>
      <c r="AJ10"/>
      <c r="AK10"/>
      <c r="AL10"/>
      <c r="AM10"/>
      <c r="AN10"/>
      <c r="AO10"/>
      <c r="AP10"/>
      <c r="AQ10"/>
      <c r="AR10"/>
      <c r="AS10"/>
      <c r="AT10"/>
      <c r="AU10"/>
      <c r="AV10"/>
      <c r="AW10"/>
      <c r="AX10"/>
      <c r="AY10"/>
    </row>
    <row r="11" spans="1:51" s="122" customFormat="1" ht="19.5" customHeight="1">
      <c r="A11" s="126" t="s">
        <v>95</v>
      </c>
      <c r="B11" s="174">
        <v>2</v>
      </c>
      <c r="C11" s="310">
        <v>96</v>
      </c>
      <c r="D11" s="174"/>
      <c r="E11" s="310"/>
      <c r="F11" s="174">
        <v>1</v>
      </c>
      <c r="G11" s="310">
        <v>106.8</v>
      </c>
      <c r="H11" s="174">
        <v>1</v>
      </c>
      <c r="I11" s="310">
        <v>57.9</v>
      </c>
      <c r="J11" s="174"/>
      <c r="K11" s="310"/>
      <c r="L11" s="174">
        <v>10</v>
      </c>
      <c r="M11" s="310">
        <v>49.5</v>
      </c>
      <c r="N11" s="174"/>
      <c r="O11" s="310"/>
      <c r="P11" s="174"/>
      <c r="Q11" s="310"/>
      <c r="R11" s="174"/>
      <c r="S11" s="310"/>
      <c r="T11" s="176">
        <f t="shared" si="1"/>
        <v>14</v>
      </c>
      <c r="U11" s="764">
        <f t="shared" si="1"/>
        <v>310.2</v>
      </c>
      <c r="V11"/>
      <c r="W11"/>
      <c r="X11"/>
      <c r="Y11"/>
      <c r="Z11"/>
      <c r="AA11"/>
      <c r="AB11"/>
      <c r="AC11"/>
      <c r="AD11"/>
      <c r="AE11"/>
      <c r="AF11"/>
      <c r="AG11"/>
      <c r="AH11"/>
      <c r="AI11"/>
      <c r="AJ11"/>
      <c r="AK11"/>
      <c r="AL11"/>
      <c r="AM11"/>
      <c r="AN11"/>
      <c r="AO11"/>
      <c r="AP11"/>
      <c r="AQ11"/>
      <c r="AR11"/>
      <c r="AS11"/>
      <c r="AT11"/>
      <c r="AU11"/>
      <c r="AV11"/>
      <c r="AW11"/>
      <c r="AX11"/>
      <c r="AY11"/>
    </row>
    <row r="12" spans="1:51" s="122" customFormat="1" ht="19.5" customHeight="1">
      <c r="A12" s="126" t="s">
        <v>121</v>
      </c>
      <c r="B12" s="174"/>
      <c r="C12" s="310"/>
      <c r="D12" s="174"/>
      <c r="E12" s="310"/>
      <c r="F12" s="174">
        <v>3</v>
      </c>
      <c r="G12" s="310">
        <v>288.6</v>
      </c>
      <c r="H12" s="174"/>
      <c r="I12" s="310"/>
      <c r="J12" s="174"/>
      <c r="K12" s="310"/>
      <c r="L12" s="174"/>
      <c r="M12" s="310"/>
      <c r="N12" s="174"/>
      <c r="O12" s="310"/>
      <c r="P12" s="174"/>
      <c r="Q12" s="310"/>
      <c r="R12" s="174"/>
      <c r="S12" s="310"/>
      <c r="T12" s="176">
        <f t="shared" si="1"/>
        <v>3</v>
      </c>
      <c r="U12" s="764">
        <f t="shared" si="1"/>
        <v>288.6</v>
      </c>
      <c r="V12"/>
      <c r="W12"/>
      <c r="X12"/>
      <c r="Y12"/>
      <c r="Z12"/>
      <c r="AA12"/>
      <c r="AB12"/>
      <c r="AC12"/>
      <c r="AD12"/>
      <c r="AE12"/>
      <c r="AF12"/>
      <c r="AG12"/>
      <c r="AH12"/>
      <c r="AI12"/>
      <c r="AJ12"/>
      <c r="AK12"/>
      <c r="AL12"/>
      <c r="AM12"/>
      <c r="AN12"/>
      <c r="AO12"/>
      <c r="AP12"/>
      <c r="AQ12"/>
      <c r="AR12"/>
      <c r="AS12"/>
      <c r="AT12"/>
      <c r="AU12"/>
      <c r="AV12"/>
      <c r="AW12"/>
      <c r="AX12"/>
      <c r="AY12"/>
    </row>
    <row r="13" spans="1:51" s="122" customFormat="1" ht="19.5" customHeight="1">
      <c r="A13" s="126" t="s">
        <v>96</v>
      </c>
      <c r="B13" s="174"/>
      <c r="C13" s="310"/>
      <c r="D13" s="174"/>
      <c r="E13" s="310"/>
      <c r="F13" s="174"/>
      <c r="G13" s="310"/>
      <c r="H13" s="174"/>
      <c r="I13" s="310"/>
      <c r="J13" s="174">
        <v>1</v>
      </c>
      <c r="K13" s="310">
        <v>42</v>
      </c>
      <c r="L13" s="174">
        <v>10</v>
      </c>
      <c r="M13" s="310">
        <v>49.5</v>
      </c>
      <c r="N13" s="174"/>
      <c r="O13" s="310"/>
      <c r="P13" s="174"/>
      <c r="Q13" s="310"/>
      <c r="R13" s="174"/>
      <c r="S13" s="310"/>
      <c r="T13" s="176">
        <f t="shared" si="1"/>
        <v>11</v>
      </c>
      <c r="U13" s="764">
        <f t="shared" si="1"/>
        <v>91.5</v>
      </c>
      <c r="V13"/>
      <c r="W13"/>
      <c r="X13"/>
      <c r="Y13"/>
      <c r="Z13"/>
      <c r="AA13"/>
      <c r="AB13"/>
      <c r="AC13"/>
      <c r="AD13"/>
      <c r="AE13"/>
      <c r="AF13"/>
      <c r="AG13"/>
      <c r="AH13"/>
      <c r="AI13"/>
      <c r="AJ13"/>
      <c r="AK13"/>
      <c r="AL13"/>
      <c r="AM13"/>
      <c r="AN13"/>
      <c r="AO13"/>
      <c r="AP13"/>
      <c r="AQ13"/>
      <c r="AR13"/>
      <c r="AS13"/>
      <c r="AT13"/>
      <c r="AU13"/>
      <c r="AV13"/>
      <c r="AW13"/>
      <c r="AX13"/>
      <c r="AY13"/>
    </row>
    <row r="14" spans="1:51" s="122" customFormat="1" ht="23.25" customHeight="1">
      <c r="A14" s="127" t="s">
        <v>21</v>
      </c>
      <c r="B14" s="179"/>
      <c r="C14" s="311"/>
      <c r="D14" s="179"/>
      <c r="E14" s="311"/>
      <c r="F14" s="179"/>
      <c r="G14" s="311"/>
      <c r="H14" s="179"/>
      <c r="I14" s="311"/>
      <c r="J14" s="179"/>
      <c r="K14" s="311"/>
      <c r="L14" s="179"/>
      <c r="M14" s="311"/>
      <c r="N14" s="179"/>
      <c r="O14" s="311"/>
      <c r="P14" s="179"/>
      <c r="Q14" s="311"/>
      <c r="R14" s="179"/>
      <c r="S14" s="311"/>
      <c r="T14" s="177"/>
      <c r="U14" s="324"/>
      <c r="V14"/>
      <c r="W14"/>
      <c r="X14"/>
      <c r="Y14"/>
      <c r="Z14"/>
      <c r="AA14"/>
      <c r="AB14"/>
      <c r="AC14"/>
      <c r="AD14"/>
      <c r="AE14"/>
      <c r="AF14"/>
      <c r="AG14"/>
      <c r="AH14"/>
      <c r="AI14"/>
      <c r="AJ14"/>
      <c r="AK14"/>
      <c r="AL14"/>
      <c r="AM14"/>
      <c r="AN14"/>
      <c r="AO14"/>
      <c r="AP14"/>
      <c r="AQ14"/>
      <c r="AR14"/>
      <c r="AS14"/>
      <c r="AT14"/>
      <c r="AU14"/>
      <c r="AV14"/>
      <c r="AW14"/>
      <c r="AX14"/>
      <c r="AY14"/>
    </row>
    <row r="15" spans="1:51" s="122" customFormat="1" ht="23.25" customHeight="1">
      <c r="A15" s="126" t="s">
        <v>94</v>
      </c>
      <c r="B15" s="173"/>
      <c r="C15" s="312"/>
      <c r="D15" s="173"/>
      <c r="E15" s="312"/>
      <c r="F15" s="173"/>
      <c r="G15" s="312"/>
      <c r="H15" s="173"/>
      <c r="I15" s="312"/>
      <c r="J15" s="173">
        <v>1</v>
      </c>
      <c r="K15" s="312">
        <v>38.1</v>
      </c>
      <c r="L15" s="173"/>
      <c r="M15" s="312"/>
      <c r="N15" s="173"/>
      <c r="O15" s="312"/>
      <c r="P15" s="173"/>
      <c r="Q15" s="312"/>
      <c r="R15" s="173"/>
      <c r="S15" s="312"/>
      <c r="T15" s="176">
        <f>SUM(B15,J15,F15,N15,D15,H15,L15,P15,R15)</f>
        <v>1</v>
      </c>
      <c r="U15" s="764">
        <f>SUM(C15,K15,G15,O15,E15,I15,M15,Q15,S15)</f>
        <v>38.1</v>
      </c>
      <c r="V15"/>
      <c r="W15"/>
      <c r="X15"/>
      <c r="Y15"/>
      <c r="Z15"/>
      <c r="AA15"/>
      <c r="AB15"/>
      <c r="AC15"/>
      <c r="AD15"/>
      <c r="AE15"/>
      <c r="AF15"/>
      <c r="AG15"/>
      <c r="AH15"/>
      <c r="AI15"/>
      <c r="AJ15"/>
      <c r="AK15"/>
      <c r="AL15"/>
      <c r="AM15"/>
      <c r="AN15"/>
      <c r="AO15"/>
      <c r="AP15"/>
      <c r="AQ15"/>
      <c r="AR15"/>
      <c r="AS15"/>
      <c r="AT15"/>
      <c r="AU15"/>
      <c r="AV15"/>
      <c r="AW15"/>
      <c r="AX15"/>
      <c r="AY15"/>
    </row>
    <row r="16" spans="1:51" s="122" customFormat="1" ht="20.25" customHeight="1">
      <c r="A16" s="128" t="s">
        <v>90</v>
      </c>
      <c r="B16" s="325"/>
      <c r="C16" s="326"/>
      <c r="D16" s="325"/>
      <c r="E16" s="326"/>
      <c r="F16" s="325">
        <v>2</v>
      </c>
      <c r="G16" s="326">
        <v>249</v>
      </c>
      <c r="H16" s="325"/>
      <c r="I16" s="326"/>
      <c r="J16" s="325">
        <v>1</v>
      </c>
      <c r="K16" s="326">
        <v>42</v>
      </c>
      <c r="L16" s="325"/>
      <c r="M16" s="326"/>
      <c r="N16" s="325"/>
      <c r="O16" s="326"/>
      <c r="P16" s="325"/>
      <c r="Q16" s="326"/>
      <c r="R16" s="325"/>
      <c r="S16" s="326"/>
      <c r="T16" s="327">
        <f>SUM(B16,J16,F16,N16,D16,H16,L16,P16,R16)</f>
        <v>3</v>
      </c>
      <c r="U16" s="765">
        <f>SUM(C16,K16,G16,O16,E16,I16,M16,Q16,S16)</f>
        <v>291</v>
      </c>
      <c r="V16"/>
      <c r="W16"/>
      <c r="X16"/>
      <c r="Y16"/>
      <c r="Z16"/>
      <c r="AA16"/>
      <c r="AB16"/>
      <c r="AC16"/>
      <c r="AD16"/>
      <c r="AE16"/>
      <c r="AF16"/>
      <c r="AG16"/>
      <c r="AH16"/>
      <c r="AI16"/>
      <c r="AJ16"/>
      <c r="AK16"/>
      <c r="AL16"/>
      <c r="AM16"/>
      <c r="AN16"/>
      <c r="AO16"/>
      <c r="AP16"/>
      <c r="AQ16"/>
      <c r="AR16"/>
      <c r="AS16"/>
      <c r="AT16"/>
      <c r="AU16"/>
      <c r="AV16"/>
      <c r="AW16"/>
      <c r="AX16"/>
      <c r="AY16"/>
    </row>
    <row r="17" spans="1:51" s="122" customFormat="1" ht="23.25" customHeight="1">
      <c r="A17" s="129" t="s">
        <v>24</v>
      </c>
      <c r="B17" s="173"/>
      <c r="C17" s="312"/>
      <c r="D17" s="173"/>
      <c r="E17" s="312"/>
      <c r="F17" s="173"/>
      <c r="G17" s="312"/>
      <c r="H17" s="173"/>
      <c r="I17" s="312"/>
      <c r="J17" s="173"/>
      <c r="K17" s="312"/>
      <c r="L17" s="173"/>
      <c r="M17" s="312"/>
      <c r="N17" s="173"/>
      <c r="O17" s="312"/>
      <c r="P17" s="173"/>
      <c r="Q17" s="312"/>
      <c r="R17" s="173"/>
      <c r="S17" s="312"/>
      <c r="T17" s="176"/>
      <c r="U17" s="323"/>
      <c r="V17"/>
      <c r="W17"/>
      <c r="X17"/>
      <c r="Y17"/>
      <c r="Z17"/>
      <c r="AA17"/>
      <c r="AB17"/>
      <c r="AC17"/>
      <c r="AD17"/>
      <c r="AE17"/>
      <c r="AF17"/>
      <c r="AG17"/>
      <c r="AH17"/>
      <c r="AI17"/>
      <c r="AJ17"/>
      <c r="AK17"/>
      <c r="AL17"/>
      <c r="AM17"/>
      <c r="AN17"/>
      <c r="AO17"/>
      <c r="AP17"/>
      <c r="AQ17"/>
      <c r="AR17"/>
      <c r="AS17"/>
      <c r="AT17"/>
      <c r="AU17"/>
      <c r="AV17"/>
      <c r="AW17"/>
      <c r="AX17"/>
      <c r="AY17"/>
    </row>
    <row r="18" spans="1:51" s="122" customFormat="1" ht="20.25" customHeight="1">
      <c r="A18" s="126" t="s">
        <v>97</v>
      </c>
      <c r="B18" s="174"/>
      <c r="C18" s="310"/>
      <c r="D18" s="174"/>
      <c r="E18" s="310"/>
      <c r="F18" s="174"/>
      <c r="G18" s="310"/>
      <c r="H18" s="174">
        <v>2</v>
      </c>
      <c r="I18" s="310">
        <v>113.2</v>
      </c>
      <c r="J18" s="174">
        <v>1</v>
      </c>
      <c r="K18" s="310">
        <v>40</v>
      </c>
      <c r="L18" s="174"/>
      <c r="M18" s="310"/>
      <c r="N18" s="174"/>
      <c r="O18" s="310"/>
      <c r="P18" s="174"/>
      <c r="Q18" s="310"/>
      <c r="R18" s="174"/>
      <c r="S18" s="310"/>
      <c r="T18" s="176">
        <f>SUM(B18,J18,F18,N18,D18,H18,L18,P18,R18)</f>
        <v>3</v>
      </c>
      <c r="U18" s="764">
        <f>SUM(C18,K18,G18,O18,E18,I18,M18,Q18,S18)</f>
        <v>153.2</v>
      </c>
      <c r="V18"/>
      <c r="W18"/>
      <c r="X18"/>
      <c r="Y18"/>
      <c r="Z18"/>
      <c r="AA18"/>
      <c r="AB18"/>
      <c r="AC18"/>
      <c r="AD18"/>
      <c r="AE18"/>
      <c r="AF18"/>
      <c r="AG18"/>
      <c r="AH18"/>
      <c r="AI18"/>
      <c r="AJ18"/>
      <c r="AK18"/>
      <c r="AL18"/>
      <c r="AM18"/>
      <c r="AN18"/>
      <c r="AO18"/>
      <c r="AP18"/>
      <c r="AQ18"/>
      <c r="AR18"/>
      <c r="AS18"/>
      <c r="AT18"/>
      <c r="AU18"/>
      <c r="AV18"/>
      <c r="AW18"/>
      <c r="AX18"/>
      <c r="AY18"/>
    </row>
    <row r="19" spans="1:51" s="122" customFormat="1" ht="20.25" customHeight="1">
      <c r="A19" s="126" t="s">
        <v>98</v>
      </c>
      <c r="B19" s="174"/>
      <c r="C19" s="310"/>
      <c r="D19" s="174"/>
      <c r="E19" s="310"/>
      <c r="F19" s="174"/>
      <c r="G19" s="310"/>
      <c r="H19" s="174">
        <v>1</v>
      </c>
      <c r="I19" s="310">
        <v>52.6</v>
      </c>
      <c r="J19" s="174">
        <v>1</v>
      </c>
      <c r="K19" s="310">
        <v>44</v>
      </c>
      <c r="L19" s="174"/>
      <c r="M19" s="310"/>
      <c r="N19" s="174"/>
      <c r="O19" s="310"/>
      <c r="P19" s="174"/>
      <c r="Q19" s="310"/>
      <c r="R19" s="174"/>
      <c r="S19" s="310"/>
      <c r="T19" s="176">
        <f>SUM(B19,J19,F19,N19,D19,H19,L19,P19,R19)</f>
        <v>2</v>
      </c>
      <c r="U19" s="764">
        <f>SUM(C19,K19,G19,O19,E19,I19,M19,Q19,S19)</f>
        <v>96.6</v>
      </c>
      <c r="V19"/>
      <c r="W19"/>
      <c r="X19"/>
      <c r="Y19"/>
      <c r="Z19"/>
      <c r="AA19"/>
      <c r="AB19"/>
      <c r="AC19"/>
      <c r="AD19"/>
      <c r="AE19"/>
      <c r="AF19"/>
      <c r="AG19"/>
      <c r="AH19"/>
      <c r="AI19"/>
      <c r="AJ19"/>
      <c r="AK19"/>
      <c r="AL19"/>
      <c r="AM19"/>
      <c r="AN19"/>
      <c r="AO19"/>
      <c r="AP19"/>
      <c r="AQ19"/>
      <c r="AR19"/>
      <c r="AS19"/>
      <c r="AT19"/>
      <c r="AU19"/>
      <c r="AV19"/>
      <c r="AW19"/>
      <c r="AX19"/>
      <c r="AY19"/>
    </row>
    <row r="20" spans="1:51" s="122" customFormat="1" ht="20.25" customHeight="1">
      <c r="A20" s="126" t="s">
        <v>93</v>
      </c>
      <c r="B20" s="174"/>
      <c r="C20" s="310"/>
      <c r="D20" s="174"/>
      <c r="E20" s="310"/>
      <c r="F20" s="174"/>
      <c r="G20" s="310"/>
      <c r="H20" s="174">
        <v>2</v>
      </c>
      <c r="I20" s="310">
        <v>117.2</v>
      </c>
      <c r="J20" s="174">
        <v>1</v>
      </c>
      <c r="K20" s="310">
        <v>43.4</v>
      </c>
      <c r="L20" s="174">
        <v>51</v>
      </c>
      <c r="M20" s="310">
        <v>1820.4</v>
      </c>
      <c r="N20" s="174"/>
      <c r="O20" s="310"/>
      <c r="P20" s="174"/>
      <c r="Q20" s="310"/>
      <c r="R20" s="174"/>
      <c r="S20" s="310"/>
      <c r="T20" s="176">
        <f aca="true" t="shared" si="2" ref="T20:T26">SUM(B20,J20,F20,N20,D20,H20,L20,P20,R20)</f>
        <v>54</v>
      </c>
      <c r="U20" s="764">
        <f aca="true" t="shared" si="3" ref="U20:U26">SUM(C20,K20,G20,O20,E20,I20,M20,Q20,S20)</f>
        <v>1981</v>
      </c>
      <c r="V20"/>
      <c r="W20"/>
      <c r="X20"/>
      <c r="Y20"/>
      <c r="Z20"/>
      <c r="AA20"/>
      <c r="AB20"/>
      <c r="AC20"/>
      <c r="AD20"/>
      <c r="AE20"/>
      <c r="AF20"/>
      <c r="AG20"/>
      <c r="AH20"/>
      <c r="AI20"/>
      <c r="AJ20"/>
      <c r="AK20"/>
      <c r="AL20"/>
      <c r="AM20"/>
      <c r="AN20"/>
      <c r="AO20"/>
      <c r="AP20"/>
      <c r="AQ20"/>
      <c r="AR20"/>
      <c r="AS20"/>
      <c r="AT20"/>
      <c r="AU20"/>
      <c r="AV20"/>
      <c r="AW20"/>
      <c r="AX20"/>
      <c r="AY20"/>
    </row>
    <row r="21" spans="1:51" s="122" customFormat="1" ht="20.25" customHeight="1">
      <c r="A21" s="126" t="s">
        <v>122</v>
      </c>
      <c r="B21" s="174"/>
      <c r="C21" s="310"/>
      <c r="D21" s="174"/>
      <c r="E21" s="310"/>
      <c r="F21" s="174">
        <v>2</v>
      </c>
      <c r="G21" s="310">
        <v>223.2</v>
      </c>
      <c r="H21" s="174"/>
      <c r="I21" s="310"/>
      <c r="J21" s="174">
        <v>1</v>
      </c>
      <c r="K21" s="310">
        <v>43.4</v>
      </c>
      <c r="L21" s="174"/>
      <c r="M21" s="310"/>
      <c r="N21" s="174"/>
      <c r="O21" s="310"/>
      <c r="P21" s="174"/>
      <c r="Q21" s="310"/>
      <c r="R21" s="174"/>
      <c r="S21" s="310"/>
      <c r="T21" s="176">
        <f t="shared" si="2"/>
        <v>3</v>
      </c>
      <c r="U21" s="764">
        <f t="shared" si="3"/>
        <v>266.59999999999997</v>
      </c>
      <c r="V21"/>
      <c r="W21"/>
      <c r="X21"/>
      <c r="Y21"/>
      <c r="Z21"/>
      <c r="AA21"/>
      <c r="AB21"/>
      <c r="AC21"/>
      <c r="AD21"/>
      <c r="AE21"/>
      <c r="AF21"/>
      <c r="AG21"/>
      <c r="AH21"/>
      <c r="AI21"/>
      <c r="AJ21"/>
      <c r="AK21"/>
      <c r="AL21"/>
      <c r="AM21"/>
      <c r="AN21"/>
      <c r="AO21"/>
      <c r="AP21"/>
      <c r="AQ21"/>
      <c r="AR21"/>
      <c r="AS21"/>
      <c r="AT21"/>
      <c r="AU21"/>
      <c r="AV21"/>
      <c r="AW21"/>
      <c r="AX21"/>
      <c r="AY21"/>
    </row>
    <row r="22" spans="1:51" s="122" customFormat="1" ht="20.25" customHeight="1">
      <c r="A22" s="126" t="s">
        <v>123</v>
      </c>
      <c r="B22" s="174"/>
      <c r="C22" s="310"/>
      <c r="D22" s="174"/>
      <c r="E22" s="310"/>
      <c r="F22" s="174"/>
      <c r="G22" s="310"/>
      <c r="H22" s="174"/>
      <c r="I22" s="310"/>
      <c r="J22" s="174">
        <v>1</v>
      </c>
      <c r="K22" s="310">
        <v>44</v>
      </c>
      <c r="L22" s="174"/>
      <c r="M22" s="310"/>
      <c r="N22" s="174"/>
      <c r="O22" s="310"/>
      <c r="P22" s="174"/>
      <c r="Q22" s="310"/>
      <c r="R22" s="174"/>
      <c r="S22" s="310"/>
      <c r="T22" s="176">
        <f t="shared" si="2"/>
        <v>1</v>
      </c>
      <c r="U22" s="764">
        <f t="shared" si="3"/>
        <v>44</v>
      </c>
      <c r="V22"/>
      <c r="W22"/>
      <c r="X22"/>
      <c r="Y22"/>
      <c r="Z22"/>
      <c r="AA22"/>
      <c r="AB22"/>
      <c r="AC22"/>
      <c r="AD22"/>
      <c r="AE22"/>
      <c r="AF22"/>
      <c r="AG22"/>
      <c r="AH22"/>
      <c r="AI22"/>
      <c r="AJ22"/>
      <c r="AK22"/>
      <c r="AL22"/>
      <c r="AM22"/>
      <c r="AN22"/>
      <c r="AO22"/>
      <c r="AP22"/>
      <c r="AQ22"/>
      <c r="AR22"/>
      <c r="AS22"/>
      <c r="AT22"/>
      <c r="AU22"/>
      <c r="AV22"/>
      <c r="AW22"/>
      <c r="AX22"/>
      <c r="AY22"/>
    </row>
    <row r="23" spans="1:51" s="122" customFormat="1" ht="20.25" customHeight="1">
      <c r="A23" s="126" t="s">
        <v>125</v>
      </c>
      <c r="B23" s="174"/>
      <c r="C23" s="310"/>
      <c r="D23" s="174"/>
      <c r="E23" s="310"/>
      <c r="F23" s="174"/>
      <c r="G23" s="310"/>
      <c r="H23" s="174">
        <v>1</v>
      </c>
      <c r="I23" s="310">
        <v>57.9</v>
      </c>
      <c r="J23" s="174"/>
      <c r="K23" s="310"/>
      <c r="L23" s="174"/>
      <c r="M23" s="310"/>
      <c r="N23" s="174"/>
      <c r="O23" s="310"/>
      <c r="P23" s="174"/>
      <c r="Q23" s="310"/>
      <c r="R23" s="174"/>
      <c r="S23" s="310"/>
      <c r="T23" s="176">
        <f t="shared" si="2"/>
        <v>1</v>
      </c>
      <c r="U23" s="764">
        <f t="shared" si="3"/>
        <v>57.9</v>
      </c>
      <c r="V23"/>
      <c r="W23"/>
      <c r="X23"/>
      <c r="Y23"/>
      <c r="Z23"/>
      <c r="AA23"/>
      <c r="AB23"/>
      <c r="AC23"/>
      <c r="AD23"/>
      <c r="AE23"/>
      <c r="AF23"/>
      <c r="AG23"/>
      <c r="AH23"/>
      <c r="AI23"/>
      <c r="AJ23"/>
      <c r="AK23"/>
      <c r="AL23"/>
      <c r="AM23"/>
      <c r="AN23"/>
      <c r="AO23"/>
      <c r="AP23"/>
      <c r="AQ23"/>
      <c r="AR23"/>
      <c r="AS23"/>
      <c r="AT23"/>
      <c r="AU23"/>
      <c r="AV23"/>
      <c r="AW23"/>
      <c r="AX23"/>
      <c r="AY23"/>
    </row>
    <row r="24" spans="1:51" s="122" customFormat="1" ht="20.25" customHeight="1">
      <c r="A24" s="126" t="s">
        <v>99</v>
      </c>
      <c r="B24" s="174"/>
      <c r="C24" s="310"/>
      <c r="D24" s="174"/>
      <c r="E24" s="310"/>
      <c r="F24" s="174"/>
      <c r="G24" s="310"/>
      <c r="H24" s="174">
        <v>2</v>
      </c>
      <c r="I24" s="310">
        <v>113</v>
      </c>
      <c r="J24" s="174">
        <v>1</v>
      </c>
      <c r="K24" s="310">
        <v>40</v>
      </c>
      <c r="L24" s="174"/>
      <c r="M24" s="310"/>
      <c r="N24" s="174"/>
      <c r="O24" s="310"/>
      <c r="P24" s="174"/>
      <c r="Q24" s="310"/>
      <c r="R24" s="174"/>
      <c r="S24" s="310"/>
      <c r="T24" s="176">
        <f t="shared" si="2"/>
        <v>3</v>
      </c>
      <c r="U24" s="764">
        <f t="shared" si="3"/>
        <v>153</v>
      </c>
      <c r="V24"/>
      <c r="W24"/>
      <c r="X24"/>
      <c r="Y24"/>
      <c r="Z24"/>
      <c r="AA24"/>
      <c r="AB24"/>
      <c r="AC24"/>
      <c r="AD24"/>
      <c r="AE24"/>
      <c r="AF24"/>
      <c r="AG24"/>
      <c r="AH24"/>
      <c r="AI24"/>
      <c r="AJ24"/>
      <c r="AK24"/>
      <c r="AL24"/>
      <c r="AM24"/>
      <c r="AN24"/>
      <c r="AO24"/>
      <c r="AP24"/>
      <c r="AQ24"/>
      <c r="AR24"/>
      <c r="AS24"/>
      <c r="AT24"/>
      <c r="AU24"/>
      <c r="AV24"/>
      <c r="AW24"/>
      <c r="AX24"/>
      <c r="AY24"/>
    </row>
    <row r="25" spans="1:51" s="122" customFormat="1" ht="20.25" customHeight="1">
      <c r="A25" s="126" t="s">
        <v>524</v>
      </c>
      <c r="B25" s="174"/>
      <c r="C25" s="310"/>
      <c r="D25" s="174"/>
      <c r="E25" s="310"/>
      <c r="F25" s="174"/>
      <c r="G25" s="310"/>
      <c r="H25" s="174"/>
      <c r="I25" s="310"/>
      <c r="J25" s="174">
        <v>1</v>
      </c>
      <c r="K25" s="310">
        <v>40</v>
      </c>
      <c r="L25" s="174"/>
      <c r="M25" s="310"/>
      <c r="N25" s="174"/>
      <c r="O25" s="310"/>
      <c r="P25" s="174"/>
      <c r="Q25" s="310"/>
      <c r="R25" s="174"/>
      <c r="S25" s="310"/>
      <c r="T25" s="176">
        <f>SUM(B25,J25,F25,N25,D25,H25,L25,P25,R25)</f>
        <v>1</v>
      </c>
      <c r="U25" s="764">
        <f>SUM(C25,K25,G25,O25,E25,I25,M25,Q25,S25)</f>
        <v>40</v>
      </c>
      <c r="V25"/>
      <c r="W25"/>
      <c r="X25"/>
      <c r="Y25"/>
      <c r="Z25"/>
      <c r="AA25"/>
      <c r="AB25"/>
      <c r="AC25"/>
      <c r="AD25"/>
      <c r="AE25"/>
      <c r="AF25"/>
      <c r="AG25"/>
      <c r="AH25"/>
      <c r="AI25"/>
      <c r="AJ25"/>
      <c r="AK25"/>
      <c r="AL25"/>
      <c r="AM25"/>
      <c r="AN25"/>
      <c r="AO25"/>
      <c r="AP25"/>
      <c r="AQ25"/>
      <c r="AR25"/>
      <c r="AS25"/>
      <c r="AT25"/>
      <c r="AU25"/>
      <c r="AV25"/>
      <c r="AW25"/>
      <c r="AX25"/>
      <c r="AY25"/>
    </row>
    <row r="26" spans="1:51" s="122" customFormat="1" ht="20.25" customHeight="1">
      <c r="A26" s="126" t="s">
        <v>126</v>
      </c>
      <c r="B26" s="174"/>
      <c r="C26" s="310"/>
      <c r="D26" s="174"/>
      <c r="E26" s="310"/>
      <c r="F26" s="174">
        <v>2</v>
      </c>
      <c r="G26" s="310">
        <v>245.2</v>
      </c>
      <c r="H26" s="174">
        <v>1</v>
      </c>
      <c r="I26" s="310">
        <v>56.5</v>
      </c>
      <c r="J26" s="174"/>
      <c r="K26" s="310"/>
      <c r="L26" s="174"/>
      <c r="M26" s="310"/>
      <c r="N26" s="174"/>
      <c r="O26" s="310"/>
      <c r="P26" s="174"/>
      <c r="Q26" s="310"/>
      <c r="R26" s="174"/>
      <c r="S26" s="310"/>
      <c r="T26" s="176">
        <f t="shared" si="2"/>
        <v>3</v>
      </c>
      <c r="U26" s="764">
        <f t="shared" si="3"/>
        <v>301.7</v>
      </c>
      <c r="V26"/>
      <c r="W26"/>
      <c r="X26"/>
      <c r="Y26"/>
      <c r="Z26"/>
      <c r="AA26"/>
      <c r="AB26"/>
      <c r="AC26"/>
      <c r="AD26"/>
      <c r="AE26"/>
      <c r="AF26"/>
      <c r="AG26"/>
      <c r="AH26"/>
      <c r="AI26"/>
      <c r="AJ26"/>
      <c r="AK26"/>
      <c r="AL26"/>
      <c r="AM26"/>
      <c r="AN26"/>
      <c r="AO26"/>
      <c r="AP26"/>
      <c r="AQ26"/>
      <c r="AR26"/>
      <c r="AS26"/>
      <c r="AT26"/>
      <c r="AU26"/>
      <c r="AV26"/>
      <c r="AW26"/>
      <c r="AX26"/>
      <c r="AY26"/>
    </row>
    <row r="27" spans="1:51" s="714" customFormat="1" ht="20.25" customHeight="1">
      <c r="A27" s="128" t="s">
        <v>100</v>
      </c>
      <c r="B27" s="325"/>
      <c r="C27" s="326"/>
      <c r="D27" s="325"/>
      <c r="E27" s="326"/>
      <c r="F27" s="325">
        <v>3</v>
      </c>
      <c r="G27" s="326">
        <v>265.8</v>
      </c>
      <c r="H27" s="325">
        <v>1</v>
      </c>
      <c r="I27" s="326">
        <v>59.4</v>
      </c>
      <c r="J27" s="325"/>
      <c r="K27" s="326"/>
      <c r="L27" s="325"/>
      <c r="M27" s="326"/>
      <c r="N27" s="325"/>
      <c r="O27" s="326"/>
      <c r="P27" s="325"/>
      <c r="Q27" s="326"/>
      <c r="R27" s="325"/>
      <c r="S27" s="326"/>
      <c r="T27" s="327">
        <f>SUM(B27,J27,F27,N27,D27,H27,L27,P27,R27)</f>
        <v>4</v>
      </c>
      <c r="U27" s="765">
        <f>SUM(C27,K27,G27,O27,E27,I27,M27,Q27,S27)</f>
        <v>325.2</v>
      </c>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row>
    <row r="28" spans="1:51" s="122" customFormat="1" ht="23.25" customHeight="1">
      <c r="A28" s="129" t="s">
        <v>35</v>
      </c>
      <c r="B28" s="174"/>
      <c r="C28" s="310"/>
      <c r="D28" s="174"/>
      <c r="E28" s="310"/>
      <c r="F28" s="174"/>
      <c r="G28" s="310"/>
      <c r="H28" s="174"/>
      <c r="I28" s="310"/>
      <c r="J28" s="174"/>
      <c r="K28" s="310"/>
      <c r="L28" s="174"/>
      <c r="M28" s="310"/>
      <c r="N28" s="174"/>
      <c r="O28" s="310"/>
      <c r="P28" s="174"/>
      <c r="Q28" s="310"/>
      <c r="R28" s="174"/>
      <c r="S28" s="310"/>
      <c r="T28" s="174"/>
      <c r="U28" s="310"/>
      <c r="V28"/>
      <c r="W28"/>
      <c r="X28"/>
      <c r="Y28"/>
      <c r="Z28"/>
      <c r="AA28"/>
      <c r="AB28"/>
      <c r="AC28"/>
      <c r="AD28"/>
      <c r="AE28"/>
      <c r="AF28"/>
      <c r="AG28"/>
      <c r="AH28"/>
      <c r="AI28"/>
      <c r="AJ28"/>
      <c r="AK28"/>
      <c r="AL28"/>
      <c r="AM28"/>
      <c r="AN28"/>
      <c r="AO28"/>
      <c r="AP28"/>
      <c r="AQ28"/>
      <c r="AR28"/>
      <c r="AS28"/>
      <c r="AT28"/>
      <c r="AU28"/>
      <c r="AV28"/>
      <c r="AW28"/>
      <c r="AX28"/>
      <c r="AY28"/>
    </row>
    <row r="29" spans="1:51" s="122" customFormat="1" ht="20.25" customHeight="1">
      <c r="A29" s="126" t="s">
        <v>155</v>
      </c>
      <c r="B29" s="174"/>
      <c r="C29" s="310"/>
      <c r="D29" s="174"/>
      <c r="E29" s="310"/>
      <c r="F29" s="174"/>
      <c r="G29" s="310"/>
      <c r="H29" s="174">
        <v>2</v>
      </c>
      <c r="I29" s="310">
        <v>113.6</v>
      </c>
      <c r="J29" s="174">
        <v>1</v>
      </c>
      <c r="K29" s="310">
        <v>42</v>
      </c>
      <c r="L29" s="174"/>
      <c r="M29" s="310"/>
      <c r="N29" s="174"/>
      <c r="O29" s="310"/>
      <c r="P29" s="174"/>
      <c r="Q29" s="310"/>
      <c r="R29" s="174"/>
      <c r="S29" s="310"/>
      <c r="T29" s="176">
        <f aca="true" t="shared" si="4" ref="T29:U31">SUM(B29,J29,F29,N29,D29,H29,L29,P29,R29)</f>
        <v>3</v>
      </c>
      <c r="U29" s="764">
        <f t="shared" si="4"/>
        <v>155.6</v>
      </c>
      <c r="V29"/>
      <c r="W29"/>
      <c r="X29"/>
      <c r="Y29"/>
      <c r="Z29"/>
      <c r="AA29"/>
      <c r="AB29"/>
      <c r="AC29"/>
      <c r="AD29"/>
      <c r="AE29"/>
      <c r="AF29"/>
      <c r="AG29"/>
      <c r="AH29"/>
      <c r="AI29"/>
      <c r="AJ29"/>
      <c r="AK29"/>
      <c r="AL29"/>
      <c r="AM29"/>
      <c r="AN29"/>
      <c r="AO29"/>
      <c r="AP29"/>
      <c r="AQ29"/>
      <c r="AR29"/>
      <c r="AS29"/>
      <c r="AT29"/>
      <c r="AU29"/>
      <c r="AV29"/>
      <c r="AW29"/>
      <c r="AX29"/>
      <c r="AY29"/>
    </row>
    <row r="30" spans="1:51" s="714" customFormat="1" ht="20.25" customHeight="1">
      <c r="A30" s="126" t="s">
        <v>375</v>
      </c>
      <c r="B30" s="174"/>
      <c r="C30" s="310"/>
      <c r="D30" s="174"/>
      <c r="E30" s="310"/>
      <c r="F30" s="174"/>
      <c r="G30" s="310"/>
      <c r="H30" s="174"/>
      <c r="I30" s="310"/>
      <c r="J30" s="174">
        <v>1</v>
      </c>
      <c r="K30" s="310">
        <v>40</v>
      </c>
      <c r="L30" s="174"/>
      <c r="M30" s="310"/>
      <c r="N30" s="174"/>
      <c r="O30" s="310"/>
      <c r="P30" s="174"/>
      <c r="Q30" s="310"/>
      <c r="R30" s="174"/>
      <c r="S30" s="310"/>
      <c r="T30" s="176">
        <f t="shared" si="4"/>
        <v>1</v>
      </c>
      <c r="U30" s="764">
        <f t="shared" si="4"/>
        <v>40</v>
      </c>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row>
    <row r="31" spans="1:51" s="763" customFormat="1" ht="20.25" customHeight="1">
      <c r="A31" s="128" t="s">
        <v>525</v>
      </c>
      <c r="B31" s="325"/>
      <c r="C31" s="326"/>
      <c r="D31" s="325"/>
      <c r="E31" s="326"/>
      <c r="F31" s="325"/>
      <c r="G31" s="326"/>
      <c r="H31" s="325"/>
      <c r="I31" s="326"/>
      <c r="J31" s="325">
        <v>1</v>
      </c>
      <c r="K31" s="326">
        <v>44</v>
      </c>
      <c r="L31" s="325"/>
      <c r="M31" s="326"/>
      <c r="N31" s="325"/>
      <c r="O31" s="326"/>
      <c r="P31" s="325"/>
      <c r="Q31" s="326"/>
      <c r="R31" s="325"/>
      <c r="S31" s="326"/>
      <c r="T31" s="327">
        <f t="shared" si="4"/>
        <v>1</v>
      </c>
      <c r="U31" s="765">
        <f t="shared" si="4"/>
        <v>44</v>
      </c>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row>
    <row r="32" spans="1:51" s="122" customFormat="1" ht="23.25" customHeight="1">
      <c r="A32" s="129" t="s">
        <v>69</v>
      </c>
      <c r="B32" s="174"/>
      <c r="C32" s="310"/>
      <c r="D32" s="174"/>
      <c r="E32" s="310"/>
      <c r="F32" s="174"/>
      <c r="G32" s="310"/>
      <c r="H32" s="174"/>
      <c r="I32" s="310"/>
      <c r="J32" s="174"/>
      <c r="K32" s="310"/>
      <c r="L32" s="174"/>
      <c r="M32" s="310"/>
      <c r="N32" s="174"/>
      <c r="O32" s="310"/>
      <c r="P32" s="174"/>
      <c r="Q32" s="310"/>
      <c r="R32" s="174"/>
      <c r="S32" s="310"/>
      <c r="T32" s="174"/>
      <c r="U32" s="310"/>
      <c r="V32"/>
      <c r="W32"/>
      <c r="X32"/>
      <c r="Y32"/>
      <c r="Z32"/>
      <c r="AA32"/>
      <c r="AB32"/>
      <c r="AC32"/>
      <c r="AD32"/>
      <c r="AE32"/>
      <c r="AF32"/>
      <c r="AG32"/>
      <c r="AH32"/>
      <c r="AI32"/>
      <c r="AJ32"/>
      <c r="AK32"/>
      <c r="AL32"/>
      <c r="AM32"/>
      <c r="AN32"/>
      <c r="AO32"/>
      <c r="AP32"/>
      <c r="AQ32"/>
      <c r="AR32"/>
      <c r="AS32"/>
      <c r="AT32"/>
      <c r="AU32"/>
      <c r="AV32"/>
      <c r="AW32"/>
      <c r="AX32"/>
      <c r="AY32"/>
    </row>
    <row r="33" spans="1:51" s="122" customFormat="1" ht="20.25" customHeight="1">
      <c r="A33" s="126" t="s">
        <v>288</v>
      </c>
      <c r="B33" s="174"/>
      <c r="C33" s="310"/>
      <c r="D33" s="174"/>
      <c r="E33" s="310"/>
      <c r="F33" s="174"/>
      <c r="G33" s="310"/>
      <c r="H33" s="174"/>
      <c r="I33" s="310"/>
      <c r="J33" s="174"/>
      <c r="K33" s="310"/>
      <c r="L33" s="174">
        <v>2</v>
      </c>
      <c r="M33" s="310">
        <v>159.2</v>
      </c>
      <c r="N33" s="174"/>
      <c r="O33" s="310"/>
      <c r="P33" s="174"/>
      <c r="Q33" s="310"/>
      <c r="R33" s="174"/>
      <c r="S33" s="310"/>
      <c r="T33" s="176">
        <f aca="true" t="shared" si="5" ref="T33:U41">SUM(B33,J33,F33,N33,D33,H33,L33,P33,R33)</f>
        <v>2</v>
      </c>
      <c r="U33" s="764">
        <f t="shared" si="5"/>
        <v>159.2</v>
      </c>
      <c r="V33"/>
      <c r="W33"/>
      <c r="X33"/>
      <c r="Y33"/>
      <c r="Z33"/>
      <c r="AA33"/>
      <c r="AB33"/>
      <c r="AC33"/>
      <c r="AD33"/>
      <c r="AE33"/>
      <c r="AF33"/>
      <c r="AG33"/>
      <c r="AH33"/>
      <c r="AI33"/>
      <c r="AJ33"/>
      <c r="AK33"/>
      <c r="AL33"/>
      <c r="AM33"/>
      <c r="AN33"/>
      <c r="AO33"/>
      <c r="AP33"/>
      <c r="AQ33"/>
      <c r="AR33"/>
      <c r="AS33"/>
      <c r="AT33"/>
      <c r="AU33"/>
      <c r="AV33"/>
      <c r="AW33"/>
      <c r="AX33"/>
      <c r="AY33"/>
    </row>
    <row r="34" spans="1:51" s="122" customFormat="1" ht="20.25" customHeight="1">
      <c r="A34" s="126" t="s">
        <v>523</v>
      </c>
      <c r="B34" s="174"/>
      <c r="C34" s="310"/>
      <c r="D34" s="174"/>
      <c r="E34" s="310"/>
      <c r="F34" s="174"/>
      <c r="G34" s="310"/>
      <c r="H34" s="174"/>
      <c r="I34" s="310"/>
      <c r="J34" s="174"/>
      <c r="K34" s="310"/>
      <c r="L34" s="174">
        <v>4</v>
      </c>
      <c r="M34" s="310">
        <v>316.4</v>
      </c>
      <c r="N34" s="174"/>
      <c r="O34" s="310"/>
      <c r="P34" s="174"/>
      <c r="Q34" s="310"/>
      <c r="R34" s="174"/>
      <c r="S34" s="310"/>
      <c r="T34" s="176">
        <f>SUM(B34,J34,F34,N34,D34,H34,L34,P34,R34)</f>
        <v>4</v>
      </c>
      <c r="U34" s="764">
        <f>SUM(C34,K34,G34,O34,E34,I34,M34,Q34,S34)</f>
        <v>316.4</v>
      </c>
      <c r="V34"/>
      <c r="W34"/>
      <c r="X34"/>
      <c r="Y34"/>
      <c r="Z34"/>
      <c r="AA34"/>
      <c r="AB34"/>
      <c r="AC34"/>
      <c r="AD34"/>
      <c r="AE34"/>
      <c r="AF34"/>
      <c r="AG34"/>
      <c r="AH34"/>
      <c r="AI34"/>
      <c r="AJ34"/>
      <c r="AK34"/>
      <c r="AL34"/>
      <c r="AM34"/>
      <c r="AN34"/>
      <c r="AO34"/>
      <c r="AP34"/>
      <c r="AQ34"/>
      <c r="AR34"/>
      <c r="AS34"/>
      <c r="AT34"/>
      <c r="AU34"/>
      <c r="AV34"/>
      <c r="AW34"/>
      <c r="AX34"/>
      <c r="AY34"/>
    </row>
    <row r="35" spans="1:51" s="122" customFormat="1" ht="20.25" customHeight="1">
      <c r="A35" s="126" t="s">
        <v>290</v>
      </c>
      <c r="B35" s="174"/>
      <c r="C35" s="310">
        <v>278.1</v>
      </c>
      <c r="D35" s="174"/>
      <c r="E35" s="310"/>
      <c r="F35" s="174"/>
      <c r="G35" s="310"/>
      <c r="H35" s="174"/>
      <c r="I35" s="310"/>
      <c r="J35" s="174"/>
      <c r="K35" s="310"/>
      <c r="L35" s="174">
        <v>4</v>
      </c>
      <c r="M35" s="310">
        <v>316.7</v>
      </c>
      <c r="N35" s="174"/>
      <c r="O35" s="310"/>
      <c r="P35" s="174"/>
      <c r="Q35" s="310"/>
      <c r="R35" s="174"/>
      <c r="S35" s="310"/>
      <c r="T35" s="176">
        <f t="shared" si="5"/>
        <v>4</v>
      </c>
      <c r="U35" s="764">
        <f t="shared" si="5"/>
        <v>594.8</v>
      </c>
      <c r="V35"/>
      <c r="W35"/>
      <c r="X35"/>
      <c r="Y35"/>
      <c r="Z35"/>
      <c r="AA35"/>
      <c r="AB35"/>
      <c r="AC35"/>
      <c r="AD35"/>
      <c r="AE35"/>
      <c r="AF35"/>
      <c r="AG35"/>
      <c r="AH35"/>
      <c r="AI35"/>
      <c r="AJ35"/>
      <c r="AK35"/>
      <c r="AL35"/>
      <c r="AM35"/>
      <c r="AN35"/>
      <c r="AO35"/>
      <c r="AP35"/>
      <c r="AQ35"/>
      <c r="AR35"/>
      <c r="AS35"/>
      <c r="AT35"/>
      <c r="AU35"/>
      <c r="AV35"/>
      <c r="AW35"/>
      <c r="AX35"/>
      <c r="AY35"/>
    </row>
    <row r="36" spans="1:51" s="122" customFormat="1" ht="20.25" customHeight="1">
      <c r="A36" s="126" t="s">
        <v>130</v>
      </c>
      <c r="B36" s="174"/>
      <c r="C36" s="310"/>
      <c r="D36" s="174"/>
      <c r="E36" s="310"/>
      <c r="F36" s="174"/>
      <c r="G36" s="310"/>
      <c r="H36" s="174"/>
      <c r="I36" s="310"/>
      <c r="J36" s="174"/>
      <c r="K36" s="310"/>
      <c r="L36" s="174">
        <v>1</v>
      </c>
      <c r="M36" s="310">
        <v>79.2</v>
      </c>
      <c r="N36" s="174"/>
      <c r="O36" s="310"/>
      <c r="P36" s="174"/>
      <c r="Q36" s="310"/>
      <c r="R36" s="174"/>
      <c r="S36" s="310"/>
      <c r="T36" s="176">
        <f t="shared" si="5"/>
        <v>1</v>
      </c>
      <c r="U36" s="764">
        <f t="shared" si="5"/>
        <v>79.2</v>
      </c>
      <c r="V36"/>
      <c r="W36"/>
      <c r="X36"/>
      <c r="Y36"/>
      <c r="Z36"/>
      <c r="AA36"/>
      <c r="AB36"/>
      <c r="AC36"/>
      <c r="AD36"/>
      <c r="AE36"/>
      <c r="AF36"/>
      <c r="AG36"/>
      <c r="AH36"/>
      <c r="AI36"/>
      <c r="AJ36"/>
      <c r="AK36"/>
      <c r="AL36"/>
      <c r="AM36"/>
      <c r="AN36"/>
      <c r="AO36"/>
      <c r="AP36"/>
      <c r="AQ36"/>
      <c r="AR36"/>
      <c r="AS36"/>
      <c r="AT36"/>
      <c r="AU36"/>
      <c r="AV36"/>
      <c r="AW36"/>
      <c r="AX36"/>
      <c r="AY36"/>
    </row>
    <row r="37" spans="1:51" s="122" customFormat="1" ht="20.25" customHeight="1">
      <c r="A37" s="126" t="s">
        <v>131</v>
      </c>
      <c r="B37" s="174">
        <v>6</v>
      </c>
      <c r="C37" s="310">
        <v>326.4</v>
      </c>
      <c r="D37" s="174"/>
      <c r="E37" s="310"/>
      <c r="F37" s="174"/>
      <c r="G37" s="310"/>
      <c r="H37" s="174"/>
      <c r="I37" s="310"/>
      <c r="J37" s="174"/>
      <c r="K37" s="310"/>
      <c r="L37" s="174"/>
      <c r="M37" s="310"/>
      <c r="N37" s="174"/>
      <c r="O37" s="310"/>
      <c r="P37" s="174"/>
      <c r="Q37" s="310"/>
      <c r="R37" s="174"/>
      <c r="S37" s="310"/>
      <c r="T37" s="176">
        <f>SUM(B37,J37,F37,N37,D37,H37,L37,P37,R37)</f>
        <v>6</v>
      </c>
      <c r="U37" s="764">
        <f>SUM(C37,K37,G37,O37,E37,I37,M37,Q37,S37)</f>
        <v>326.4</v>
      </c>
      <c r="V37"/>
      <c r="W37"/>
      <c r="X37"/>
      <c r="Y37"/>
      <c r="Z37"/>
      <c r="AA37"/>
      <c r="AB37"/>
      <c r="AC37"/>
      <c r="AD37"/>
      <c r="AE37"/>
      <c r="AF37"/>
      <c r="AG37"/>
      <c r="AH37"/>
      <c r="AI37"/>
      <c r="AJ37"/>
      <c r="AK37"/>
      <c r="AL37"/>
      <c r="AM37"/>
      <c r="AN37"/>
      <c r="AO37"/>
      <c r="AP37"/>
      <c r="AQ37"/>
      <c r="AR37"/>
      <c r="AS37"/>
      <c r="AT37"/>
      <c r="AU37"/>
      <c r="AV37"/>
      <c r="AW37"/>
      <c r="AX37"/>
      <c r="AY37"/>
    </row>
    <row r="38" spans="1:51" s="122" customFormat="1" ht="20.25" customHeight="1">
      <c r="A38" s="126" t="s">
        <v>132</v>
      </c>
      <c r="B38" s="174"/>
      <c r="C38" s="310"/>
      <c r="D38" s="174"/>
      <c r="E38" s="310"/>
      <c r="F38" s="174"/>
      <c r="G38" s="310"/>
      <c r="H38" s="174"/>
      <c r="I38" s="310"/>
      <c r="J38" s="174"/>
      <c r="K38" s="310"/>
      <c r="L38" s="174">
        <v>4</v>
      </c>
      <c r="M38" s="310">
        <v>320.5</v>
      </c>
      <c r="N38" s="174"/>
      <c r="O38" s="310"/>
      <c r="P38" s="174"/>
      <c r="Q38" s="310"/>
      <c r="R38" s="174"/>
      <c r="S38" s="310"/>
      <c r="T38" s="176">
        <f t="shared" si="5"/>
        <v>4</v>
      </c>
      <c r="U38" s="764">
        <f t="shared" si="5"/>
        <v>320.5</v>
      </c>
      <c r="V38"/>
      <c r="W38"/>
      <c r="X38"/>
      <c r="Y38"/>
      <c r="Z38"/>
      <c r="AA38"/>
      <c r="AB38"/>
      <c r="AC38"/>
      <c r="AD38"/>
      <c r="AE38"/>
      <c r="AF38"/>
      <c r="AG38"/>
      <c r="AH38"/>
      <c r="AI38"/>
      <c r="AJ38"/>
      <c r="AK38"/>
      <c r="AL38"/>
      <c r="AM38"/>
      <c r="AN38"/>
      <c r="AO38"/>
      <c r="AP38"/>
      <c r="AQ38"/>
      <c r="AR38"/>
      <c r="AS38"/>
      <c r="AT38"/>
      <c r="AU38"/>
      <c r="AV38"/>
      <c r="AW38"/>
      <c r="AX38"/>
      <c r="AY38"/>
    </row>
    <row r="39" spans="1:51" s="122" customFormat="1" ht="23.25" customHeight="1">
      <c r="A39" s="127" t="s">
        <v>146</v>
      </c>
      <c r="B39" s="1074"/>
      <c r="C39" s="1075"/>
      <c r="D39" s="1074"/>
      <c r="E39" s="1075"/>
      <c r="F39" s="1074"/>
      <c r="G39" s="1075"/>
      <c r="H39" s="1074"/>
      <c r="I39" s="1075"/>
      <c r="J39" s="1074"/>
      <c r="K39" s="1075"/>
      <c r="L39" s="1074"/>
      <c r="M39" s="1075"/>
      <c r="N39" s="1074"/>
      <c r="O39" s="1075"/>
      <c r="P39" s="1074"/>
      <c r="Q39" s="1075"/>
      <c r="R39" s="1074"/>
      <c r="S39" s="1075"/>
      <c r="T39" s="1074"/>
      <c r="U39" s="1075"/>
      <c r="V39"/>
      <c r="W39"/>
      <c r="X39"/>
      <c r="Y39"/>
      <c r="Z39"/>
      <c r="AA39"/>
      <c r="AB39"/>
      <c r="AC39"/>
      <c r="AD39"/>
      <c r="AE39"/>
      <c r="AF39"/>
      <c r="AG39"/>
      <c r="AH39"/>
      <c r="AI39"/>
      <c r="AJ39"/>
      <c r="AK39"/>
      <c r="AL39"/>
      <c r="AM39"/>
      <c r="AN39"/>
      <c r="AO39"/>
      <c r="AP39"/>
      <c r="AQ39"/>
      <c r="AR39"/>
      <c r="AS39"/>
      <c r="AT39"/>
      <c r="AU39"/>
      <c r="AV39"/>
      <c r="AW39"/>
      <c r="AX39"/>
      <c r="AY39"/>
    </row>
    <row r="40" spans="1:51" s="122" customFormat="1" ht="20.25" customHeight="1">
      <c r="A40" s="76" t="s">
        <v>200</v>
      </c>
      <c r="B40" s="174"/>
      <c r="C40" s="310"/>
      <c r="D40" s="174"/>
      <c r="E40" s="310"/>
      <c r="F40" s="174"/>
      <c r="G40" s="310"/>
      <c r="H40" s="174"/>
      <c r="I40" s="310"/>
      <c r="J40" s="174">
        <v>1</v>
      </c>
      <c r="K40" s="310">
        <v>42</v>
      </c>
      <c r="L40" s="174"/>
      <c r="M40" s="310"/>
      <c r="N40" s="174"/>
      <c r="O40" s="310"/>
      <c r="P40" s="174"/>
      <c r="Q40" s="310"/>
      <c r="R40" s="174"/>
      <c r="S40" s="310"/>
      <c r="T40" s="327">
        <f>SUM(B40,J40,F40,N40,D40,H40,L40,P40,R40)</f>
        <v>1</v>
      </c>
      <c r="U40" s="765">
        <f>SUM(C40,K40,G40,O40,E40,I40,M40,Q40,S40)</f>
        <v>42</v>
      </c>
      <c r="V40"/>
      <c r="W40"/>
      <c r="X40"/>
      <c r="Y40"/>
      <c r="Z40"/>
      <c r="AA40"/>
      <c r="AB40"/>
      <c r="AC40"/>
      <c r="AD40"/>
      <c r="AE40"/>
      <c r="AF40"/>
      <c r="AG40"/>
      <c r="AH40"/>
      <c r="AI40"/>
      <c r="AJ40"/>
      <c r="AK40"/>
      <c r="AL40"/>
      <c r="AM40"/>
      <c r="AN40"/>
      <c r="AO40"/>
      <c r="AP40"/>
      <c r="AQ40"/>
      <c r="AR40"/>
      <c r="AS40"/>
      <c r="AT40"/>
      <c r="AU40"/>
      <c r="AV40"/>
      <c r="AW40"/>
      <c r="AX40"/>
      <c r="AY40"/>
    </row>
    <row r="41" spans="1:51" s="122" customFormat="1" ht="22.5" customHeight="1" thickBot="1">
      <c r="A41" s="942" t="s">
        <v>522</v>
      </c>
      <c r="B41" s="943">
        <v>9</v>
      </c>
      <c r="C41" s="944">
        <v>455.9</v>
      </c>
      <c r="D41" s="943"/>
      <c r="E41" s="944"/>
      <c r="F41" s="943"/>
      <c r="G41" s="944"/>
      <c r="H41" s="943"/>
      <c r="I41" s="944"/>
      <c r="J41" s="943">
        <v>12</v>
      </c>
      <c r="K41" s="944">
        <v>89</v>
      </c>
      <c r="L41" s="943">
        <v>5</v>
      </c>
      <c r="M41" s="944">
        <v>306.6</v>
      </c>
      <c r="N41" s="943"/>
      <c r="O41" s="944"/>
      <c r="P41" s="943"/>
      <c r="Q41" s="944"/>
      <c r="R41" s="943"/>
      <c r="S41" s="944"/>
      <c r="T41" s="327">
        <f t="shared" si="5"/>
        <v>26</v>
      </c>
      <c r="U41" s="765">
        <f t="shared" si="5"/>
        <v>851.5</v>
      </c>
      <c r="V41"/>
      <c r="W41"/>
      <c r="X41"/>
      <c r="Y41"/>
      <c r="Z41"/>
      <c r="AA41"/>
      <c r="AB41"/>
      <c r="AC41"/>
      <c r="AD41"/>
      <c r="AE41"/>
      <c r="AF41"/>
      <c r="AG41"/>
      <c r="AH41"/>
      <c r="AI41"/>
      <c r="AJ41"/>
      <c r="AK41"/>
      <c r="AL41"/>
      <c r="AM41"/>
      <c r="AN41"/>
      <c r="AO41"/>
      <c r="AP41"/>
      <c r="AQ41"/>
      <c r="AR41"/>
      <c r="AS41"/>
      <c r="AT41"/>
      <c r="AU41"/>
      <c r="AV41"/>
      <c r="AW41"/>
      <c r="AX41"/>
      <c r="AY41"/>
    </row>
    <row r="42" spans="1:51" s="122" customFormat="1" ht="23.25" customHeight="1" thickBot="1">
      <c r="A42" s="130" t="s">
        <v>60</v>
      </c>
      <c r="B42" s="131">
        <f aca="true" t="shared" si="6" ref="B42:U42">SUM(B5:B41)</f>
        <v>117</v>
      </c>
      <c r="C42" s="715">
        <f t="shared" si="6"/>
        <v>4684.7</v>
      </c>
      <c r="D42" s="131">
        <f t="shared" si="6"/>
        <v>30</v>
      </c>
      <c r="E42" s="715">
        <f t="shared" si="6"/>
        <v>2388.5</v>
      </c>
      <c r="F42" s="131">
        <f t="shared" si="6"/>
        <v>19</v>
      </c>
      <c r="G42" s="715">
        <f t="shared" si="6"/>
        <v>1918.7</v>
      </c>
      <c r="H42" s="131">
        <f t="shared" si="6"/>
        <v>65</v>
      </c>
      <c r="I42" s="715">
        <f t="shared" si="6"/>
        <v>1709.1000000000001</v>
      </c>
      <c r="J42" s="131">
        <f t="shared" si="6"/>
        <v>35</v>
      </c>
      <c r="K42" s="715">
        <f t="shared" si="6"/>
        <v>880.4</v>
      </c>
      <c r="L42" s="131">
        <f t="shared" si="6"/>
        <v>120</v>
      </c>
      <c r="M42" s="715">
        <f t="shared" si="6"/>
        <v>4518</v>
      </c>
      <c r="N42" s="131">
        <f t="shared" si="6"/>
        <v>0</v>
      </c>
      <c r="O42" s="715">
        <f t="shared" si="6"/>
        <v>35</v>
      </c>
      <c r="P42" s="131">
        <f t="shared" si="6"/>
        <v>0</v>
      </c>
      <c r="Q42" s="715">
        <f t="shared" si="6"/>
        <v>0</v>
      </c>
      <c r="R42" s="131">
        <f t="shared" si="6"/>
        <v>0</v>
      </c>
      <c r="S42" s="715">
        <f t="shared" si="6"/>
        <v>137.7</v>
      </c>
      <c r="T42" s="131">
        <f t="shared" si="6"/>
        <v>386</v>
      </c>
      <c r="U42" s="715">
        <f t="shared" si="6"/>
        <v>16272.100000000004</v>
      </c>
      <c r="V42"/>
      <c r="W42"/>
      <c r="X42"/>
      <c r="Y42"/>
      <c r="Z42"/>
      <c r="AA42"/>
      <c r="AB42"/>
      <c r="AC42"/>
      <c r="AD42"/>
      <c r="AE42"/>
      <c r="AF42"/>
      <c r="AG42"/>
      <c r="AH42"/>
      <c r="AI42"/>
      <c r="AJ42"/>
      <c r="AK42"/>
      <c r="AL42"/>
      <c r="AM42"/>
      <c r="AN42"/>
      <c r="AO42"/>
      <c r="AP42"/>
      <c r="AQ42"/>
      <c r="AR42"/>
      <c r="AS42"/>
      <c r="AT42"/>
      <c r="AU42"/>
      <c r="AV42"/>
      <c r="AW42"/>
      <c r="AX42"/>
      <c r="AY42"/>
    </row>
    <row r="43" spans="3:21" ht="9.75" customHeight="1">
      <c r="C43" s="313"/>
      <c r="E43" s="313"/>
      <c r="G43" s="313"/>
      <c r="H43" s="65"/>
      <c r="I43" s="319"/>
      <c r="K43" s="313"/>
      <c r="L43" s="65"/>
      <c r="M43" s="319"/>
      <c r="N43" s="65"/>
      <c r="O43" s="319"/>
      <c r="Q43" s="313"/>
      <c r="S43" s="313"/>
      <c r="U43" s="313"/>
    </row>
    <row r="44" spans="1:21" s="57" customFormat="1" ht="18" customHeight="1">
      <c r="A44" s="57" t="s">
        <v>618</v>
      </c>
      <c r="C44" s="314"/>
      <c r="E44" s="314"/>
      <c r="G44" s="314"/>
      <c r="I44" s="314"/>
      <c r="K44" s="314"/>
      <c r="M44" s="314"/>
      <c r="O44" s="314"/>
      <c r="Q44" s="314"/>
      <c r="S44" s="314"/>
      <c r="U44" s="314"/>
    </row>
    <row r="45" spans="3:21" s="57" customFormat="1" ht="15.75" customHeight="1">
      <c r="C45" s="314"/>
      <c r="E45" s="314"/>
      <c r="G45" s="314"/>
      <c r="I45" s="314"/>
      <c r="K45" s="314"/>
      <c r="M45" s="314"/>
      <c r="O45" s="314"/>
      <c r="Q45" s="314"/>
      <c r="S45" s="314"/>
      <c r="U45" s="314"/>
    </row>
    <row r="46" spans="3:24" s="57" customFormat="1" ht="15.75" customHeight="1">
      <c r="C46" s="314"/>
      <c r="E46" s="314"/>
      <c r="G46" s="314"/>
      <c r="I46" s="314"/>
      <c r="K46" s="314"/>
      <c r="M46" s="314"/>
      <c r="O46" s="314"/>
      <c r="Q46" s="314"/>
      <c r="S46" s="314"/>
      <c r="U46" s="314"/>
      <c r="V46" s="1076"/>
      <c r="X46" s="225"/>
    </row>
    <row r="47" spans="3:21" s="57" customFormat="1" ht="15.75" customHeight="1">
      <c r="C47" s="314"/>
      <c r="E47" s="314"/>
      <c r="G47" s="314"/>
      <c r="I47" s="314"/>
      <c r="K47" s="314"/>
      <c r="M47" s="314"/>
      <c r="O47" s="314"/>
      <c r="Q47" s="314"/>
      <c r="S47" s="314"/>
      <c r="U47" s="314"/>
    </row>
    <row r="48" spans="3:21" s="57" customFormat="1" ht="15.75" customHeight="1">
      <c r="C48" s="314"/>
      <c r="E48" s="314"/>
      <c r="G48" s="314"/>
      <c r="I48" s="314"/>
      <c r="K48" s="314"/>
      <c r="M48" s="314"/>
      <c r="O48" s="314"/>
      <c r="Q48" s="314"/>
      <c r="S48" s="314"/>
      <c r="U48" s="314"/>
    </row>
    <row r="49" spans="3:21" s="57" customFormat="1" ht="15.75" customHeight="1">
      <c r="C49" s="314"/>
      <c r="E49" s="314"/>
      <c r="G49" s="314"/>
      <c r="I49" s="314"/>
      <c r="K49" s="314"/>
      <c r="M49" s="314"/>
      <c r="O49" s="314"/>
      <c r="Q49" s="314"/>
      <c r="S49" s="314"/>
      <c r="U49" s="314"/>
    </row>
    <row r="50" spans="3:21" s="57" customFormat="1" ht="15.75" customHeight="1">
      <c r="C50" s="314"/>
      <c r="E50" s="314"/>
      <c r="G50" s="314"/>
      <c r="I50" s="314"/>
      <c r="K50" s="314"/>
      <c r="M50" s="314"/>
      <c r="O50" s="314"/>
      <c r="Q50" s="314"/>
      <c r="S50" s="314"/>
      <c r="U50" s="314"/>
    </row>
    <row r="51" spans="3:21" s="57" customFormat="1" ht="15.75" customHeight="1">
      <c r="C51" s="314"/>
      <c r="E51" s="314"/>
      <c r="G51" s="314"/>
      <c r="I51" s="314"/>
      <c r="K51" s="314"/>
      <c r="M51" s="314"/>
      <c r="O51" s="314"/>
      <c r="Q51" s="314"/>
      <c r="S51" s="314"/>
      <c r="U51" s="314"/>
    </row>
    <row r="52" spans="3:21" s="57" customFormat="1" ht="15.75" customHeight="1">
      <c r="C52" s="314"/>
      <c r="E52" s="314"/>
      <c r="G52" s="314"/>
      <c r="I52" s="314"/>
      <c r="K52" s="314"/>
      <c r="M52" s="314"/>
      <c r="O52" s="314"/>
      <c r="Q52" s="314"/>
      <c r="S52" s="314"/>
      <c r="U52" s="314"/>
    </row>
    <row r="53" spans="3:21" s="57" customFormat="1" ht="15.75" customHeight="1">
      <c r="C53" s="314"/>
      <c r="E53" s="314"/>
      <c r="G53" s="314"/>
      <c r="I53" s="314"/>
      <c r="K53" s="314"/>
      <c r="M53" s="314"/>
      <c r="O53" s="314"/>
      <c r="Q53" s="314"/>
      <c r="S53" s="314"/>
      <c r="U53" s="314"/>
    </row>
    <row r="54" spans="3:21" s="57" customFormat="1" ht="15.75" customHeight="1">
      <c r="C54" s="314"/>
      <c r="E54" s="314"/>
      <c r="G54" s="314"/>
      <c r="I54" s="314"/>
      <c r="K54" s="314"/>
      <c r="M54" s="314"/>
      <c r="O54" s="314"/>
      <c r="Q54" s="314"/>
      <c r="S54" s="314"/>
      <c r="U54" s="314"/>
    </row>
    <row r="55" spans="3:21" s="57" customFormat="1" ht="15.75" customHeight="1">
      <c r="C55" s="314"/>
      <c r="E55" s="314"/>
      <c r="G55" s="314"/>
      <c r="I55" s="314"/>
      <c r="K55" s="314"/>
      <c r="M55" s="314"/>
      <c r="O55" s="314"/>
      <c r="Q55" s="314"/>
      <c r="S55" s="314"/>
      <c r="U55" s="314"/>
    </row>
    <row r="56" spans="3:21" s="57" customFormat="1" ht="17.25" customHeight="1">
      <c r="C56" s="314"/>
      <c r="E56" s="314"/>
      <c r="G56" s="314"/>
      <c r="I56" s="314"/>
      <c r="K56" s="314"/>
      <c r="M56" s="314"/>
      <c r="O56" s="314"/>
      <c r="Q56" s="314"/>
      <c r="S56" s="314"/>
      <c r="U56" s="314"/>
    </row>
    <row r="57" spans="3:21" ht="15.75" customHeight="1">
      <c r="C57" s="313"/>
      <c r="E57" s="313"/>
      <c r="G57" s="313"/>
      <c r="H57" s="65"/>
      <c r="I57" s="319"/>
      <c r="K57" s="313"/>
      <c r="L57" s="65"/>
      <c r="M57" s="319"/>
      <c r="N57" s="65"/>
      <c r="O57" s="319"/>
      <c r="Q57" s="313"/>
      <c r="S57" s="313"/>
      <c r="U57" s="313"/>
    </row>
    <row r="58" spans="3:21" ht="18.75" customHeight="1">
      <c r="C58" s="313"/>
      <c r="E58" s="313"/>
      <c r="G58" s="313"/>
      <c r="H58" s="65"/>
      <c r="I58" s="319"/>
      <c r="K58" s="313"/>
      <c r="L58" s="65"/>
      <c r="M58" s="319"/>
      <c r="N58" s="65"/>
      <c r="O58" s="319"/>
      <c r="Q58" s="313"/>
      <c r="S58" s="313"/>
      <c r="U58" s="313"/>
    </row>
    <row r="59" spans="3:21" ht="21.75" customHeight="1">
      <c r="C59" s="313"/>
      <c r="E59" s="313"/>
      <c r="G59" s="313"/>
      <c r="H59" s="65"/>
      <c r="I59" s="319"/>
      <c r="K59" s="313"/>
      <c r="L59" s="65"/>
      <c r="M59" s="319"/>
      <c r="N59" s="65"/>
      <c r="O59" s="319"/>
      <c r="Q59" s="313"/>
      <c r="S59" s="313"/>
      <c r="U59" s="313"/>
    </row>
    <row r="60" spans="3:21" ht="19.5" customHeight="1">
      <c r="C60" s="313"/>
      <c r="E60" s="313"/>
      <c r="G60" s="313"/>
      <c r="H60" s="65"/>
      <c r="I60" s="319"/>
      <c r="K60" s="313"/>
      <c r="L60" s="65"/>
      <c r="M60" s="319"/>
      <c r="N60" s="65"/>
      <c r="O60" s="319"/>
      <c r="Q60" s="313"/>
      <c r="S60" s="313"/>
      <c r="U60" s="313"/>
    </row>
    <row r="61" spans="3:21" ht="18" customHeight="1">
      <c r="C61" s="313"/>
      <c r="E61" s="313"/>
      <c r="G61" s="313"/>
      <c r="H61" s="65"/>
      <c r="I61" s="319"/>
      <c r="K61" s="313"/>
      <c r="L61" s="65"/>
      <c r="M61" s="319"/>
      <c r="N61" s="65"/>
      <c r="O61" s="319"/>
      <c r="Q61" s="313"/>
      <c r="S61" s="313"/>
      <c r="U61" s="313"/>
    </row>
    <row r="62" spans="3:21" ht="15.75" customHeight="1">
      <c r="C62" s="313"/>
      <c r="E62" s="313"/>
      <c r="G62" s="313"/>
      <c r="H62" s="65"/>
      <c r="I62" s="319"/>
      <c r="K62" s="313"/>
      <c r="L62" s="65"/>
      <c r="M62" s="319"/>
      <c r="N62" s="65"/>
      <c r="O62" s="319"/>
      <c r="Q62" s="313"/>
      <c r="S62" s="313"/>
      <c r="U62" s="313"/>
    </row>
    <row r="63" spans="3:21" ht="19.5" customHeight="1">
      <c r="C63" s="313"/>
      <c r="E63" s="313"/>
      <c r="G63" s="313"/>
      <c r="H63" s="65"/>
      <c r="I63" s="319"/>
      <c r="K63" s="313"/>
      <c r="L63" s="65"/>
      <c r="M63" s="319"/>
      <c r="N63" s="65"/>
      <c r="O63" s="319"/>
      <c r="Q63" s="313"/>
      <c r="S63" s="313"/>
      <c r="U63" s="313"/>
    </row>
    <row r="64" spans="3:21" ht="20.25" customHeight="1">
      <c r="C64" s="313"/>
      <c r="E64" s="313"/>
      <c r="G64" s="313"/>
      <c r="H64" s="65"/>
      <c r="I64" s="319"/>
      <c r="K64" s="313"/>
      <c r="L64" s="65"/>
      <c r="M64" s="319"/>
      <c r="N64" s="65"/>
      <c r="O64" s="319"/>
      <c r="Q64" s="313"/>
      <c r="S64" s="313"/>
      <c r="U64" s="313"/>
    </row>
    <row r="65" spans="3:21" ht="18.75" customHeight="1">
      <c r="C65" s="313"/>
      <c r="E65" s="313"/>
      <c r="G65" s="313"/>
      <c r="H65" s="65"/>
      <c r="I65" s="319"/>
      <c r="K65" s="313"/>
      <c r="L65" s="65"/>
      <c r="M65" s="319"/>
      <c r="N65" s="65"/>
      <c r="O65" s="319"/>
      <c r="Q65" s="313"/>
      <c r="S65" s="313"/>
      <c r="U65" s="313"/>
    </row>
    <row r="66" spans="3:21" ht="15.75" customHeight="1">
      <c r="C66" s="313"/>
      <c r="E66" s="313"/>
      <c r="G66" s="313"/>
      <c r="H66" s="65"/>
      <c r="I66" s="319"/>
      <c r="K66" s="313"/>
      <c r="L66" s="65"/>
      <c r="M66" s="319"/>
      <c r="N66" s="65"/>
      <c r="O66" s="319"/>
      <c r="Q66" s="313"/>
      <c r="S66" s="313"/>
      <c r="U66" s="313"/>
    </row>
    <row r="67" spans="3:21" ht="15.75" customHeight="1">
      <c r="C67" s="313"/>
      <c r="E67" s="313"/>
      <c r="G67" s="313"/>
      <c r="H67" s="65"/>
      <c r="I67" s="319"/>
      <c r="K67" s="313"/>
      <c r="L67" s="65"/>
      <c r="M67" s="319"/>
      <c r="N67" s="65"/>
      <c r="O67" s="319"/>
      <c r="Q67" s="313"/>
      <c r="S67" s="313"/>
      <c r="U67" s="313"/>
    </row>
    <row r="68" spans="3:21" ht="15.75" customHeight="1">
      <c r="C68" s="313"/>
      <c r="E68" s="313"/>
      <c r="G68" s="313"/>
      <c r="H68" s="65"/>
      <c r="I68" s="319"/>
      <c r="K68" s="313"/>
      <c r="L68" s="65"/>
      <c r="M68" s="319"/>
      <c r="N68" s="65"/>
      <c r="O68" s="319"/>
      <c r="Q68" s="313"/>
      <c r="S68" s="313"/>
      <c r="U68" s="313"/>
    </row>
    <row r="69" spans="3:21" ht="15.75" customHeight="1">
      <c r="C69" s="313"/>
      <c r="E69" s="313"/>
      <c r="G69" s="313"/>
      <c r="H69" s="65"/>
      <c r="I69" s="319"/>
      <c r="K69" s="313"/>
      <c r="L69" s="65"/>
      <c r="M69" s="319"/>
      <c r="N69" s="65"/>
      <c r="O69" s="319"/>
      <c r="Q69" s="313"/>
      <c r="S69" s="313"/>
      <c r="U69" s="313"/>
    </row>
    <row r="70" spans="3:21" ht="15.75" customHeight="1">
      <c r="C70" s="313"/>
      <c r="E70" s="313"/>
      <c r="G70" s="313"/>
      <c r="H70" s="65"/>
      <c r="I70" s="319"/>
      <c r="K70" s="313"/>
      <c r="L70" s="65"/>
      <c r="M70" s="319"/>
      <c r="N70" s="65"/>
      <c r="O70" s="319"/>
      <c r="Q70" s="313"/>
      <c r="S70" s="313"/>
      <c r="U70" s="313"/>
    </row>
    <row r="71" spans="3:21" ht="15.75" customHeight="1">
      <c r="C71" s="313"/>
      <c r="E71" s="313"/>
      <c r="G71" s="313"/>
      <c r="H71" s="65"/>
      <c r="I71" s="319"/>
      <c r="K71" s="313"/>
      <c r="L71" s="65"/>
      <c r="M71" s="319"/>
      <c r="N71" s="65"/>
      <c r="O71" s="319"/>
      <c r="Q71" s="313"/>
      <c r="S71" s="313"/>
      <c r="U71" s="313"/>
    </row>
    <row r="72" spans="3:21" ht="15.75" customHeight="1">
      <c r="C72" s="313"/>
      <c r="E72" s="313"/>
      <c r="G72" s="313"/>
      <c r="H72" s="65"/>
      <c r="I72" s="319"/>
      <c r="K72" s="313"/>
      <c r="L72" s="65"/>
      <c r="M72" s="319"/>
      <c r="N72" s="65"/>
      <c r="O72" s="319"/>
      <c r="Q72" s="313"/>
      <c r="S72" s="313"/>
      <c r="U72" s="313"/>
    </row>
    <row r="73" spans="3:21" ht="15.75" customHeight="1">
      <c r="C73" s="313"/>
      <c r="E73" s="313"/>
      <c r="G73" s="313"/>
      <c r="H73" s="65"/>
      <c r="I73" s="319"/>
      <c r="K73" s="313"/>
      <c r="L73" s="65"/>
      <c r="M73" s="319"/>
      <c r="N73" s="65"/>
      <c r="O73" s="319"/>
      <c r="Q73" s="313"/>
      <c r="S73" s="313"/>
      <c r="U73" s="313"/>
    </row>
    <row r="74" spans="3:21" ht="15.75" customHeight="1">
      <c r="C74" s="313"/>
      <c r="E74" s="313"/>
      <c r="G74" s="313"/>
      <c r="H74" s="65"/>
      <c r="I74" s="319"/>
      <c r="K74" s="313"/>
      <c r="L74" s="65"/>
      <c r="M74" s="319"/>
      <c r="N74" s="65"/>
      <c r="O74" s="319"/>
      <c r="Q74" s="313"/>
      <c r="S74" s="313"/>
      <c r="U74" s="313"/>
    </row>
    <row r="75" spans="3:21" ht="15.75" customHeight="1">
      <c r="C75" s="313"/>
      <c r="E75" s="313"/>
      <c r="G75" s="313"/>
      <c r="H75" s="65"/>
      <c r="I75" s="319"/>
      <c r="K75" s="313"/>
      <c r="L75" s="65"/>
      <c r="M75" s="319"/>
      <c r="N75" s="65"/>
      <c r="O75" s="319"/>
      <c r="Q75" s="313"/>
      <c r="S75" s="313"/>
      <c r="U75" s="313"/>
    </row>
    <row r="76" spans="3:21" ht="15.75" customHeight="1">
      <c r="C76" s="313"/>
      <c r="E76" s="313"/>
      <c r="G76" s="313"/>
      <c r="H76" s="65"/>
      <c r="I76" s="319"/>
      <c r="K76" s="313"/>
      <c r="L76" s="65"/>
      <c r="M76" s="319"/>
      <c r="N76" s="65"/>
      <c r="O76" s="319"/>
      <c r="Q76" s="313"/>
      <c r="S76" s="313"/>
      <c r="U76" s="313"/>
    </row>
    <row r="77" spans="3:21" ht="15.75" customHeight="1">
      <c r="C77" s="313"/>
      <c r="E77" s="313"/>
      <c r="G77" s="313"/>
      <c r="H77" s="65"/>
      <c r="I77" s="319"/>
      <c r="K77" s="313"/>
      <c r="L77" s="65"/>
      <c r="M77" s="319"/>
      <c r="N77" s="65"/>
      <c r="O77" s="319"/>
      <c r="Q77" s="313"/>
      <c r="S77" s="313"/>
      <c r="U77" s="313"/>
    </row>
    <row r="78" spans="3:21" ht="15.75" customHeight="1">
      <c r="C78" s="313"/>
      <c r="E78" s="313"/>
      <c r="G78" s="313"/>
      <c r="H78" s="65"/>
      <c r="I78" s="319"/>
      <c r="K78" s="313"/>
      <c r="L78" s="65"/>
      <c r="M78" s="319"/>
      <c r="N78" s="65"/>
      <c r="O78" s="319"/>
      <c r="Q78" s="313"/>
      <c r="S78" s="313"/>
      <c r="U78" s="313"/>
    </row>
    <row r="79" spans="3:21" ht="15.75" customHeight="1">
      <c r="C79" s="313"/>
      <c r="E79" s="313"/>
      <c r="G79" s="313"/>
      <c r="H79" s="65"/>
      <c r="I79" s="319"/>
      <c r="K79" s="313"/>
      <c r="L79" s="65"/>
      <c r="M79" s="319"/>
      <c r="N79" s="65"/>
      <c r="O79" s="319"/>
      <c r="Q79" s="313"/>
      <c r="S79" s="313"/>
      <c r="U79" s="313"/>
    </row>
    <row r="80" spans="3:21" ht="15.75" customHeight="1">
      <c r="C80" s="313"/>
      <c r="E80" s="313"/>
      <c r="G80" s="313"/>
      <c r="H80" s="65"/>
      <c r="I80" s="319"/>
      <c r="K80" s="313"/>
      <c r="L80" s="65"/>
      <c r="M80" s="319"/>
      <c r="N80" s="65"/>
      <c r="O80" s="319"/>
      <c r="Q80" s="313"/>
      <c r="S80" s="313"/>
      <c r="U80" s="313"/>
    </row>
    <row r="81" spans="3:21" ht="15.75" customHeight="1">
      <c r="C81" s="313"/>
      <c r="E81" s="313"/>
      <c r="G81" s="313"/>
      <c r="H81" s="65"/>
      <c r="I81" s="319"/>
      <c r="K81" s="313"/>
      <c r="L81" s="65"/>
      <c r="M81" s="319"/>
      <c r="N81" s="65"/>
      <c r="O81" s="319"/>
      <c r="Q81" s="313"/>
      <c r="S81" s="313"/>
      <c r="U81" s="313"/>
    </row>
    <row r="82" spans="3:21" ht="15.75" customHeight="1">
      <c r="C82" s="313"/>
      <c r="E82" s="313"/>
      <c r="G82" s="313"/>
      <c r="H82" s="65"/>
      <c r="I82" s="319"/>
      <c r="K82" s="313"/>
      <c r="L82" s="65"/>
      <c r="M82" s="319"/>
      <c r="N82" s="65"/>
      <c r="O82" s="319"/>
      <c r="Q82" s="313"/>
      <c r="S82" s="313"/>
      <c r="U82" s="313"/>
    </row>
    <row r="83" spans="3:21" ht="15.75" customHeight="1">
      <c r="C83" s="313"/>
      <c r="E83" s="313"/>
      <c r="G83" s="313"/>
      <c r="H83" s="65"/>
      <c r="I83" s="319"/>
      <c r="K83" s="313"/>
      <c r="L83" s="65"/>
      <c r="M83" s="319"/>
      <c r="N83" s="65"/>
      <c r="O83" s="319"/>
      <c r="Q83" s="313"/>
      <c r="S83" s="313"/>
      <c r="U83" s="313"/>
    </row>
    <row r="84" spans="3:21" ht="15.75" customHeight="1">
      <c r="C84" s="313"/>
      <c r="E84" s="313"/>
      <c r="G84" s="313"/>
      <c r="H84" s="65"/>
      <c r="I84" s="319"/>
      <c r="K84" s="313"/>
      <c r="L84" s="65"/>
      <c r="M84" s="319"/>
      <c r="N84" s="65"/>
      <c r="O84" s="319"/>
      <c r="Q84" s="313"/>
      <c r="S84" s="313"/>
      <c r="U84" s="313"/>
    </row>
    <row r="85" spans="3:21" ht="15.75" customHeight="1">
      <c r="C85" s="313"/>
      <c r="E85" s="313"/>
      <c r="G85" s="313"/>
      <c r="H85" s="65"/>
      <c r="I85" s="319"/>
      <c r="K85" s="313"/>
      <c r="L85" s="65"/>
      <c r="M85" s="319"/>
      <c r="N85" s="65"/>
      <c r="O85" s="319"/>
      <c r="Q85" s="313"/>
      <c r="S85" s="313"/>
      <c r="U85" s="313"/>
    </row>
    <row r="86" spans="3:21" ht="15.75" customHeight="1">
      <c r="C86" s="313"/>
      <c r="E86" s="313"/>
      <c r="G86" s="313"/>
      <c r="H86" s="65"/>
      <c r="I86" s="319"/>
      <c r="K86" s="313"/>
      <c r="L86" s="65"/>
      <c r="M86" s="319"/>
      <c r="N86" s="65"/>
      <c r="O86" s="319"/>
      <c r="Q86" s="313"/>
      <c r="S86" s="313"/>
      <c r="U86" s="313"/>
    </row>
    <row r="87" spans="3:21" ht="15.75" customHeight="1">
      <c r="C87" s="313"/>
      <c r="E87" s="313"/>
      <c r="G87" s="313"/>
      <c r="H87" s="65"/>
      <c r="I87" s="319"/>
      <c r="K87" s="313"/>
      <c r="L87" s="65"/>
      <c r="M87" s="319"/>
      <c r="N87" s="65"/>
      <c r="O87" s="319"/>
      <c r="Q87" s="313"/>
      <c r="S87" s="313"/>
      <c r="U87" s="313"/>
    </row>
    <row r="88" spans="3:21" ht="15.75" customHeight="1">
      <c r="C88" s="313"/>
      <c r="E88" s="313"/>
      <c r="G88" s="313"/>
      <c r="H88" s="65"/>
      <c r="I88" s="319"/>
      <c r="K88" s="313"/>
      <c r="L88" s="65"/>
      <c r="M88" s="319"/>
      <c r="N88" s="65"/>
      <c r="O88" s="319"/>
      <c r="Q88" s="313"/>
      <c r="S88" s="313"/>
      <c r="U88" s="313"/>
    </row>
    <row r="89" spans="3:21" ht="17.25" customHeight="1">
      <c r="C89" s="313"/>
      <c r="E89" s="313"/>
      <c r="G89" s="313"/>
      <c r="H89" s="65"/>
      <c r="I89" s="319"/>
      <c r="K89" s="313"/>
      <c r="L89" s="65"/>
      <c r="M89" s="319"/>
      <c r="N89" s="65"/>
      <c r="O89" s="319"/>
      <c r="Q89" s="313"/>
      <c r="S89" s="313"/>
      <c r="U89" s="313"/>
    </row>
    <row r="90" spans="3:21" ht="17.25" customHeight="1">
      <c r="C90" s="313"/>
      <c r="E90" s="313"/>
      <c r="G90" s="313"/>
      <c r="H90" s="65"/>
      <c r="I90" s="319"/>
      <c r="K90" s="313"/>
      <c r="L90" s="65"/>
      <c r="M90" s="319"/>
      <c r="N90" s="65"/>
      <c r="O90" s="319"/>
      <c r="Q90" s="313"/>
      <c r="S90" s="313"/>
      <c r="U90" s="313"/>
    </row>
    <row r="91" spans="3:21" ht="18" customHeight="1">
      <c r="C91" s="313"/>
      <c r="E91" s="313"/>
      <c r="G91" s="313"/>
      <c r="H91" s="65"/>
      <c r="I91" s="319"/>
      <c r="K91" s="313"/>
      <c r="L91" s="65"/>
      <c r="M91" s="319"/>
      <c r="N91" s="65"/>
      <c r="O91" s="319"/>
      <c r="Q91" s="313"/>
      <c r="S91" s="313"/>
      <c r="U91" s="313"/>
    </row>
    <row r="92" spans="3:21" ht="18.75" customHeight="1">
      <c r="C92" s="313"/>
      <c r="E92" s="313"/>
      <c r="G92" s="313"/>
      <c r="H92" s="65"/>
      <c r="I92" s="319"/>
      <c r="K92" s="313"/>
      <c r="L92" s="65"/>
      <c r="M92" s="319"/>
      <c r="N92" s="65"/>
      <c r="O92" s="319"/>
      <c r="Q92" s="313"/>
      <c r="S92" s="313"/>
      <c r="U92" s="313"/>
    </row>
    <row r="93" spans="3:21" ht="15.75" customHeight="1">
      <c r="C93" s="313"/>
      <c r="E93" s="313"/>
      <c r="G93" s="313"/>
      <c r="H93" s="65"/>
      <c r="I93" s="319"/>
      <c r="K93" s="313"/>
      <c r="L93" s="65"/>
      <c r="M93" s="319"/>
      <c r="N93" s="65"/>
      <c r="O93" s="319"/>
      <c r="Q93" s="313"/>
      <c r="S93" s="313"/>
      <c r="U93" s="313"/>
    </row>
    <row r="94" spans="3:21" ht="15.75" customHeight="1">
      <c r="C94" s="313"/>
      <c r="E94" s="313"/>
      <c r="G94" s="313"/>
      <c r="H94" s="65"/>
      <c r="I94" s="319"/>
      <c r="K94" s="313"/>
      <c r="L94" s="65"/>
      <c r="M94" s="319"/>
      <c r="N94" s="65"/>
      <c r="O94" s="319"/>
      <c r="Q94" s="313"/>
      <c r="S94" s="313"/>
      <c r="U94" s="313"/>
    </row>
    <row r="95" spans="3:21" ht="15.75" customHeight="1">
      <c r="C95" s="313"/>
      <c r="E95" s="313"/>
      <c r="G95" s="313"/>
      <c r="H95" s="65"/>
      <c r="I95" s="319"/>
      <c r="K95" s="313"/>
      <c r="L95" s="65"/>
      <c r="M95" s="319"/>
      <c r="N95" s="65"/>
      <c r="O95" s="319"/>
      <c r="Q95" s="313"/>
      <c r="S95" s="313"/>
      <c r="U95" s="313"/>
    </row>
    <row r="96" spans="3:21" ht="15.75" customHeight="1">
      <c r="C96" s="313"/>
      <c r="E96" s="313"/>
      <c r="G96" s="313"/>
      <c r="H96" s="65"/>
      <c r="I96" s="319"/>
      <c r="K96" s="313"/>
      <c r="L96" s="65"/>
      <c r="M96" s="319"/>
      <c r="N96" s="65"/>
      <c r="O96" s="319"/>
      <c r="Q96" s="313"/>
      <c r="S96" s="313"/>
      <c r="U96" s="313"/>
    </row>
    <row r="97" spans="3:21" ht="15.75" customHeight="1">
      <c r="C97" s="313"/>
      <c r="E97" s="313"/>
      <c r="G97" s="313"/>
      <c r="H97" s="65"/>
      <c r="I97" s="319"/>
      <c r="K97" s="313"/>
      <c r="L97" s="65"/>
      <c r="M97" s="319"/>
      <c r="N97" s="65"/>
      <c r="O97" s="319"/>
      <c r="Q97" s="313"/>
      <c r="S97" s="313"/>
      <c r="U97" s="313"/>
    </row>
    <row r="98" spans="3:21" ht="15.75" customHeight="1">
      <c r="C98" s="313"/>
      <c r="E98" s="313"/>
      <c r="G98" s="313"/>
      <c r="H98" s="65"/>
      <c r="I98" s="319"/>
      <c r="K98" s="313"/>
      <c r="L98" s="65"/>
      <c r="M98" s="319"/>
      <c r="N98" s="65"/>
      <c r="O98" s="319"/>
      <c r="Q98" s="313"/>
      <c r="S98" s="313"/>
      <c r="U98" s="313"/>
    </row>
    <row r="99" spans="3:21" ht="15.75" customHeight="1">
      <c r="C99" s="313"/>
      <c r="E99" s="313"/>
      <c r="G99" s="313"/>
      <c r="H99" s="65"/>
      <c r="I99" s="319"/>
      <c r="K99" s="313"/>
      <c r="L99" s="65"/>
      <c r="M99" s="319"/>
      <c r="N99" s="65"/>
      <c r="O99" s="319"/>
      <c r="Q99" s="313"/>
      <c r="S99" s="313"/>
      <c r="U99" s="313"/>
    </row>
    <row r="100" spans="3:21" ht="15.75" customHeight="1">
      <c r="C100" s="313"/>
      <c r="E100" s="313"/>
      <c r="G100" s="313"/>
      <c r="H100" s="65"/>
      <c r="I100" s="319"/>
      <c r="K100" s="313"/>
      <c r="L100" s="65"/>
      <c r="M100" s="319"/>
      <c r="N100" s="65"/>
      <c r="O100" s="319"/>
      <c r="Q100" s="313"/>
      <c r="S100" s="313"/>
      <c r="U100" s="313"/>
    </row>
    <row r="101" spans="3:21" ht="15.75" customHeight="1">
      <c r="C101" s="313"/>
      <c r="E101" s="313"/>
      <c r="G101" s="313"/>
      <c r="H101" s="65"/>
      <c r="I101" s="319"/>
      <c r="K101" s="313"/>
      <c r="L101" s="65"/>
      <c r="M101" s="319"/>
      <c r="N101" s="65"/>
      <c r="O101" s="319"/>
      <c r="Q101" s="313"/>
      <c r="S101" s="313"/>
      <c r="U101" s="313"/>
    </row>
    <row r="102" spans="3:21" ht="15.75" customHeight="1">
      <c r="C102" s="313"/>
      <c r="E102" s="313"/>
      <c r="G102" s="313"/>
      <c r="H102" s="65"/>
      <c r="I102" s="319"/>
      <c r="K102" s="313"/>
      <c r="L102" s="65"/>
      <c r="M102" s="319"/>
      <c r="N102" s="65"/>
      <c r="O102" s="319"/>
      <c r="Q102" s="313"/>
      <c r="S102" s="313"/>
      <c r="U102" s="313"/>
    </row>
    <row r="103" spans="3:21" ht="15.75" customHeight="1">
      <c r="C103" s="313"/>
      <c r="E103" s="313"/>
      <c r="G103" s="313"/>
      <c r="H103" s="65"/>
      <c r="I103" s="319"/>
      <c r="K103" s="313"/>
      <c r="L103" s="65"/>
      <c r="M103" s="319"/>
      <c r="N103" s="65"/>
      <c r="O103" s="319"/>
      <c r="Q103" s="313"/>
      <c r="S103" s="313"/>
      <c r="U103" s="313"/>
    </row>
    <row r="104" spans="3:21" ht="15.75" customHeight="1">
      <c r="C104" s="313"/>
      <c r="E104" s="313"/>
      <c r="G104" s="313"/>
      <c r="H104" s="65"/>
      <c r="I104" s="319"/>
      <c r="K104" s="313"/>
      <c r="L104" s="65"/>
      <c r="M104" s="319"/>
      <c r="N104" s="65"/>
      <c r="O104" s="319"/>
      <c r="Q104" s="313"/>
      <c r="S104" s="313"/>
      <c r="U104" s="313"/>
    </row>
    <row r="105" spans="3:21" ht="15.75" customHeight="1">
      <c r="C105" s="313"/>
      <c r="E105" s="313"/>
      <c r="G105" s="313"/>
      <c r="H105" s="65"/>
      <c r="I105" s="319"/>
      <c r="K105" s="313"/>
      <c r="L105" s="65"/>
      <c r="M105" s="319"/>
      <c r="N105" s="65"/>
      <c r="O105" s="319"/>
      <c r="Q105" s="313"/>
      <c r="S105" s="313"/>
      <c r="U105" s="313"/>
    </row>
    <row r="106" spans="3:21" ht="15.75" customHeight="1">
      <c r="C106" s="313"/>
      <c r="E106" s="313"/>
      <c r="G106" s="313"/>
      <c r="H106" s="65"/>
      <c r="I106" s="319"/>
      <c r="K106" s="313"/>
      <c r="L106" s="65"/>
      <c r="M106" s="319"/>
      <c r="N106" s="65"/>
      <c r="O106" s="319"/>
      <c r="Q106" s="313"/>
      <c r="S106" s="313"/>
      <c r="U106" s="313"/>
    </row>
    <row r="107" spans="3:21" ht="15.75" customHeight="1">
      <c r="C107" s="313"/>
      <c r="E107" s="313"/>
      <c r="G107" s="313"/>
      <c r="H107" s="65"/>
      <c r="I107" s="319"/>
      <c r="K107" s="313"/>
      <c r="L107" s="65"/>
      <c r="M107" s="319"/>
      <c r="N107" s="65"/>
      <c r="O107" s="319"/>
      <c r="Q107" s="313"/>
      <c r="S107" s="313"/>
      <c r="U107" s="313"/>
    </row>
    <row r="108" spans="3:21" ht="15.75" customHeight="1">
      <c r="C108" s="313"/>
      <c r="E108" s="313"/>
      <c r="G108" s="313"/>
      <c r="H108" s="65"/>
      <c r="I108" s="319"/>
      <c r="K108" s="313"/>
      <c r="L108" s="65"/>
      <c r="M108" s="319"/>
      <c r="N108" s="65"/>
      <c r="O108" s="319"/>
      <c r="Q108" s="313"/>
      <c r="S108" s="313"/>
      <c r="U108" s="313"/>
    </row>
    <row r="109" spans="3:21" ht="15.75" customHeight="1">
      <c r="C109" s="313"/>
      <c r="E109" s="313"/>
      <c r="G109" s="313"/>
      <c r="H109" s="65"/>
      <c r="I109" s="319"/>
      <c r="K109" s="313"/>
      <c r="L109" s="65"/>
      <c r="M109" s="319"/>
      <c r="N109" s="65"/>
      <c r="O109" s="319"/>
      <c r="Q109" s="313"/>
      <c r="S109" s="313"/>
      <c r="U109" s="313"/>
    </row>
    <row r="110" spans="3:21" ht="15.75" customHeight="1">
      <c r="C110" s="313"/>
      <c r="E110" s="313"/>
      <c r="G110" s="313"/>
      <c r="H110" s="65"/>
      <c r="I110" s="319"/>
      <c r="K110" s="313"/>
      <c r="L110" s="65"/>
      <c r="M110" s="319"/>
      <c r="N110" s="65"/>
      <c r="O110" s="319"/>
      <c r="Q110" s="313"/>
      <c r="S110" s="313"/>
      <c r="U110" s="313"/>
    </row>
    <row r="111" spans="3:21" ht="15.75" customHeight="1">
      <c r="C111" s="313"/>
      <c r="E111" s="313"/>
      <c r="G111" s="313"/>
      <c r="H111" s="65"/>
      <c r="I111" s="319"/>
      <c r="K111" s="313"/>
      <c r="L111" s="65"/>
      <c r="M111" s="319"/>
      <c r="N111" s="65"/>
      <c r="O111" s="319"/>
      <c r="Q111" s="313"/>
      <c r="S111" s="313"/>
      <c r="U111" s="313"/>
    </row>
    <row r="112" spans="3:21" ht="15.75" customHeight="1">
      <c r="C112" s="313"/>
      <c r="E112" s="313"/>
      <c r="G112" s="313"/>
      <c r="H112" s="65"/>
      <c r="I112" s="319"/>
      <c r="K112" s="313"/>
      <c r="L112" s="65"/>
      <c r="M112" s="319"/>
      <c r="N112" s="65"/>
      <c r="O112" s="319"/>
      <c r="Q112" s="313"/>
      <c r="S112" s="313"/>
      <c r="U112" s="313"/>
    </row>
    <row r="113" spans="3:21" ht="15.75" customHeight="1">
      <c r="C113" s="313"/>
      <c r="E113" s="313"/>
      <c r="G113" s="313"/>
      <c r="H113" s="65"/>
      <c r="I113" s="319"/>
      <c r="K113" s="313"/>
      <c r="L113" s="65"/>
      <c r="M113" s="319"/>
      <c r="N113" s="65"/>
      <c r="O113" s="319"/>
      <c r="Q113" s="313"/>
      <c r="S113" s="313"/>
      <c r="U113" s="313"/>
    </row>
  </sheetData>
  <sheetProtection/>
  <mergeCells count="11">
    <mergeCell ref="T2:U2"/>
    <mergeCell ref="H2:I2"/>
    <mergeCell ref="R2:S2"/>
    <mergeCell ref="L2:M2"/>
    <mergeCell ref="P2:Q2"/>
    <mergeCell ref="N2:O2"/>
    <mergeCell ref="A2:A3"/>
    <mergeCell ref="B2:C2"/>
    <mergeCell ref="D2:E2"/>
    <mergeCell ref="F2:G2"/>
    <mergeCell ref="J2:K2"/>
  </mergeCells>
  <printOptions verticalCentered="1"/>
  <pageMargins left="0" right="0" top="0.35433070866141736" bottom="0.4330708661417323" header="0.31496062992125984" footer="0.2362204724409449"/>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4"/>
  </sheetPr>
  <dimension ref="A1:N272"/>
  <sheetViews>
    <sheetView zoomScalePageLayoutView="0" workbookViewId="0" topLeftCell="A1">
      <pane xSplit="4" ySplit="3" topLeftCell="E28" activePane="bottomRight" state="frozen"/>
      <selection pane="topLeft" activeCell="A1" sqref="A1"/>
      <selection pane="topRight" activeCell="E1" sqref="E1"/>
      <selection pane="bottomLeft" activeCell="A4" sqref="A4"/>
      <selection pane="bottomRight" activeCell="J32" sqref="J32"/>
    </sheetView>
  </sheetViews>
  <sheetFormatPr defaultColWidth="9.140625" defaultRowHeight="12.75"/>
  <cols>
    <col min="1" max="1" width="10.57421875" style="119" customWidth="1"/>
    <col min="2" max="2" width="3.00390625" style="214" bestFit="1" customWidth="1"/>
    <col min="3" max="3" width="53.421875" style="199" customWidth="1"/>
    <col min="4" max="4" width="16.00390625" style="120" customWidth="1"/>
    <col min="5" max="5" width="5.57421875" style="119" customWidth="1"/>
    <col min="6" max="6" width="8.00390625" style="6" customWidth="1"/>
    <col min="7" max="7" width="6.28125" style="774" customWidth="1"/>
    <col min="8" max="8" width="5.8515625" style="0" customWidth="1"/>
    <col min="9" max="9" width="4.8515625" style="6" customWidth="1"/>
    <col min="10" max="10" width="7.421875" style="6" customWidth="1"/>
    <col min="11" max="11" width="7.28125" style="6" customWidth="1"/>
    <col min="12" max="12" width="6.28125" style="6" customWidth="1"/>
    <col min="13" max="13" width="4.7109375" style="6" customWidth="1"/>
    <col min="14" max="14" width="8.00390625" style="6" customWidth="1"/>
    <col min="15" max="16384" width="9.140625" style="6" customWidth="1"/>
  </cols>
  <sheetData>
    <row r="1" spans="1:13" ht="24.75" customHeight="1" thickBot="1">
      <c r="A1" s="186" t="s">
        <v>333</v>
      </c>
      <c r="C1" s="142"/>
      <c r="D1" s="112"/>
      <c r="E1" s="113"/>
      <c r="M1" s="19" t="s">
        <v>0</v>
      </c>
    </row>
    <row r="2" spans="1:14" s="141" customFormat="1" ht="34.5" customHeight="1" thickBot="1">
      <c r="A2" s="847" t="s">
        <v>133</v>
      </c>
      <c r="B2" s="848"/>
      <c r="C2" s="850" t="s">
        <v>134</v>
      </c>
      <c r="D2" s="849" t="s">
        <v>135</v>
      </c>
      <c r="E2" s="1278" t="s">
        <v>118</v>
      </c>
      <c r="F2" s="1278"/>
      <c r="G2" s="1278" t="s">
        <v>66</v>
      </c>
      <c r="H2" s="1278"/>
      <c r="I2" s="1278" t="s">
        <v>67</v>
      </c>
      <c r="J2" s="1278"/>
      <c r="K2" s="1279" t="s">
        <v>63</v>
      </c>
      <c r="L2" s="1315" t="s">
        <v>64</v>
      </c>
      <c r="M2" s="1313" t="s">
        <v>119</v>
      </c>
      <c r="N2" s="1314"/>
    </row>
    <row r="3" spans="1:14" ht="22.5" thickBot="1">
      <c r="A3" s="851"/>
      <c r="B3" s="852"/>
      <c r="C3" s="854"/>
      <c r="D3" s="853"/>
      <c r="E3" s="580" t="s">
        <v>10</v>
      </c>
      <c r="F3" s="581" t="s">
        <v>9</v>
      </c>
      <c r="G3" s="772" t="s">
        <v>10</v>
      </c>
      <c r="H3" s="581" t="s">
        <v>9</v>
      </c>
      <c r="I3" s="772" t="s">
        <v>10</v>
      </c>
      <c r="J3" s="581" t="s">
        <v>9</v>
      </c>
      <c r="K3" s="1280"/>
      <c r="L3" s="1316"/>
      <c r="M3" s="772" t="s">
        <v>10</v>
      </c>
      <c r="N3" s="581" t="s">
        <v>9</v>
      </c>
    </row>
    <row r="4" spans="1:14" s="304" customFormat="1" ht="81">
      <c r="A4" s="855" t="s">
        <v>232</v>
      </c>
      <c r="B4" s="856">
        <v>1</v>
      </c>
      <c r="C4" s="858" t="s">
        <v>506</v>
      </c>
      <c r="D4" s="857" t="s">
        <v>114</v>
      </c>
      <c r="E4" s="857">
        <v>15</v>
      </c>
      <c r="F4" s="859">
        <v>854.3</v>
      </c>
      <c r="G4" s="860"/>
      <c r="H4" s="861"/>
      <c r="I4" s="862"/>
      <c r="J4" s="862"/>
      <c r="K4" s="862"/>
      <c r="L4" s="862"/>
      <c r="M4" s="900">
        <f>E4+G4</f>
        <v>15</v>
      </c>
      <c r="N4" s="863">
        <f>F4+H4+J4+K4+L4</f>
        <v>854.3</v>
      </c>
    </row>
    <row r="5" spans="1:14" s="294" customFormat="1" ht="24" customHeight="1">
      <c r="A5" s="787"/>
      <c r="B5" s="787"/>
      <c r="C5" s="789" t="s">
        <v>183</v>
      </c>
      <c r="D5" s="788"/>
      <c r="E5" s="789">
        <f>SUM(E4)</f>
        <v>15</v>
      </c>
      <c r="F5" s="871">
        <f>SUM(F4)</f>
        <v>854.3</v>
      </c>
      <c r="G5" s="789"/>
      <c r="H5" s="871"/>
      <c r="I5" s="790"/>
      <c r="J5" s="871"/>
      <c r="K5" s="871"/>
      <c r="L5" s="871"/>
      <c r="M5" s="901">
        <f>SUM(M4:M4)</f>
        <v>15</v>
      </c>
      <c r="N5" s="871">
        <f>SUM(N4:N4)</f>
        <v>854.3</v>
      </c>
    </row>
    <row r="6" spans="1:14" s="301" customFormat="1" ht="40.5">
      <c r="A6" s="874" t="s">
        <v>192</v>
      </c>
      <c r="B6" s="875">
        <v>2</v>
      </c>
      <c r="C6" s="866" t="s">
        <v>489</v>
      </c>
      <c r="D6" s="876" t="s">
        <v>70</v>
      </c>
      <c r="E6" s="867"/>
      <c r="F6" s="877"/>
      <c r="G6" s="867"/>
      <c r="H6" s="610"/>
      <c r="I6" s="878"/>
      <c r="J6" s="878"/>
      <c r="K6" s="878"/>
      <c r="L6" s="878"/>
      <c r="M6" s="900"/>
      <c r="N6" s="879"/>
    </row>
    <row r="7" spans="1:14" s="301" customFormat="1" ht="27" customHeight="1">
      <c r="A7" s="880"/>
      <c r="B7" s="875"/>
      <c r="C7" s="881" t="s">
        <v>487</v>
      </c>
      <c r="D7" s="876"/>
      <c r="E7" s="1042">
        <v>2</v>
      </c>
      <c r="F7" s="1043">
        <v>185.2</v>
      </c>
      <c r="G7" s="867"/>
      <c r="H7" s="610"/>
      <c r="I7" s="878"/>
      <c r="J7" s="878"/>
      <c r="K7" s="878"/>
      <c r="L7" s="878"/>
      <c r="M7" s="900">
        <f>E7+G7</f>
        <v>2</v>
      </c>
      <c r="N7" s="879">
        <f aca="true" t="shared" si="0" ref="N7:N17">F7+H7+J7+K7+L7</f>
        <v>185.2</v>
      </c>
    </row>
    <row r="8" spans="1:14" s="301" customFormat="1" ht="40.5">
      <c r="A8" s="880"/>
      <c r="B8" s="875"/>
      <c r="C8" s="881" t="s">
        <v>251</v>
      </c>
      <c r="D8" s="876"/>
      <c r="E8" s="1042">
        <v>30</v>
      </c>
      <c r="F8" s="1043">
        <v>145.8</v>
      </c>
      <c r="G8" s="867"/>
      <c r="H8" s="610"/>
      <c r="I8" s="878"/>
      <c r="J8" s="878"/>
      <c r="K8" s="878"/>
      <c r="L8" s="878"/>
      <c r="M8" s="900">
        <f>E8+G8</f>
        <v>30</v>
      </c>
      <c r="N8" s="879">
        <f t="shared" si="0"/>
        <v>145.8</v>
      </c>
    </row>
    <row r="9" spans="1:14" s="301" customFormat="1" ht="24" customHeight="1">
      <c r="A9" s="880"/>
      <c r="B9" s="875"/>
      <c r="C9" s="881" t="s">
        <v>486</v>
      </c>
      <c r="D9" s="876"/>
      <c r="E9" s="1042"/>
      <c r="F9" s="1043"/>
      <c r="G9" s="867"/>
      <c r="H9" s="610"/>
      <c r="I9" s="1044">
        <v>2</v>
      </c>
      <c r="J9" s="1045">
        <v>153</v>
      </c>
      <c r="K9" s="1044"/>
      <c r="L9" s="1044"/>
      <c r="M9" s="900">
        <f>E9+G9</f>
        <v>0</v>
      </c>
      <c r="N9" s="879">
        <f t="shared" si="0"/>
        <v>153</v>
      </c>
    </row>
    <row r="10" spans="1:14" s="301" customFormat="1" ht="21">
      <c r="A10" s="880"/>
      <c r="B10" s="875"/>
      <c r="C10" s="881" t="s">
        <v>488</v>
      </c>
      <c r="D10" s="876"/>
      <c r="E10" s="1042">
        <v>5</v>
      </c>
      <c r="F10" s="1043">
        <v>69.4</v>
      </c>
      <c r="G10" s="867"/>
      <c r="H10" s="610"/>
      <c r="I10" s="1044"/>
      <c r="J10" s="1044"/>
      <c r="K10" s="1044"/>
      <c r="L10" s="1044"/>
      <c r="M10" s="900">
        <f aca="true" t="shared" si="1" ref="M10:M37">E10+G10</f>
        <v>5</v>
      </c>
      <c r="N10" s="879">
        <f t="shared" si="0"/>
        <v>69.4</v>
      </c>
    </row>
    <row r="11" spans="1:14" s="301" customFormat="1" ht="21">
      <c r="A11" s="880"/>
      <c r="B11" s="875"/>
      <c r="C11" s="881" t="s">
        <v>503</v>
      </c>
      <c r="D11" s="876"/>
      <c r="E11" s="1042"/>
      <c r="F11" s="1043"/>
      <c r="G11" s="867"/>
      <c r="H11" s="610"/>
      <c r="I11" s="1044">
        <v>3</v>
      </c>
      <c r="J11" s="1045">
        <v>44.9</v>
      </c>
      <c r="K11" s="1044"/>
      <c r="L11" s="1044"/>
      <c r="M11" s="900">
        <f>E11+G11</f>
        <v>0</v>
      </c>
      <c r="N11" s="879">
        <f>F11+H11+J11+K11+L11</f>
        <v>44.9</v>
      </c>
    </row>
    <row r="12" spans="1:14" s="301" customFormat="1" ht="60.75">
      <c r="A12" s="880"/>
      <c r="B12" s="875">
        <v>3</v>
      </c>
      <c r="C12" s="866" t="s">
        <v>490</v>
      </c>
      <c r="D12" s="876" t="s">
        <v>70</v>
      </c>
      <c r="E12" s="867"/>
      <c r="F12" s="877"/>
      <c r="G12" s="867"/>
      <c r="H12" s="610"/>
      <c r="I12" s="1044"/>
      <c r="J12" s="1044"/>
      <c r="K12" s="1044"/>
      <c r="L12" s="1044"/>
      <c r="M12" s="900"/>
      <c r="N12" s="879"/>
    </row>
    <row r="13" spans="1:14" s="301" customFormat="1" ht="21" customHeight="1">
      <c r="A13" s="880"/>
      <c r="B13" s="875"/>
      <c r="C13" s="881" t="s">
        <v>492</v>
      </c>
      <c r="D13" s="876"/>
      <c r="E13" s="867"/>
      <c r="F13" s="877"/>
      <c r="G13" s="867"/>
      <c r="H13" s="610"/>
      <c r="I13" s="1044">
        <v>1</v>
      </c>
      <c r="J13" s="1044">
        <v>45.9</v>
      </c>
      <c r="K13" s="878"/>
      <c r="L13" s="878"/>
      <c r="M13" s="900">
        <f t="shared" si="1"/>
        <v>0</v>
      </c>
      <c r="N13" s="879">
        <f t="shared" si="0"/>
        <v>45.9</v>
      </c>
    </row>
    <row r="14" spans="1:14" s="301" customFormat="1" ht="40.5">
      <c r="A14" s="880"/>
      <c r="B14" s="875"/>
      <c r="C14" s="881" t="s">
        <v>491</v>
      </c>
      <c r="D14" s="876"/>
      <c r="E14" s="1042">
        <f>10+15</f>
        <v>25</v>
      </c>
      <c r="F14" s="1043">
        <v>434.2</v>
      </c>
      <c r="G14" s="867"/>
      <c r="H14" s="610"/>
      <c r="I14" s="878"/>
      <c r="J14" s="882"/>
      <c r="K14" s="878"/>
      <c r="L14" s="878"/>
      <c r="M14" s="900">
        <f t="shared" si="1"/>
        <v>25</v>
      </c>
      <c r="N14" s="879">
        <f t="shared" si="0"/>
        <v>434.2</v>
      </c>
    </row>
    <row r="15" spans="1:14" s="301" customFormat="1" ht="21">
      <c r="A15" s="880"/>
      <c r="B15" s="875"/>
      <c r="C15" s="881" t="s">
        <v>493</v>
      </c>
      <c r="D15" s="876"/>
      <c r="E15" s="867"/>
      <c r="F15" s="877"/>
      <c r="G15" s="867"/>
      <c r="H15" s="610"/>
      <c r="I15" s="1044">
        <v>3</v>
      </c>
      <c r="J15" s="1044">
        <v>247.7</v>
      </c>
      <c r="K15" s="878"/>
      <c r="L15" s="878"/>
      <c r="M15" s="900">
        <f t="shared" si="1"/>
        <v>0</v>
      </c>
      <c r="N15" s="879">
        <f t="shared" si="0"/>
        <v>247.7</v>
      </c>
    </row>
    <row r="16" spans="1:14" s="301" customFormat="1" ht="21.75" customHeight="1">
      <c r="A16" s="880"/>
      <c r="B16" s="875"/>
      <c r="C16" s="881" t="s">
        <v>494</v>
      </c>
      <c r="D16" s="876"/>
      <c r="E16" s="867"/>
      <c r="F16" s="877"/>
      <c r="G16" s="867"/>
      <c r="H16" s="610"/>
      <c r="I16" s="1044">
        <v>2</v>
      </c>
      <c r="J16" s="1045">
        <v>29.9</v>
      </c>
      <c r="K16" s="878"/>
      <c r="L16" s="878"/>
      <c r="M16" s="900">
        <f t="shared" si="1"/>
        <v>0</v>
      </c>
      <c r="N16" s="879">
        <f t="shared" si="0"/>
        <v>29.9</v>
      </c>
    </row>
    <row r="17" spans="1:14" s="301" customFormat="1" ht="21">
      <c r="A17" s="880"/>
      <c r="B17" s="875"/>
      <c r="C17" s="881" t="s">
        <v>503</v>
      </c>
      <c r="D17" s="876"/>
      <c r="E17" s="1042"/>
      <c r="F17" s="1043"/>
      <c r="G17" s="867"/>
      <c r="H17" s="610"/>
      <c r="I17" s="1044">
        <v>3</v>
      </c>
      <c r="J17" s="1045">
        <v>44.9</v>
      </c>
      <c r="K17" s="1044"/>
      <c r="L17" s="1044"/>
      <c r="M17" s="900">
        <f t="shared" si="1"/>
        <v>0</v>
      </c>
      <c r="N17" s="879">
        <f t="shared" si="0"/>
        <v>44.9</v>
      </c>
    </row>
    <row r="18" spans="1:14" s="301" customFormat="1" ht="40.5" customHeight="1">
      <c r="A18" s="880"/>
      <c r="B18" s="875">
        <v>4</v>
      </c>
      <c r="C18" s="866" t="s">
        <v>495</v>
      </c>
      <c r="D18" s="876" t="s">
        <v>114</v>
      </c>
      <c r="E18" s="867"/>
      <c r="F18" s="877"/>
      <c r="G18" s="867"/>
      <c r="H18" s="610"/>
      <c r="I18" s="878"/>
      <c r="J18" s="878"/>
      <c r="K18" s="878"/>
      <c r="L18" s="878"/>
      <c r="M18" s="900"/>
      <c r="N18" s="879"/>
    </row>
    <row r="19" spans="1:14" s="301" customFormat="1" ht="40.5">
      <c r="A19" s="880"/>
      <c r="B19" s="875"/>
      <c r="C19" s="881" t="s">
        <v>496</v>
      </c>
      <c r="D19" s="876"/>
      <c r="E19" s="1042">
        <v>25</v>
      </c>
      <c r="F19" s="1043">
        <v>417.4</v>
      </c>
      <c r="G19" s="867"/>
      <c r="H19" s="610"/>
      <c r="I19" s="878"/>
      <c r="J19" s="882"/>
      <c r="K19" s="878"/>
      <c r="L19" s="878"/>
      <c r="M19" s="900">
        <f t="shared" si="1"/>
        <v>25</v>
      </c>
      <c r="N19" s="879">
        <f aca="true" t="shared" si="2" ref="N19:N24">F19+H19+J19+K19+L19</f>
        <v>417.4</v>
      </c>
    </row>
    <row r="20" spans="1:14" s="301" customFormat="1" ht="21">
      <c r="A20" s="880"/>
      <c r="B20" s="875"/>
      <c r="C20" s="881" t="s">
        <v>503</v>
      </c>
      <c r="D20" s="876"/>
      <c r="E20" s="1042"/>
      <c r="F20" s="1043"/>
      <c r="G20" s="867"/>
      <c r="H20" s="610"/>
      <c r="I20" s="1044">
        <v>3</v>
      </c>
      <c r="J20" s="1045">
        <v>44.9</v>
      </c>
      <c r="K20" s="1044"/>
      <c r="L20" s="1044"/>
      <c r="M20" s="900">
        <f>E20+G20</f>
        <v>0</v>
      </c>
      <c r="N20" s="879">
        <f t="shared" si="2"/>
        <v>44.9</v>
      </c>
    </row>
    <row r="21" spans="1:14" s="304" customFormat="1" ht="81">
      <c r="A21" s="872"/>
      <c r="B21" s="798">
        <v>5</v>
      </c>
      <c r="C21" s="783" t="s">
        <v>509</v>
      </c>
      <c r="D21" s="876" t="s">
        <v>114</v>
      </c>
      <c r="E21" s="1051">
        <v>25</v>
      </c>
      <c r="F21" s="1052">
        <v>392.5</v>
      </c>
      <c r="G21" s="784"/>
      <c r="H21" s="873"/>
      <c r="I21" s="830"/>
      <c r="J21" s="830"/>
      <c r="K21" s="830"/>
      <c r="L21" s="830"/>
      <c r="M21" s="900">
        <f>E21+G21</f>
        <v>25</v>
      </c>
      <c r="N21" s="870">
        <f t="shared" si="2"/>
        <v>392.5</v>
      </c>
    </row>
    <row r="22" spans="1:14" s="304" customFormat="1" ht="40.5">
      <c r="A22" s="872"/>
      <c r="B22" s="798">
        <v>6</v>
      </c>
      <c r="C22" s="783" t="s">
        <v>507</v>
      </c>
      <c r="D22" s="782" t="s">
        <v>77</v>
      </c>
      <c r="E22" s="1051">
        <v>11</v>
      </c>
      <c r="F22" s="1052">
        <v>82.2</v>
      </c>
      <c r="G22" s="784"/>
      <c r="H22" s="873"/>
      <c r="I22" s="830"/>
      <c r="J22" s="830"/>
      <c r="K22" s="830"/>
      <c r="L22" s="830"/>
      <c r="M22" s="900">
        <f t="shared" si="1"/>
        <v>11</v>
      </c>
      <c r="N22" s="870">
        <f t="shared" si="2"/>
        <v>82.2</v>
      </c>
    </row>
    <row r="23" spans="1:14" s="301" customFormat="1" ht="40.5">
      <c r="A23" s="878"/>
      <c r="B23" s="875">
        <v>7</v>
      </c>
      <c r="C23" s="783" t="s">
        <v>508</v>
      </c>
      <c r="D23" s="782" t="s">
        <v>77</v>
      </c>
      <c r="E23" s="1042">
        <v>8</v>
      </c>
      <c r="F23" s="1043">
        <v>167.1</v>
      </c>
      <c r="G23" s="867"/>
      <c r="H23" s="610"/>
      <c r="I23" s="1044"/>
      <c r="J23" s="1045"/>
      <c r="K23" s="878"/>
      <c r="L23" s="878"/>
      <c r="M23" s="900">
        <f>E23+G23</f>
        <v>8</v>
      </c>
      <c r="N23" s="870">
        <f t="shared" si="2"/>
        <v>167.1</v>
      </c>
    </row>
    <row r="24" spans="1:14" s="301" customFormat="1" ht="40.5">
      <c r="A24" s="878"/>
      <c r="B24" s="875">
        <v>8</v>
      </c>
      <c r="C24" s="866" t="s">
        <v>504</v>
      </c>
      <c r="D24" s="884" t="s">
        <v>92</v>
      </c>
      <c r="E24" s="867"/>
      <c r="F24" s="877"/>
      <c r="G24" s="867"/>
      <c r="H24" s="610"/>
      <c r="I24" s="1044">
        <v>3</v>
      </c>
      <c r="J24" s="1045">
        <v>137.7</v>
      </c>
      <c r="K24" s="878"/>
      <c r="L24" s="878"/>
      <c r="M24" s="900">
        <f>E24+G24</f>
        <v>0</v>
      </c>
      <c r="N24" s="879">
        <f t="shared" si="2"/>
        <v>137.7</v>
      </c>
    </row>
    <row r="25" spans="1:14" s="294" customFormat="1" ht="24" customHeight="1">
      <c r="A25" s="787"/>
      <c r="B25" s="787"/>
      <c r="C25" s="789" t="s">
        <v>183</v>
      </c>
      <c r="D25" s="788"/>
      <c r="E25" s="789">
        <f>SUM(E7:E24)</f>
        <v>131</v>
      </c>
      <c r="F25" s="885">
        <f>SUM(F7:F24)</f>
        <v>1893.8</v>
      </c>
      <c r="G25" s="789"/>
      <c r="H25" s="885"/>
      <c r="I25" s="789">
        <f>SUM(I7:I24)</f>
        <v>20</v>
      </c>
      <c r="J25" s="885">
        <f>SUM(J7:J24)</f>
        <v>748.8999999999999</v>
      </c>
      <c r="K25" s="885"/>
      <c r="L25" s="885"/>
      <c r="M25" s="902">
        <f>SUM(M7:M24)</f>
        <v>131</v>
      </c>
      <c r="N25" s="885">
        <f>SUM(N6:N24)</f>
        <v>2642.7</v>
      </c>
    </row>
    <row r="26" spans="1:14" s="717" customFormat="1" ht="40.5">
      <c r="A26" s="872" t="s">
        <v>158</v>
      </c>
      <c r="B26" s="865">
        <v>9</v>
      </c>
      <c r="C26" s="866" t="s">
        <v>502</v>
      </c>
      <c r="D26" s="886" t="s">
        <v>70</v>
      </c>
      <c r="E26" s="867"/>
      <c r="F26" s="877"/>
      <c r="G26" s="867"/>
      <c r="H26" s="877"/>
      <c r="I26" s="1042">
        <v>4</v>
      </c>
      <c r="J26" s="1043">
        <v>278.1</v>
      </c>
      <c r="K26" s="867"/>
      <c r="L26" s="877"/>
      <c r="M26" s="900">
        <f t="shared" si="1"/>
        <v>0</v>
      </c>
      <c r="N26" s="879">
        <f>F26+H26+J26+K26+L26</f>
        <v>278.1</v>
      </c>
    </row>
    <row r="27" spans="1:14" s="302" customFormat="1" ht="57.75" customHeight="1">
      <c r="A27" s="872"/>
      <c r="B27" s="887">
        <v>10</v>
      </c>
      <c r="C27" s="866" t="s">
        <v>505</v>
      </c>
      <c r="D27" s="884" t="s">
        <v>78</v>
      </c>
      <c r="E27" s="867"/>
      <c r="F27" s="877"/>
      <c r="G27" s="867"/>
      <c r="H27" s="1043">
        <v>201.6</v>
      </c>
      <c r="I27" s="867"/>
      <c r="J27" s="877"/>
      <c r="K27" s="867"/>
      <c r="L27" s="877"/>
      <c r="M27" s="900">
        <f>E27+G27</f>
        <v>0</v>
      </c>
      <c r="N27" s="879">
        <f>F27+H27+J27+K27+L27</f>
        <v>201.6</v>
      </c>
    </row>
    <row r="28" spans="1:14" s="717" customFormat="1" ht="60.75">
      <c r="A28" s="872"/>
      <c r="B28" s="865">
        <v>11</v>
      </c>
      <c r="C28" s="866" t="s">
        <v>252</v>
      </c>
      <c r="D28" s="884" t="s">
        <v>79</v>
      </c>
      <c r="E28" s="867"/>
      <c r="F28" s="877"/>
      <c r="G28" s="867"/>
      <c r="H28" s="1043">
        <v>35</v>
      </c>
      <c r="I28" s="867"/>
      <c r="J28" s="877"/>
      <c r="K28" s="867"/>
      <c r="L28" s="877"/>
      <c r="M28" s="900">
        <f t="shared" si="1"/>
        <v>0</v>
      </c>
      <c r="N28" s="879">
        <f>F28+H28+J28+K28+L28</f>
        <v>35</v>
      </c>
    </row>
    <row r="29" spans="1:14" s="302" customFormat="1" ht="57.75" customHeight="1">
      <c r="A29" s="872"/>
      <c r="B29" s="887">
        <v>12</v>
      </c>
      <c r="C29" s="866" t="s">
        <v>253</v>
      </c>
      <c r="D29" s="884" t="s">
        <v>79</v>
      </c>
      <c r="E29" s="867"/>
      <c r="F29" s="877"/>
      <c r="G29" s="867"/>
      <c r="H29" s="1043">
        <v>245</v>
      </c>
      <c r="I29" s="867"/>
      <c r="J29" s="877"/>
      <c r="K29" s="867"/>
      <c r="L29" s="877"/>
      <c r="M29" s="900">
        <f>E29+G29</f>
        <v>0</v>
      </c>
      <c r="N29" s="879">
        <f>F29+H29+J29+K29+L29</f>
        <v>245</v>
      </c>
    </row>
    <row r="30" spans="1:14" s="294" customFormat="1" ht="24" customHeight="1">
      <c r="A30" s="787"/>
      <c r="B30" s="787"/>
      <c r="C30" s="789" t="s">
        <v>183</v>
      </c>
      <c r="D30" s="788"/>
      <c r="E30" s="789"/>
      <c r="F30" s="885"/>
      <c r="G30" s="1049">
        <f aca="true" t="shared" si="3" ref="G30:N30">SUM(G26:G29)</f>
        <v>0</v>
      </c>
      <c r="H30" s="885">
        <f t="shared" si="3"/>
        <v>481.6</v>
      </c>
      <c r="I30" s="1055">
        <f t="shared" si="3"/>
        <v>4</v>
      </c>
      <c r="J30" s="885">
        <f t="shared" si="3"/>
        <v>278.1</v>
      </c>
      <c r="K30" s="1049">
        <f t="shared" si="3"/>
        <v>0</v>
      </c>
      <c r="L30" s="1049">
        <f t="shared" si="3"/>
        <v>0</v>
      </c>
      <c r="M30" s="902">
        <f t="shared" si="3"/>
        <v>0</v>
      </c>
      <c r="N30" s="885">
        <f t="shared" si="3"/>
        <v>759.7</v>
      </c>
    </row>
    <row r="31" spans="1:14" s="297" customFormat="1" ht="60.75">
      <c r="A31" s="883" t="s">
        <v>137</v>
      </c>
      <c r="B31" s="1219">
        <v>13</v>
      </c>
      <c r="C31" s="895" t="s">
        <v>512</v>
      </c>
      <c r="D31" s="894" t="s">
        <v>70</v>
      </c>
      <c r="E31" s="1047">
        <v>20</v>
      </c>
      <c r="F31" s="1220">
        <v>960</v>
      </c>
      <c r="G31" s="1221"/>
      <c r="H31" s="1222"/>
      <c r="I31" s="1223"/>
      <c r="J31" s="1223"/>
      <c r="K31" s="1223"/>
      <c r="L31" s="1223"/>
      <c r="M31" s="1062">
        <f t="shared" si="1"/>
        <v>20</v>
      </c>
      <c r="N31" s="1063">
        <f aca="true" t="shared" si="4" ref="N31:N37">F31+H31+J31+K31+L31</f>
        <v>960</v>
      </c>
    </row>
    <row r="32" spans="1:14" s="297" customFormat="1" ht="40.5">
      <c r="A32" s="883"/>
      <c r="B32" s="865">
        <v>14</v>
      </c>
      <c r="C32" s="888" t="s">
        <v>519</v>
      </c>
      <c r="D32" s="782" t="s">
        <v>70</v>
      </c>
      <c r="E32" s="1051">
        <v>6</v>
      </c>
      <c r="F32" s="1053">
        <v>326.4</v>
      </c>
      <c r="G32" s="782"/>
      <c r="H32" s="611"/>
      <c r="I32" s="1059"/>
      <c r="J32" s="1059"/>
      <c r="K32" s="1059"/>
      <c r="L32" s="1059"/>
      <c r="M32" s="900">
        <f>E32+G32</f>
        <v>6</v>
      </c>
      <c r="N32" s="879">
        <f>F32+H32+J32+K32+L32</f>
        <v>326.4</v>
      </c>
    </row>
    <row r="33" spans="1:14" s="299" customFormat="1" ht="62.25" customHeight="1">
      <c r="A33" s="864"/>
      <c r="B33" s="865">
        <v>15</v>
      </c>
      <c r="C33" s="889" t="s">
        <v>510</v>
      </c>
      <c r="D33" s="782" t="s">
        <v>84</v>
      </c>
      <c r="E33" s="1051">
        <v>11</v>
      </c>
      <c r="F33" s="1053">
        <v>1088.8</v>
      </c>
      <c r="G33" s="890"/>
      <c r="H33" s="611"/>
      <c r="I33" s="891"/>
      <c r="J33" s="891"/>
      <c r="K33" s="891"/>
      <c r="L33" s="891"/>
      <c r="M33" s="900">
        <f t="shared" si="1"/>
        <v>11</v>
      </c>
      <c r="N33" s="879">
        <f t="shared" si="4"/>
        <v>1088.8</v>
      </c>
    </row>
    <row r="34" spans="1:14" s="299" customFormat="1" ht="61.5" customHeight="1">
      <c r="A34" s="864"/>
      <c r="B34" s="865">
        <v>16</v>
      </c>
      <c r="C34" s="889" t="s">
        <v>511</v>
      </c>
      <c r="D34" s="782" t="s">
        <v>84</v>
      </c>
      <c r="E34" s="1051">
        <v>19</v>
      </c>
      <c r="F34" s="1053">
        <v>1299.7</v>
      </c>
      <c r="G34" s="890"/>
      <c r="H34" s="611"/>
      <c r="I34" s="891"/>
      <c r="J34" s="891"/>
      <c r="K34" s="891"/>
      <c r="L34" s="891"/>
      <c r="M34" s="900">
        <f>E34+G34</f>
        <v>19</v>
      </c>
      <c r="N34" s="879">
        <f>F34+H34+J34+K34+L34</f>
        <v>1299.7</v>
      </c>
    </row>
    <row r="35" spans="1:14" s="297" customFormat="1" ht="101.25">
      <c r="A35" s="880"/>
      <c r="B35" s="875">
        <v>17</v>
      </c>
      <c r="C35" s="889" t="s">
        <v>516</v>
      </c>
      <c r="D35" s="782" t="s">
        <v>154</v>
      </c>
      <c r="E35" s="1042">
        <v>19</v>
      </c>
      <c r="F35" s="1043">
        <f>1835.5+83.2</f>
        <v>1918.7</v>
      </c>
      <c r="G35" s="868"/>
      <c r="H35" s="610"/>
      <c r="I35" s="869"/>
      <c r="J35" s="869"/>
      <c r="K35" s="869"/>
      <c r="L35" s="869"/>
      <c r="M35" s="900">
        <f t="shared" si="1"/>
        <v>19</v>
      </c>
      <c r="N35" s="879">
        <f t="shared" si="4"/>
        <v>1918.7</v>
      </c>
    </row>
    <row r="36" spans="1:14" s="297" customFormat="1" ht="40.5">
      <c r="A36" s="880"/>
      <c r="B36" s="875">
        <v>18</v>
      </c>
      <c r="C36" s="889" t="s">
        <v>514</v>
      </c>
      <c r="D36" s="782" t="s">
        <v>77</v>
      </c>
      <c r="E36" s="1042">
        <v>1</v>
      </c>
      <c r="F36" s="1043">
        <v>6.8</v>
      </c>
      <c r="G36" s="868"/>
      <c r="H36" s="610"/>
      <c r="I36" s="869"/>
      <c r="J36" s="869"/>
      <c r="K36" s="869"/>
      <c r="L36" s="869"/>
      <c r="M36" s="900">
        <f>E36+G36</f>
        <v>1</v>
      </c>
      <c r="N36" s="879">
        <f>F36+H36+J36+K36+L36</f>
        <v>6.8</v>
      </c>
    </row>
    <row r="37" spans="1:14" s="297" customFormat="1" ht="60.75">
      <c r="A37" s="880"/>
      <c r="B37" s="875">
        <v>19</v>
      </c>
      <c r="C37" s="888" t="s">
        <v>513</v>
      </c>
      <c r="D37" s="782" t="s">
        <v>78</v>
      </c>
      <c r="E37" s="1051">
        <v>18</v>
      </c>
      <c r="F37" s="1054">
        <f>1268+159.2</f>
        <v>1427.2</v>
      </c>
      <c r="G37" s="868"/>
      <c r="H37" s="610"/>
      <c r="I37" s="869"/>
      <c r="J37" s="869"/>
      <c r="K37" s="869"/>
      <c r="L37" s="869"/>
      <c r="M37" s="900">
        <f t="shared" si="1"/>
        <v>18</v>
      </c>
      <c r="N37" s="879">
        <f t="shared" si="4"/>
        <v>1427.2</v>
      </c>
    </row>
    <row r="38" spans="1:14" s="297" customFormat="1" ht="60.75">
      <c r="A38" s="880"/>
      <c r="B38" s="875">
        <v>20</v>
      </c>
      <c r="C38" s="888" t="s">
        <v>515</v>
      </c>
      <c r="D38" s="782" t="s">
        <v>78</v>
      </c>
      <c r="E38" s="1051">
        <v>14</v>
      </c>
      <c r="F38" s="1054">
        <v>499.8</v>
      </c>
      <c r="G38" s="868"/>
      <c r="H38" s="610"/>
      <c r="I38" s="869"/>
      <c r="J38" s="869"/>
      <c r="K38" s="869"/>
      <c r="L38" s="869"/>
      <c r="M38" s="900">
        <f>E38+G38</f>
        <v>14</v>
      </c>
      <c r="N38" s="879">
        <f>F38+H38+J38+K38+L38</f>
        <v>499.8</v>
      </c>
    </row>
    <row r="39" spans="1:14" s="294" customFormat="1" ht="24" customHeight="1">
      <c r="A39" s="787"/>
      <c r="B39" s="787"/>
      <c r="C39" s="789" t="s">
        <v>183</v>
      </c>
      <c r="D39" s="788"/>
      <c r="E39" s="1049">
        <f aca="true" t="shared" si="5" ref="E39:N39">SUM(E31:E38)</f>
        <v>108</v>
      </c>
      <c r="F39" s="1056">
        <f t="shared" si="5"/>
        <v>7527.4</v>
      </c>
      <c r="G39" s="1049">
        <f t="shared" si="5"/>
        <v>0</v>
      </c>
      <c r="H39" s="1056">
        <f t="shared" si="5"/>
        <v>0</v>
      </c>
      <c r="I39" s="1049">
        <f t="shared" si="5"/>
        <v>0</v>
      </c>
      <c r="J39" s="1056">
        <f t="shared" si="5"/>
        <v>0</v>
      </c>
      <c r="K39" s="1049">
        <f t="shared" si="5"/>
        <v>0</v>
      </c>
      <c r="L39" s="1056">
        <f t="shared" si="5"/>
        <v>0</v>
      </c>
      <c r="M39" s="901">
        <f t="shared" si="5"/>
        <v>108</v>
      </c>
      <c r="N39" s="871">
        <f t="shared" si="5"/>
        <v>7527.4</v>
      </c>
    </row>
    <row r="40" spans="1:14" s="306" customFormat="1" ht="42.75" customHeight="1">
      <c r="A40" s="892" t="s">
        <v>497</v>
      </c>
      <c r="B40" s="893">
        <v>21</v>
      </c>
      <c r="C40" s="895" t="s">
        <v>498</v>
      </c>
      <c r="D40" s="894" t="s">
        <v>78</v>
      </c>
      <c r="E40" s="894"/>
      <c r="F40" s="896"/>
      <c r="G40" s="894"/>
      <c r="H40" s="897"/>
      <c r="I40" s="898">
        <v>9</v>
      </c>
      <c r="J40" s="898">
        <v>385.9</v>
      </c>
      <c r="K40" s="898"/>
      <c r="L40" s="898"/>
      <c r="M40" s="900">
        <f>E40+G40</f>
        <v>0</v>
      </c>
      <c r="N40" s="879">
        <f>F40+H40+J40+K40+L40</f>
        <v>385.9</v>
      </c>
    </row>
    <row r="41" spans="1:14" s="294" customFormat="1" ht="24" customHeight="1">
      <c r="A41" s="787"/>
      <c r="B41" s="787"/>
      <c r="C41" s="789" t="s">
        <v>183</v>
      </c>
      <c r="D41" s="788"/>
      <c r="E41" s="903">
        <f aca="true" t="shared" si="6" ref="E41:N41">SUM(E40)</f>
        <v>0</v>
      </c>
      <c r="F41" s="1056">
        <f>SUM(F40:F40)</f>
        <v>0</v>
      </c>
      <c r="G41" s="903">
        <f t="shared" si="6"/>
        <v>0</v>
      </c>
      <c r="H41" s="1056">
        <f>SUM(H40:H40)</f>
        <v>0</v>
      </c>
      <c r="I41" s="908">
        <f t="shared" si="6"/>
        <v>9</v>
      </c>
      <c r="J41" s="907">
        <f t="shared" si="6"/>
        <v>385.9</v>
      </c>
      <c r="K41" s="906">
        <f t="shared" si="6"/>
        <v>0</v>
      </c>
      <c r="L41" s="906">
        <f t="shared" si="6"/>
        <v>0</v>
      </c>
      <c r="M41" s="903">
        <f t="shared" si="6"/>
        <v>0</v>
      </c>
      <c r="N41" s="871">
        <f t="shared" si="6"/>
        <v>385.9</v>
      </c>
    </row>
    <row r="42" spans="1:14" s="306" customFormat="1" ht="60.75">
      <c r="A42" s="892" t="s">
        <v>499</v>
      </c>
      <c r="B42" s="893">
        <v>22</v>
      </c>
      <c r="C42" s="895" t="s">
        <v>517</v>
      </c>
      <c r="D42" s="894" t="s">
        <v>70</v>
      </c>
      <c r="E42" s="1047">
        <v>14</v>
      </c>
      <c r="F42" s="1048">
        <v>758.8</v>
      </c>
      <c r="G42" s="894"/>
      <c r="H42" s="897"/>
      <c r="I42" s="898"/>
      <c r="J42" s="898"/>
      <c r="K42" s="898"/>
      <c r="L42" s="898"/>
      <c r="M42" s="1062">
        <f>E42+G42</f>
        <v>14</v>
      </c>
      <c r="N42" s="1063">
        <f>F42+H42+J42+K42+L42</f>
        <v>758.8</v>
      </c>
    </row>
    <row r="43" spans="1:14" s="1046" customFormat="1" ht="81">
      <c r="A43" s="872"/>
      <c r="B43" s="865">
        <v>23</v>
      </c>
      <c r="C43" s="888" t="s">
        <v>500</v>
      </c>
      <c r="D43" s="782" t="s">
        <v>70</v>
      </c>
      <c r="E43" s="1051">
        <v>15</v>
      </c>
      <c r="F43" s="1053">
        <f>715.5</f>
        <v>715.5</v>
      </c>
      <c r="G43" s="782"/>
      <c r="H43" s="611"/>
      <c r="I43" s="1059"/>
      <c r="J43" s="1059"/>
      <c r="K43" s="1059"/>
      <c r="L43" s="1059"/>
      <c r="M43" s="900">
        <f>E43+G43</f>
        <v>15</v>
      </c>
      <c r="N43" s="879">
        <f>F43+H43+J43+K43+L43</f>
        <v>715.5</v>
      </c>
    </row>
    <row r="44" spans="1:14" s="294" customFormat="1" ht="24" customHeight="1">
      <c r="A44" s="787"/>
      <c r="B44" s="787"/>
      <c r="C44" s="789" t="s">
        <v>183</v>
      </c>
      <c r="D44" s="788"/>
      <c r="E44" s="1049">
        <f aca="true" t="shared" si="7" ref="E44:N44">SUM(E42:E43)</f>
        <v>29</v>
      </c>
      <c r="F44" s="871">
        <f t="shared" si="7"/>
        <v>1474.3</v>
      </c>
      <c r="G44" s="1049">
        <f t="shared" si="7"/>
        <v>0</v>
      </c>
      <c r="H44" s="1056">
        <f t="shared" si="7"/>
        <v>0</v>
      </c>
      <c r="I44" s="1049">
        <f t="shared" si="7"/>
        <v>0</v>
      </c>
      <c r="J44" s="1056">
        <f t="shared" si="7"/>
        <v>0</v>
      </c>
      <c r="K44" s="1049">
        <f t="shared" si="7"/>
        <v>0</v>
      </c>
      <c r="L44" s="1058">
        <f t="shared" si="7"/>
        <v>0</v>
      </c>
      <c r="M44" s="1057">
        <f t="shared" si="7"/>
        <v>29</v>
      </c>
      <c r="N44" s="907">
        <f t="shared" si="7"/>
        <v>1474.3</v>
      </c>
    </row>
    <row r="45" spans="1:14" s="1046" customFormat="1" ht="86.25" customHeight="1">
      <c r="A45" s="892" t="s">
        <v>518</v>
      </c>
      <c r="B45" s="865">
        <v>24</v>
      </c>
      <c r="C45" s="888" t="s">
        <v>520</v>
      </c>
      <c r="D45" s="782" t="s">
        <v>77</v>
      </c>
      <c r="E45" s="1051">
        <v>15</v>
      </c>
      <c r="F45" s="1053">
        <v>624.3</v>
      </c>
      <c r="G45" s="782"/>
      <c r="H45" s="611"/>
      <c r="I45" s="1059"/>
      <c r="J45" s="1059"/>
      <c r="K45" s="1059"/>
      <c r="L45" s="1059"/>
      <c r="M45" s="900">
        <f>E45+G45</f>
        <v>15</v>
      </c>
      <c r="N45" s="879">
        <f>F45+H45+J45+K45+L45</f>
        <v>624.3</v>
      </c>
    </row>
    <row r="46" spans="1:14" s="1046" customFormat="1" ht="81">
      <c r="A46" s="1064"/>
      <c r="B46" s="1065">
        <v>25</v>
      </c>
      <c r="C46" s="1066" t="s">
        <v>608</v>
      </c>
      <c r="D46" s="1067" t="s">
        <v>78</v>
      </c>
      <c r="E46" s="1068">
        <v>37</v>
      </c>
      <c r="F46" s="1069">
        <v>183.1</v>
      </c>
      <c r="G46" s="1067"/>
      <c r="H46" s="578"/>
      <c r="I46" s="1070"/>
      <c r="J46" s="1070"/>
      <c r="K46" s="1070"/>
      <c r="L46" s="1070"/>
      <c r="M46" s="1060">
        <f>E46+G46</f>
        <v>37</v>
      </c>
      <c r="N46" s="1061">
        <f>F46+H46+J46+K46+L46</f>
        <v>183.1</v>
      </c>
    </row>
    <row r="47" spans="1:14" s="294" customFormat="1" ht="24" customHeight="1">
      <c r="A47" s="787"/>
      <c r="B47" s="787"/>
      <c r="C47" s="789" t="s">
        <v>183</v>
      </c>
      <c r="D47" s="788"/>
      <c r="E47" s="1049">
        <f>SUM(E45:E46)</f>
        <v>52</v>
      </c>
      <c r="F47" s="871">
        <f>SUM(F45:F46)</f>
        <v>807.4</v>
      </c>
      <c r="G47" s="906"/>
      <c r="H47" s="1056"/>
      <c r="I47" s="906"/>
      <c r="J47" s="1056"/>
      <c r="K47" s="906"/>
      <c r="L47" s="906"/>
      <c r="M47" s="1049">
        <f>SUM(M45:M46)</f>
        <v>52</v>
      </c>
      <c r="N47" s="871">
        <f>SUM(N45:N46)</f>
        <v>807.4</v>
      </c>
    </row>
    <row r="48" spans="1:14" s="294" customFormat="1" ht="40.5">
      <c r="A48" s="892" t="s">
        <v>138</v>
      </c>
      <c r="B48" s="893">
        <v>26</v>
      </c>
      <c r="C48" s="895" t="s">
        <v>606</v>
      </c>
      <c r="D48" s="894" t="s">
        <v>78</v>
      </c>
      <c r="E48" s="1047">
        <v>21</v>
      </c>
      <c r="F48" s="1048">
        <v>1010.1</v>
      </c>
      <c r="G48" s="894"/>
      <c r="H48" s="897"/>
      <c r="I48" s="898"/>
      <c r="J48" s="898"/>
      <c r="K48" s="898"/>
      <c r="L48" s="898"/>
      <c r="M48" s="1062">
        <f>E48+G48</f>
        <v>21</v>
      </c>
      <c r="N48" s="1063">
        <f>F48+H48+J48+K48+L48</f>
        <v>1010.1</v>
      </c>
    </row>
    <row r="49" spans="1:14" s="294" customFormat="1" ht="60.75">
      <c r="A49" s="1071"/>
      <c r="B49" s="865">
        <v>27</v>
      </c>
      <c r="C49" s="888" t="s">
        <v>607</v>
      </c>
      <c r="D49" s="782" t="s">
        <v>78</v>
      </c>
      <c r="E49" s="1051">
        <v>21</v>
      </c>
      <c r="F49" s="1053">
        <v>657.3</v>
      </c>
      <c r="G49" s="782"/>
      <c r="H49" s="611"/>
      <c r="I49" s="1059"/>
      <c r="J49" s="1059"/>
      <c r="K49" s="1059"/>
      <c r="L49" s="1059"/>
      <c r="M49" s="900">
        <f>E49+G49</f>
        <v>21</v>
      </c>
      <c r="N49" s="879">
        <f>F49+H49+J49+K49+L49</f>
        <v>657.3</v>
      </c>
    </row>
    <row r="50" spans="1:14" s="306" customFormat="1" ht="60.75">
      <c r="A50" s="1072"/>
      <c r="B50" s="1065">
        <v>28</v>
      </c>
      <c r="C50" s="1066" t="s">
        <v>521</v>
      </c>
      <c r="D50" s="1067" t="s">
        <v>78</v>
      </c>
      <c r="E50" s="1068">
        <v>9</v>
      </c>
      <c r="F50" s="1069">
        <v>153</v>
      </c>
      <c r="G50" s="1067"/>
      <c r="H50" s="578"/>
      <c r="I50" s="1070"/>
      <c r="J50" s="1070"/>
      <c r="K50" s="1070"/>
      <c r="L50" s="1070"/>
      <c r="M50" s="1060">
        <f>E50+G50</f>
        <v>9</v>
      </c>
      <c r="N50" s="1061">
        <f>F50+H50+J50+K50+L50</f>
        <v>153</v>
      </c>
    </row>
    <row r="51" spans="1:14" s="294" customFormat="1" ht="24" customHeight="1" thickBot="1">
      <c r="A51" s="787"/>
      <c r="B51" s="787"/>
      <c r="C51" s="789" t="s">
        <v>183</v>
      </c>
      <c r="D51" s="788"/>
      <c r="E51" s="1049">
        <f>SUM(E48:E50)</f>
        <v>51</v>
      </c>
      <c r="F51" s="871">
        <f>SUM(F48:F50)</f>
        <v>1820.4</v>
      </c>
      <c r="G51" s="1049">
        <f>SUM(G48:G50)</f>
        <v>0</v>
      </c>
      <c r="H51" s="1056">
        <f>SUM(H48:H48)</f>
        <v>0</v>
      </c>
      <c r="I51" s="1056">
        <f>SUM(I48:I48)</f>
        <v>0</v>
      </c>
      <c r="J51" s="1056">
        <f>SUM(J48:J48)</f>
        <v>0</v>
      </c>
      <c r="K51" s="1056">
        <f>SUM(K48:K48)</f>
        <v>0</v>
      </c>
      <c r="L51" s="1056">
        <f>SUM(L48:L48)</f>
        <v>0</v>
      </c>
      <c r="M51" s="1057">
        <f>SUM(M48:M50)</f>
        <v>51</v>
      </c>
      <c r="N51" s="907">
        <f>SUM(N48:N50)</f>
        <v>1820.4</v>
      </c>
    </row>
    <row r="52" spans="1:14" s="305" customFormat="1" ht="18.75" customHeight="1" thickBot="1">
      <c r="A52" s="899"/>
      <c r="B52" s="794"/>
      <c r="C52" s="796" t="s">
        <v>60</v>
      </c>
      <c r="D52" s="795"/>
      <c r="E52" s="797">
        <f>SUM(E4:E51)/2</f>
        <v>386</v>
      </c>
      <c r="F52" s="822">
        <f>SUM(F4:F51)/2</f>
        <v>14377.599999999999</v>
      </c>
      <c r="G52" s="1077"/>
      <c r="H52" s="822">
        <f aca="true" t="shared" si="8" ref="H52:N52">SUM(H4:H51)/2</f>
        <v>481.6</v>
      </c>
      <c r="I52" s="1073">
        <f t="shared" si="8"/>
        <v>33</v>
      </c>
      <c r="J52" s="822">
        <f t="shared" si="8"/>
        <v>1412.8999999999999</v>
      </c>
      <c r="K52" s="822">
        <f t="shared" si="8"/>
        <v>0</v>
      </c>
      <c r="L52" s="822">
        <f t="shared" si="8"/>
        <v>0</v>
      </c>
      <c r="M52" s="1073">
        <f t="shared" si="8"/>
        <v>386</v>
      </c>
      <c r="N52" s="822">
        <f t="shared" si="8"/>
        <v>16272.1</v>
      </c>
    </row>
    <row r="53" spans="1:8" s="121" customFormat="1" ht="19.5" customHeight="1">
      <c r="A53" s="147"/>
      <c r="B53" s="205"/>
      <c r="C53" s="195"/>
      <c r="D53" s="101"/>
      <c r="E53" s="144"/>
      <c r="F53" s="288"/>
      <c r="G53" s="775"/>
      <c r="H53" s="86"/>
    </row>
    <row r="54" spans="1:8" s="121" customFormat="1" ht="19.5" customHeight="1">
      <c r="A54" s="67"/>
      <c r="B54" s="95"/>
      <c r="C54" s="195"/>
      <c r="D54" s="146"/>
      <c r="E54" s="144"/>
      <c r="F54" s="287"/>
      <c r="G54" s="775"/>
      <c r="H54" s="86"/>
    </row>
    <row r="55" spans="1:8" s="7" customFormat="1" ht="18.75" customHeight="1">
      <c r="A55" s="200"/>
      <c r="B55" s="143"/>
      <c r="C55" s="194"/>
      <c r="D55" s="146"/>
      <c r="E55" s="212"/>
      <c r="F55" s="289"/>
      <c r="G55" s="668"/>
      <c r="H55" s="86"/>
    </row>
    <row r="56" spans="1:8" s="7" customFormat="1" ht="18.75" customHeight="1">
      <c r="A56" s="200"/>
      <c r="B56" s="143"/>
      <c r="C56" s="194"/>
      <c r="D56" s="146"/>
      <c r="E56" s="144"/>
      <c r="F56" s="287"/>
      <c r="G56" s="668"/>
      <c r="H56" s="86"/>
    </row>
    <row r="57" spans="1:8" s="7" customFormat="1" ht="18.75" customHeight="1">
      <c r="A57" s="200"/>
      <c r="B57" s="143"/>
      <c r="C57" s="194"/>
      <c r="D57" s="146"/>
      <c r="E57" s="212"/>
      <c r="F57" s="289"/>
      <c r="G57" s="668"/>
      <c r="H57" s="86"/>
    </row>
    <row r="58" spans="1:8" s="7" customFormat="1" ht="18.75" customHeight="1">
      <c r="A58" s="200"/>
      <c r="B58" s="143"/>
      <c r="C58" s="194"/>
      <c r="D58" s="146"/>
      <c r="E58" s="212"/>
      <c r="F58" s="287"/>
      <c r="G58" s="668"/>
      <c r="H58" s="86"/>
    </row>
    <row r="59" spans="1:8" s="7" customFormat="1" ht="18.75" customHeight="1">
      <c r="A59" s="200"/>
      <c r="B59" s="143"/>
      <c r="C59" s="194"/>
      <c r="D59" s="146"/>
      <c r="E59" s="144"/>
      <c r="F59" s="287"/>
      <c r="G59" s="668"/>
      <c r="H59" s="86"/>
    </row>
    <row r="60" spans="1:8" s="7" customFormat="1" ht="18.75" customHeight="1">
      <c r="A60" s="200"/>
      <c r="B60" s="143"/>
      <c r="C60" s="194"/>
      <c r="D60" s="146"/>
      <c r="E60" s="144"/>
      <c r="F60" s="287"/>
      <c r="G60" s="668"/>
      <c r="H60" s="86"/>
    </row>
    <row r="61" spans="1:8" s="121" customFormat="1" ht="19.5" customHeight="1">
      <c r="A61" s="114"/>
      <c r="B61" s="143"/>
      <c r="C61" s="193"/>
      <c r="D61" s="224"/>
      <c r="E61" s="144"/>
      <c r="F61" s="287"/>
      <c r="G61" s="775"/>
      <c r="H61" s="86"/>
    </row>
    <row r="62" spans="1:8" s="121" customFormat="1" ht="19.5" customHeight="1">
      <c r="A62" s="114"/>
      <c r="B62" s="143"/>
      <c r="C62" s="193"/>
      <c r="D62" s="224"/>
      <c r="E62" s="144"/>
      <c r="F62" s="287"/>
      <c r="G62" s="775"/>
      <c r="H62" s="86"/>
    </row>
    <row r="63" ht="21.75">
      <c r="F63" s="290"/>
    </row>
    <row r="64" ht="21.75">
      <c r="F64" s="290"/>
    </row>
    <row r="65" spans="1:8" s="233" customFormat="1" ht="21.75" customHeight="1">
      <c r="A65" s="232"/>
      <c r="B65" s="211"/>
      <c r="D65" s="234"/>
      <c r="E65" s="232"/>
      <c r="F65" s="291"/>
      <c r="G65" s="232"/>
      <c r="H65" s="235"/>
    </row>
    <row r="66" spans="1:8" s="3" customFormat="1" ht="18" customHeight="1">
      <c r="A66" s="116"/>
      <c r="B66" s="211"/>
      <c r="C66" s="196"/>
      <c r="D66" s="117"/>
      <c r="E66" s="115"/>
      <c r="F66" s="292"/>
      <c r="G66" s="2"/>
      <c r="H66"/>
    </row>
    <row r="67" spans="2:6" ht="19.5" customHeight="1">
      <c r="B67" s="94"/>
      <c r="C67" s="197"/>
      <c r="F67" s="293"/>
    </row>
    <row r="68" spans="2:6" ht="17.25">
      <c r="B68" s="94"/>
      <c r="C68" s="197"/>
      <c r="F68" s="293"/>
    </row>
    <row r="69" spans="2:6" ht="17.25">
      <c r="B69" s="94"/>
      <c r="C69" s="197"/>
      <c r="F69" s="293"/>
    </row>
    <row r="70" spans="2:6" ht="17.25">
      <c r="B70" s="94"/>
      <c r="C70" s="197"/>
      <c r="F70" s="293"/>
    </row>
    <row r="71" spans="2:6" ht="17.25">
      <c r="B71" s="94"/>
      <c r="C71" s="197"/>
      <c r="F71" s="293"/>
    </row>
    <row r="72" spans="2:6" ht="17.25">
      <c r="B72" s="94"/>
      <c r="C72" s="197"/>
      <c r="F72" s="293"/>
    </row>
    <row r="73" spans="2:6" ht="17.25">
      <c r="B73" s="94"/>
      <c r="C73" s="197"/>
      <c r="F73" s="293"/>
    </row>
    <row r="74" spans="2:6" ht="17.25">
      <c r="B74" s="94"/>
      <c r="C74" s="197"/>
      <c r="F74" s="293"/>
    </row>
    <row r="75" spans="2:6" ht="17.25">
      <c r="B75" s="94"/>
      <c r="C75" s="197"/>
      <c r="F75" s="293"/>
    </row>
    <row r="76" spans="2:6" ht="17.25">
      <c r="B76" s="94"/>
      <c r="C76" s="197"/>
      <c r="F76" s="293"/>
    </row>
    <row r="77" spans="2:6" ht="17.25">
      <c r="B77" s="94"/>
      <c r="C77" s="197"/>
      <c r="F77" s="293"/>
    </row>
    <row r="78" spans="2:6" ht="17.25">
      <c r="B78" s="94"/>
      <c r="C78" s="197"/>
      <c r="F78" s="293"/>
    </row>
    <row r="79" spans="2:6" ht="17.25">
      <c r="B79" s="94"/>
      <c r="C79" s="197"/>
      <c r="F79" s="293"/>
    </row>
    <row r="80" spans="2:6" ht="17.25">
      <c r="B80" s="94"/>
      <c r="C80" s="197"/>
      <c r="F80" s="293"/>
    </row>
    <row r="81" spans="2:6" ht="17.25">
      <c r="B81" s="94"/>
      <c r="C81" s="197"/>
      <c r="F81" s="293"/>
    </row>
    <row r="82" spans="2:6" ht="17.25">
      <c r="B82" s="94"/>
      <c r="C82" s="197"/>
      <c r="F82" s="293"/>
    </row>
    <row r="83" spans="2:7" ht="17.25">
      <c r="B83" s="94"/>
      <c r="C83" s="197"/>
      <c r="G83" s="774"/>
    </row>
    <row r="84" spans="2:7" ht="17.25">
      <c r="B84" s="94"/>
      <c r="C84" s="197"/>
      <c r="G84" s="774"/>
    </row>
    <row r="85" spans="2:7" ht="17.25">
      <c r="B85" s="94"/>
      <c r="C85" s="197"/>
      <c r="G85" s="774"/>
    </row>
    <row r="86" spans="2:7" ht="17.25">
      <c r="B86" s="94"/>
      <c r="C86" s="197"/>
      <c r="G86" s="774"/>
    </row>
    <row r="87" spans="2:7" ht="17.25">
      <c r="B87" s="94"/>
      <c r="C87" s="197"/>
      <c r="G87" s="774"/>
    </row>
    <row r="88" spans="2:7" ht="17.25">
      <c r="B88" s="94"/>
      <c r="C88" s="197"/>
      <c r="G88" s="774"/>
    </row>
    <row r="89" spans="2:7" ht="17.25">
      <c r="B89" s="94"/>
      <c r="C89" s="197"/>
      <c r="G89" s="774"/>
    </row>
    <row r="90" spans="2:7" ht="17.25">
      <c r="B90" s="94"/>
      <c r="C90" s="197"/>
      <c r="G90" s="774"/>
    </row>
    <row r="91" spans="2:7" ht="17.25">
      <c r="B91" s="94"/>
      <c r="C91" s="197"/>
      <c r="G91" s="774"/>
    </row>
    <row r="92" spans="2:7" ht="17.25">
      <c r="B92" s="94"/>
      <c r="C92" s="197"/>
      <c r="G92" s="774"/>
    </row>
    <row r="93" spans="2:7" ht="17.25">
      <c r="B93" s="94"/>
      <c r="C93" s="197"/>
      <c r="G93" s="774"/>
    </row>
    <row r="94" spans="2:7" ht="17.25">
      <c r="B94" s="94"/>
      <c r="C94" s="197"/>
      <c r="G94" s="774"/>
    </row>
    <row r="95" spans="2:7" ht="17.25">
      <c r="B95" s="94"/>
      <c r="C95" s="197"/>
      <c r="G95" s="774"/>
    </row>
    <row r="96" spans="2:7" ht="17.25">
      <c r="B96" s="94"/>
      <c r="C96" s="197"/>
      <c r="G96" s="774"/>
    </row>
    <row r="97" spans="2:7" ht="17.25">
      <c r="B97" s="94"/>
      <c r="C97" s="197"/>
      <c r="G97" s="774"/>
    </row>
    <row r="98" spans="2:7" ht="17.25">
      <c r="B98" s="94"/>
      <c r="C98" s="197"/>
      <c r="G98" s="774"/>
    </row>
    <row r="99" spans="2:7" ht="17.25">
      <c r="B99" s="94"/>
      <c r="C99" s="197"/>
      <c r="G99" s="774"/>
    </row>
    <row r="100" spans="2:7" ht="17.25">
      <c r="B100" s="94"/>
      <c r="C100" s="197"/>
      <c r="G100" s="774"/>
    </row>
    <row r="101" spans="2:7" ht="17.25">
      <c r="B101" s="94"/>
      <c r="C101" s="197"/>
      <c r="G101" s="774"/>
    </row>
    <row r="102" spans="2:7" ht="17.25">
      <c r="B102" s="94"/>
      <c r="C102" s="197"/>
      <c r="G102" s="774"/>
    </row>
    <row r="103" spans="2:7" ht="17.25">
      <c r="B103" s="94"/>
      <c r="C103" s="197"/>
      <c r="G103" s="774"/>
    </row>
    <row r="104" spans="2:7" ht="17.25">
      <c r="B104" s="94"/>
      <c r="C104" s="197"/>
      <c r="G104" s="774"/>
    </row>
    <row r="105" spans="2:7" ht="17.25">
      <c r="B105" s="94"/>
      <c r="C105" s="197"/>
      <c r="G105" s="774"/>
    </row>
    <row r="106" spans="2:7" ht="17.25">
      <c r="B106" s="94"/>
      <c r="C106" s="197"/>
      <c r="G106" s="774"/>
    </row>
    <row r="107" spans="2:7" ht="17.25">
      <c r="B107" s="94"/>
      <c r="C107" s="197"/>
      <c r="G107" s="774"/>
    </row>
    <row r="108" spans="2:7" ht="17.25">
      <c r="B108" s="94"/>
      <c r="C108" s="197"/>
      <c r="G108" s="774"/>
    </row>
    <row r="109" spans="2:7" ht="17.25">
      <c r="B109" s="94"/>
      <c r="C109" s="197"/>
      <c r="G109" s="774"/>
    </row>
    <row r="110" spans="2:7" ht="18.75" customHeight="1">
      <c r="B110" s="94"/>
      <c r="C110" s="197"/>
      <c r="G110" s="774"/>
    </row>
    <row r="111" spans="2:7" ht="18" customHeight="1">
      <c r="B111" s="94"/>
      <c r="C111" s="197"/>
      <c r="G111" s="774"/>
    </row>
    <row r="112" spans="2:7" ht="18" customHeight="1">
      <c r="B112" s="94"/>
      <c r="C112" s="197"/>
      <c r="G112" s="774"/>
    </row>
    <row r="113" spans="2:7" ht="18.75" customHeight="1">
      <c r="B113" s="94"/>
      <c r="C113" s="197"/>
      <c r="G113" s="774"/>
    </row>
    <row r="114" spans="2:7" ht="18.75" customHeight="1">
      <c r="B114" s="94"/>
      <c r="C114" s="197"/>
      <c r="G114" s="774"/>
    </row>
    <row r="115" spans="2:7" ht="17.25" customHeight="1">
      <c r="B115" s="94"/>
      <c r="C115" s="197"/>
      <c r="G115" s="774"/>
    </row>
    <row r="116" spans="2:7" ht="19.5" customHeight="1">
      <c r="B116" s="94"/>
      <c r="C116" s="197"/>
      <c r="G116" s="774"/>
    </row>
    <row r="117" spans="2:7" ht="19.5" customHeight="1">
      <c r="B117" s="94"/>
      <c r="C117" s="197"/>
      <c r="G117" s="774"/>
    </row>
    <row r="118" spans="2:7" ht="17.25">
      <c r="B118" s="94"/>
      <c r="C118" s="197"/>
      <c r="G118" s="774"/>
    </row>
    <row r="119" spans="2:7" ht="18.75" customHeight="1">
      <c r="B119" s="94"/>
      <c r="C119" s="197"/>
      <c r="G119" s="774"/>
    </row>
    <row r="120" spans="2:7" ht="18.75" customHeight="1">
      <c r="B120" s="94"/>
      <c r="C120" s="197"/>
      <c r="G120" s="774"/>
    </row>
    <row r="121" spans="2:7" ht="18.75" customHeight="1">
      <c r="B121" s="94"/>
      <c r="C121" s="197"/>
      <c r="G121" s="774"/>
    </row>
    <row r="122" spans="2:7" ht="18.75" customHeight="1">
      <c r="B122" s="94"/>
      <c r="C122" s="197"/>
      <c r="G122" s="774"/>
    </row>
    <row r="123" spans="2:7" ht="19.5" customHeight="1">
      <c r="B123" s="94"/>
      <c r="C123" s="197"/>
      <c r="G123" s="774"/>
    </row>
    <row r="124" spans="2:7" ht="17.25">
      <c r="B124" s="94"/>
      <c r="C124" s="197"/>
      <c r="G124" s="774"/>
    </row>
    <row r="125" spans="2:7" ht="17.25">
      <c r="B125" s="94"/>
      <c r="C125" s="197"/>
      <c r="G125" s="774"/>
    </row>
    <row r="126" spans="2:7" ht="17.25">
      <c r="B126" s="94"/>
      <c r="C126" s="197"/>
      <c r="G126" s="774"/>
    </row>
    <row r="127" spans="2:7" ht="17.25">
      <c r="B127" s="94"/>
      <c r="C127" s="197"/>
      <c r="G127" s="774"/>
    </row>
    <row r="128" spans="2:7" ht="17.25">
      <c r="B128" s="94"/>
      <c r="C128" s="197"/>
      <c r="G128" s="774"/>
    </row>
    <row r="129" spans="2:7" ht="17.25">
      <c r="B129" s="94"/>
      <c r="C129" s="197"/>
      <c r="G129" s="774"/>
    </row>
    <row r="130" spans="2:7" ht="17.25">
      <c r="B130" s="94"/>
      <c r="C130" s="197"/>
      <c r="G130" s="774"/>
    </row>
    <row r="131" spans="2:7" ht="17.25">
      <c r="B131" s="94"/>
      <c r="C131" s="197"/>
      <c r="G131" s="774"/>
    </row>
    <row r="132" spans="2:7" ht="17.25">
      <c r="B132" s="94"/>
      <c r="C132" s="197"/>
      <c r="G132" s="774"/>
    </row>
    <row r="133" spans="2:7" ht="17.25">
      <c r="B133" s="94"/>
      <c r="C133" s="197"/>
      <c r="G133" s="774"/>
    </row>
    <row r="134" spans="2:7" ht="17.25">
      <c r="B134" s="94"/>
      <c r="C134" s="197"/>
      <c r="G134" s="774"/>
    </row>
    <row r="135" spans="2:7" ht="17.25">
      <c r="B135" s="94"/>
      <c r="C135" s="197"/>
      <c r="G135" s="774"/>
    </row>
    <row r="136" spans="2:7" ht="17.25">
      <c r="B136" s="94"/>
      <c r="C136" s="197"/>
      <c r="G136" s="774"/>
    </row>
    <row r="137" spans="2:7" ht="17.25">
      <c r="B137" s="94"/>
      <c r="C137" s="197"/>
      <c r="G137" s="774"/>
    </row>
    <row r="138" spans="2:7" ht="17.25">
      <c r="B138" s="94"/>
      <c r="C138" s="197"/>
      <c r="G138" s="774"/>
    </row>
    <row r="139" spans="2:7" ht="17.25">
      <c r="B139" s="94"/>
      <c r="C139" s="197"/>
      <c r="G139" s="774"/>
    </row>
    <row r="140" spans="2:7" ht="17.25">
      <c r="B140" s="94"/>
      <c r="C140" s="197"/>
      <c r="G140" s="774"/>
    </row>
    <row r="141" spans="1:8" s="26" customFormat="1" ht="21">
      <c r="A141" s="25"/>
      <c r="B141" s="213"/>
      <c r="C141" s="198"/>
      <c r="D141" s="118"/>
      <c r="E141" s="25"/>
      <c r="G141" s="25"/>
      <c r="H141"/>
    </row>
    <row r="142" spans="1:8" s="26" customFormat="1" ht="21">
      <c r="A142" s="25"/>
      <c r="B142" s="213"/>
      <c r="C142" s="198"/>
      <c r="D142" s="118"/>
      <c r="E142" s="25"/>
      <c r="G142" s="25"/>
      <c r="H142"/>
    </row>
    <row r="143" spans="1:8" s="26" customFormat="1" ht="21">
      <c r="A143" s="25"/>
      <c r="B143" s="213"/>
      <c r="C143" s="198"/>
      <c r="D143" s="118"/>
      <c r="E143" s="25"/>
      <c r="G143" s="25"/>
      <c r="H143"/>
    </row>
    <row r="144" spans="1:8" s="26" customFormat="1" ht="21">
      <c r="A144" s="25"/>
      <c r="B144" s="213"/>
      <c r="C144" s="198"/>
      <c r="D144" s="118"/>
      <c r="E144" s="25"/>
      <c r="G144" s="25"/>
      <c r="H144"/>
    </row>
    <row r="145" spans="1:8" s="26" customFormat="1" ht="21">
      <c r="A145" s="25"/>
      <c r="B145" s="213"/>
      <c r="C145" s="198"/>
      <c r="D145" s="118"/>
      <c r="E145" s="25"/>
      <c r="G145" s="25"/>
      <c r="H145"/>
    </row>
    <row r="146" spans="1:8" s="26" customFormat="1" ht="21">
      <c r="A146" s="25"/>
      <c r="B146" s="213"/>
      <c r="C146" s="198"/>
      <c r="D146" s="118"/>
      <c r="E146" s="25"/>
      <c r="G146" s="25"/>
      <c r="H146"/>
    </row>
    <row r="147" spans="1:8" s="26" customFormat="1" ht="21">
      <c r="A147" s="25"/>
      <c r="B147" s="213"/>
      <c r="C147" s="198"/>
      <c r="D147" s="118"/>
      <c r="E147" s="25"/>
      <c r="G147" s="25"/>
      <c r="H147"/>
    </row>
    <row r="148" spans="1:8" s="26" customFormat="1" ht="21">
      <c r="A148" s="25"/>
      <c r="B148" s="213"/>
      <c r="C148" s="198"/>
      <c r="D148" s="118"/>
      <c r="E148" s="25"/>
      <c r="G148" s="25"/>
      <c r="H148"/>
    </row>
    <row r="149" spans="1:8" s="26" customFormat="1" ht="21">
      <c r="A149" s="25"/>
      <c r="B149" s="213"/>
      <c r="C149" s="198"/>
      <c r="D149" s="118"/>
      <c r="E149" s="25"/>
      <c r="G149" s="25"/>
      <c r="H149"/>
    </row>
    <row r="150" spans="1:8" s="26" customFormat="1" ht="21">
      <c r="A150" s="25"/>
      <c r="B150" s="213"/>
      <c r="C150" s="198"/>
      <c r="D150" s="118"/>
      <c r="E150" s="25"/>
      <c r="G150" s="25"/>
      <c r="H150"/>
    </row>
    <row r="151" spans="1:8" s="26" customFormat="1" ht="21">
      <c r="A151" s="25"/>
      <c r="B151" s="213"/>
      <c r="C151" s="198"/>
      <c r="D151" s="118"/>
      <c r="E151" s="25"/>
      <c r="G151" s="25"/>
      <c r="H151"/>
    </row>
    <row r="152" spans="1:8" s="26" customFormat="1" ht="21">
      <c r="A152" s="25"/>
      <c r="B152" s="213"/>
      <c r="C152" s="198"/>
      <c r="D152" s="118"/>
      <c r="E152" s="25"/>
      <c r="G152" s="25"/>
      <c r="H152"/>
    </row>
    <row r="153" spans="1:8" s="26" customFormat="1" ht="21">
      <c r="A153" s="25"/>
      <c r="B153" s="213"/>
      <c r="C153" s="198"/>
      <c r="D153" s="118"/>
      <c r="E153" s="25"/>
      <c r="G153" s="25"/>
      <c r="H153"/>
    </row>
    <row r="154" spans="1:8" s="26" customFormat="1" ht="21">
      <c r="A154" s="25"/>
      <c r="B154" s="213"/>
      <c r="C154" s="198"/>
      <c r="D154" s="118"/>
      <c r="E154" s="25"/>
      <c r="G154" s="25"/>
      <c r="H154"/>
    </row>
    <row r="155" spans="1:8" s="26" customFormat="1" ht="21">
      <c r="A155" s="25"/>
      <c r="B155" s="213"/>
      <c r="C155" s="198"/>
      <c r="D155" s="118"/>
      <c r="E155" s="25"/>
      <c r="G155" s="25"/>
      <c r="H155"/>
    </row>
    <row r="156" spans="1:8" s="26" customFormat="1" ht="21">
      <c r="A156" s="25"/>
      <c r="B156" s="213"/>
      <c r="C156" s="198"/>
      <c r="D156" s="118"/>
      <c r="E156" s="25"/>
      <c r="G156" s="25"/>
      <c r="H156"/>
    </row>
    <row r="157" spans="1:8" s="26" customFormat="1" ht="21">
      <c r="A157" s="25"/>
      <c r="B157" s="213"/>
      <c r="C157" s="198"/>
      <c r="D157" s="118"/>
      <c r="E157" s="25"/>
      <c r="G157" s="25"/>
      <c r="H157"/>
    </row>
    <row r="158" spans="1:8" s="26" customFormat="1" ht="21">
      <c r="A158" s="25"/>
      <c r="B158" s="213"/>
      <c r="C158" s="198"/>
      <c r="D158" s="118"/>
      <c r="E158" s="25"/>
      <c r="G158" s="25"/>
      <c r="H158"/>
    </row>
    <row r="159" spans="1:8" s="26" customFormat="1" ht="21">
      <c r="A159" s="25"/>
      <c r="B159" s="213"/>
      <c r="C159" s="198"/>
      <c r="D159" s="118"/>
      <c r="E159" s="25"/>
      <c r="G159" s="25"/>
      <c r="H159"/>
    </row>
    <row r="160" spans="1:8" s="26" customFormat="1" ht="21">
      <c r="A160" s="25"/>
      <c r="B160" s="213"/>
      <c r="C160" s="198"/>
      <c r="D160" s="118"/>
      <c r="E160" s="25"/>
      <c r="G160" s="25"/>
      <c r="H160"/>
    </row>
    <row r="161" spans="1:8" s="26" customFormat="1" ht="21">
      <c r="A161" s="25"/>
      <c r="B161" s="213"/>
      <c r="C161" s="198"/>
      <c r="D161" s="118"/>
      <c r="E161" s="25"/>
      <c r="G161" s="25"/>
      <c r="H161"/>
    </row>
    <row r="162" spans="1:8" s="26" customFormat="1" ht="21">
      <c r="A162" s="25"/>
      <c r="B162" s="213"/>
      <c r="C162" s="198"/>
      <c r="D162" s="118"/>
      <c r="E162" s="25"/>
      <c r="G162" s="25"/>
      <c r="H162"/>
    </row>
    <row r="163" spans="1:8" s="26" customFormat="1" ht="21">
      <c r="A163" s="25"/>
      <c r="B163" s="213"/>
      <c r="C163" s="198"/>
      <c r="D163" s="118"/>
      <c r="E163" s="25"/>
      <c r="G163" s="25"/>
      <c r="H163"/>
    </row>
    <row r="164" spans="1:8" s="26" customFormat="1" ht="21">
      <c r="A164" s="25"/>
      <c r="B164" s="213"/>
      <c r="C164" s="198"/>
      <c r="D164" s="118"/>
      <c r="E164" s="25"/>
      <c r="G164" s="25"/>
      <c r="H164"/>
    </row>
    <row r="165" spans="1:8" s="26" customFormat="1" ht="21">
      <c r="A165" s="25"/>
      <c r="B165" s="213"/>
      <c r="C165" s="198"/>
      <c r="D165" s="118"/>
      <c r="E165" s="25"/>
      <c r="G165" s="25"/>
      <c r="H165"/>
    </row>
    <row r="166" spans="1:8" s="26" customFormat="1" ht="21">
      <c r="A166" s="25"/>
      <c r="B166" s="213"/>
      <c r="C166" s="198"/>
      <c r="D166" s="118"/>
      <c r="E166" s="25"/>
      <c r="G166" s="25"/>
      <c r="H166"/>
    </row>
    <row r="167" spans="1:8" s="26" customFormat="1" ht="21">
      <c r="A167" s="25"/>
      <c r="B167" s="213"/>
      <c r="C167" s="198"/>
      <c r="D167" s="118"/>
      <c r="E167" s="25"/>
      <c r="G167" s="25"/>
      <c r="H167"/>
    </row>
    <row r="168" spans="1:8" s="26" customFormat="1" ht="21">
      <c r="A168" s="25"/>
      <c r="B168" s="213"/>
      <c r="C168" s="198"/>
      <c r="D168" s="118"/>
      <c r="E168" s="25"/>
      <c r="G168" s="25"/>
      <c r="H168"/>
    </row>
    <row r="169" spans="1:8" s="26" customFormat="1" ht="21">
      <c r="A169" s="25"/>
      <c r="B169" s="213"/>
      <c r="C169" s="198"/>
      <c r="D169" s="118"/>
      <c r="E169" s="25"/>
      <c r="G169" s="25"/>
      <c r="H169"/>
    </row>
    <row r="170" spans="1:8" s="26" customFormat="1" ht="21">
      <c r="A170" s="25"/>
      <c r="B170" s="213"/>
      <c r="C170" s="198"/>
      <c r="D170" s="118"/>
      <c r="E170" s="25"/>
      <c r="G170" s="25"/>
      <c r="H170"/>
    </row>
    <row r="171" spans="1:8" s="26" customFormat="1" ht="21">
      <c r="A171" s="25"/>
      <c r="B171" s="213"/>
      <c r="C171" s="198"/>
      <c r="D171" s="118"/>
      <c r="E171" s="25"/>
      <c r="G171" s="25"/>
      <c r="H171"/>
    </row>
    <row r="172" spans="1:8" s="26" customFormat="1" ht="21">
      <c r="A172" s="25"/>
      <c r="B172" s="213"/>
      <c r="C172" s="198"/>
      <c r="D172" s="118"/>
      <c r="E172" s="25"/>
      <c r="G172" s="25"/>
      <c r="H172"/>
    </row>
    <row r="173" spans="1:8" s="26" customFormat="1" ht="21">
      <c r="A173" s="25"/>
      <c r="B173" s="213"/>
      <c r="C173" s="198"/>
      <c r="D173" s="118"/>
      <c r="E173" s="25"/>
      <c r="G173" s="25"/>
      <c r="H173"/>
    </row>
    <row r="174" spans="1:8" s="26" customFormat="1" ht="21">
      <c r="A174" s="25"/>
      <c r="B174" s="213"/>
      <c r="C174" s="198"/>
      <c r="D174" s="118"/>
      <c r="E174" s="25"/>
      <c r="G174" s="25"/>
      <c r="H174"/>
    </row>
    <row r="175" spans="1:8" s="26" customFormat="1" ht="21">
      <c r="A175" s="25"/>
      <c r="B175" s="213"/>
      <c r="C175" s="198"/>
      <c r="D175" s="118"/>
      <c r="E175" s="25"/>
      <c r="G175" s="25"/>
      <c r="H175"/>
    </row>
    <row r="176" spans="1:8" s="26" customFormat="1" ht="21">
      <c r="A176" s="25"/>
      <c r="B176" s="213"/>
      <c r="C176" s="198"/>
      <c r="D176" s="118"/>
      <c r="E176" s="25"/>
      <c r="G176" s="25"/>
      <c r="H176"/>
    </row>
    <row r="177" spans="1:8" s="26" customFormat="1" ht="21">
      <c r="A177" s="25"/>
      <c r="B177" s="213"/>
      <c r="C177" s="198"/>
      <c r="D177" s="118"/>
      <c r="E177" s="25"/>
      <c r="G177" s="25"/>
      <c r="H177"/>
    </row>
    <row r="178" spans="1:8" s="26" customFormat="1" ht="21">
      <c r="A178" s="25"/>
      <c r="B178" s="213"/>
      <c r="C178" s="198"/>
      <c r="D178" s="118"/>
      <c r="E178" s="25"/>
      <c r="G178" s="25"/>
      <c r="H178"/>
    </row>
    <row r="179" spans="1:8" s="26" customFormat="1" ht="21">
      <c r="A179" s="25"/>
      <c r="B179" s="213"/>
      <c r="C179" s="198"/>
      <c r="D179" s="118"/>
      <c r="E179" s="25"/>
      <c r="G179" s="25"/>
      <c r="H179"/>
    </row>
    <row r="180" spans="1:8" s="26" customFormat="1" ht="21">
      <c r="A180" s="25"/>
      <c r="B180" s="213"/>
      <c r="C180" s="198"/>
      <c r="D180" s="118"/>
      <c r="E180" s="25"/>
      <c r="G180" s="25"/>
      <c r="H180"/>
    </row>
    <row r="181" spans="1:8" s="26" customFormat="1" ht="21">
      <c r="A181" s="25"/>
      <c r="B181" s="213"/>
      <c r="C181" s="198"/>
      <c r="D181" s="118"/>
      <c r="E181" s="25"/>
      <c r="G181" s="25"/>
      <c r="H181"/>
    </row>
    <row r="182" spans="1:8" s="26" customFormat="1" ht="21">
      <c r="A182" s="25"/>
      <c r="B182" s="213"/>
      <c r="C182" s="198"/>
      <c r="D182" s="118"/>
      <c r="E182" s="25"/>
      <c r="G182" s="25"/>
      <c r="H182"/>
    </row>
    <row r="183" spans="1:8" s="26" customFormat="1" ht="21">
      <c r="A183" s="25"/>
      <c r="B183" s="213"/>
      <c r="C183" s="198"/>
      <c r="D183" s="118"/>
      <c r="E183" s="25"/>
      <c r="G183" s="25"/>
      <c r="H183"/>
    </row>
    <row r="184" spans="1:8" s="26" customFormat="1" ht="21">
      <c r="A184" s="25"/>
      <c r="B184" s="213"/>
      <c r="C184" s="198"/>
      <c r="D184" s="118"/>
      <c r="E184" s="25"/>
      <c r="G184" s="25"/>
      <c r="H184"/>
    </row>
    <row r="185" spans="1:8" s="26" customFormat="1" ht="21">
      <c r="A185" s="25"/>
      <c r="B185" s="213"/>
      <c r="C185" s="198"/>
      <c r="D185" s="118"/>
      <c r="E185" s="25"/>
      <c r="G185" s="25"/>
      <c r="H185"/>
    </row>
    <row r="186" spans="1:8" s="26" customFormat="1" ht="21">
      <c r="A186" s="25"/>
      <c r="B186" s="213"/>
      <c r="C186" s="198"/>
      <c r="D186" s="118"/>
      <c r="E186" s="25"/>
      <c r="G186" s="25"/>
      <c r="H186"/>
    </row>
    <row r="187" spans="1:8" s="26" customFormat="1" ht="21">
      <c r="A187" s="25"/>
      <c r="B187" s="213"/>
      <c r="C187" s="198"/>
      <c r="D187" s="118"/>
      <c r="E187" s="25"/>
      <c r="G187" s="25"/>
      <c r="H187"/>
    </row>
    <row r="188" spans="1:8" s="26" customFormat="1" ht="21">
      <c r="A188" s="25"/>
      <c r="B188" s="213"/>
      <c r="C188" s="198"/>
      <c r="D188" s="118"/>
      <c r="E188" s="25"/>
      <c r="G188" s="25"/>
      <c r="H188"/>
    </row>
    <row r="189" spans="1:8" s="26" customFormat="1" ht="21">
      <c r="A189" s="25"/>
      <c r="B189" s="213"/>
      <c r="C189" s="198"/>
      <c r="D189" s="118"/>
      <c r="E189" s="25"/>
      <c r="G189" s="25"/>
      <c r="H189"/>
    </row>
    <row r="190" spans="1:8" s="26" customFormat="1" ht="21">
      <c r="A190" s="25"/>
      <c r="B190" s="213"/>
      <c r="C190" s="198"/>
      <c r="D190" s="118"/>
      <c r="E190" s="25"/>
      <c r="G190" s="25"/>
      <c r="H190"/>
    </row>
    <row r="191" spans="1:8" s="26" customFormat="1" ht="21">
      <c r="A191" s="25"/>
      <c r="B191" s="213"/>
      <c r="C191" s="198"/>
      <c r="D191" s="118"/>
      <c r="E191" s="25"/>
      <c r="G191" s="25"/>
      <c r="H191"/>
    </row>
    <row r="192" spans="1:8" s="26" customFormat="1" ht="21">
      <c r="A192" s="25"/>
      <c r="B192" s="213"/>
      <c r="C192" s="198"/>
      <c r="D192" s="118"/>
      <c r="E192" s="25"/>
      <c r="G192" s="25"/>
      <c r="H192"/>
    </row>
    <row r="193" spans="1:8" s="26" customFormat="1" ht="21">
      <c r="A193" s="25"/>
      <c r="B193" s="213"/>
      <c r="C193" s="198"/>
      <c r="D193" s="118"/>
      <c r="E193" s="25"/>
      <c r="G193" s="25"/>
      <c r="H193"/>
    </row>
    <row r="194" spans="1:8" s="26" customFormat="1" ht="21">
      <c r="A194" s="25"/>
      <c r="B194" s="213"/>
      <c r="C194" s="198"/>
      <c r="D194" s="118"/>
      <c r="E194" s="25"/>
      <c r="G194" s="25"/>
      <c r="H194"/>
    </row>
    <row r="195" spans="1:8" s="26" customFormat="1" ht="21">
      <c r="A195" s="25"/>
      <c r="B195" s="213"/>
      <c r="C195" s="198"/>
      <c r="D195" s="118"/>
      <c r="E195" s="25"/>
      <c r="G195" s="25"/>
      <c r="H195"/>
    </row>
    <row r="196" spans="1:8" s="26" customFormat="1" ht="21">
      <c r="A196" s="25"/>
      <c r="B196" s="213"/>
      <c r="C196" s="198"/>
      <c r="D196" s="118"/>
      <c r="E196" s="25"/>
      <c r="G196" s="25"/>
      <c r="H196"/>
    </row>
    <row r="197" spans="1:8" s="26" customFormat="1" ht="21">
      <c r="A197" s="25"/>
      <c r="B197" s="213"/>
      <c r="C197" s="198"/>
      <c r="D197" s="118"/>
      <c r="E197" s="25"/>
      <c r="G197" s="25"/>
      <c r="H197"/>
    </row>
    <row r="198" spans="1:8" s="26" customFormat="1" ht="21">
      <c r="A198" s="25"/>
      <c r="B198" s="213"/>
      <c r="C198" s="198"/>
      <c r="D198" s="118"/>
      <c r="E198" s="25"/>
      <c r="G198" s="25"/>
      <c r="H198"/>
    </row>
    <row r="199" spans="1:8" s="26" customFormat="1" ht="21">
      <c r="A199" s="25"/>
      <c r="B199" s="213"/>
      <c r="C199" s="198"/>
      <c r="D199" s="118"/>
      <c r="E199" s="25"/>
      <c r="G199" s="25"/>
      <c r="H199"/>
    </row>
    <row r="200" spans="1:8" s="26" customFormat="1" ht="21">
      <c r="A200" s="25"/>
      <c r="B200" s="213"/>
      <c r="C200" s="198"/>
      <c r="D200" s="118"/>
      <c r="E200" s="25"/>
      <c r="G200" s="25"/>
      <c r="H200"/>
    </row>
    <row r="201" spans="1:8" s="26" customFormat="1" ht="21">
      <c r="A201" s="25"/>
      <c r="B201" s="213"/>
      <c r="C201" s="198"/>
      <c r="D201" s="118"/>
      <c r="E201" s="25"/>
      <c r="G201" s="25"/>
      <c r="H201"/>
    </row>
    <row r="202" spans="1:8" s="26" customFormat="1" ht="21">
      <c r="A202" s="25"/>
      <c r="B202" s="213"/>
      <c r="C202" s="198"/>
      <c r="D202" s="118"/>
      <c r="E202" s="25"/>
      <c r="G202" s="25"/>
      <c r="H202"/>
    </row>
    <row r="203" spans="1:8" s="26" customFormat="1" ht="21">
      <c r="A203" s="25"/>
      <c r="B203" s="213"/>
      <c r="C203" s="198"/>
      <c r="D203" s="118"/>
      <c r="E203" s="25"/>
      <c r="G203" s="25"/>
      <c r="H203"/>
    </row>
    <row r="204" spans="1:8" s="26" customFormat="1" ht="21">
      <c r="A204" s="25"/>
      <c r="B204" s="213"/>
      <c r="C204" s="198"/>
      <c r="D204" s="118"/>
      <c r="E204" s="25"/>
      <c r="G204" s="25"/>
      <c r="H204"/>
    </row>
    <row r="205" spans="1:8" s="26" customFormat="1" ht="21">
      <c r="A205" s="25"/>
      <c r="B205" s="213"/>
      <c r="C205" s="198"/>
      <c r="D205" s="118"/>
      <c r="E205" s="25"/>
      <c r="G205" s="25"/>
      <c r="H205"/>
    </row>
    <row r="206" spans="1:8" s="26" customFormat="1" ht="21">
      <c r="A206" s="25"/>
      <c r="B206" s="213"/>
      <c r="C206" s="198"/>
      <c r="D206" s="118"/>
      <c r="E206" s="25"/>
      <c r="G206" s="25"/>
      <c r="H206"/>
    </row>
    <row r="207" spans="1:8" s="26" customFormat="1" ht="21">
      <c r="A207" s="25"/>
      <c r="B207" s="213"/>
      <c r="C207" s="198"/>
      <c r="D207" s="118"/>
      <c r="E207" s="25"/>
      <c r="G207" s="25"/>
      <c r="H207"/>
    </row>
    <row r="208" spans="1:8" s="26" customFormat="1" ht="21">
      <c r="A208" s="25"/>
      <c r="B208" s="213"/>
      <c r="C208" s="198"/>
      <c r="D208" s="118"/>
      <c r="E208" s="25"/>
      <c r="G208" s="25"/>
      <c r="H208"/>
    </row>
    <row r="209" spans="1:8" s="26" customFormat="1" ht="21">
      <c r="A209" s="25"/>
      <c r="B209" s="213"/>
      <c r="C209" s="198"/>
      <c r="D209" s="118"/>
      <c r="E209" s="25"/>
      <c r="G209" s="25"/>
      <c r="H209"/>
    </row>
    <row r="210" spans="1:8" s="26" customFormat="1" ht="21">
      <c r="A210" s="25"/>
      <c r="B210" s="213"/>
      <c r="C210" s="198"/>
      <c r="D210" s="118"/>
      <c r="E210" s="25"/>
      <c r="G210" s="25"/>
      <c r="H210"/>
    </row>
    <row r="211" spans="1:8" s="26" customFormat="1" ht="21">
      <c r="A211" s="25"/>
      <c r="B211" s="213"/>
      <c r="C211" s="198"/>
      <c r="D211" s="118"/>
      <c r="E211" s="25"/>
      <c r="G211" s="25"/>
      <c r="H211"/>
    </row>
    <row r="212" spans="1:8" s="26" customFormat="1" ht="21">
      <c r="A212" s="25"/>
      <c r="B212" s="213"/>
      <c r="C212" s="198"/>
      <c r="D212" s="118"/>
      <c r="E212" s="25"/>
      <c r="G212" s="25"/>
      <c r="H212"/>
    </row>
    <row r="213" spans="1:8" s="26" customFormat="1" ht="21">
      <c r="A213" s="25"/>
      <c r="B213" s="213"/>
      <c r="C213" s="198"/>
      <c r="D213" s="118"/>
      <c r="E213" s="25"/>
      <c r="G213" s="25"/>
      <c r="H213"/>
    </row>
    <row r="214" spans="1:8" s="26" customFormat="1" ht="21">
      <c r="A214" s="25"/>
      <c r="B214" s="213"/>
      <c r="C214" s="198"/>
      <c r="D214" s="118"/>
      <c r="E214" s="25"/>
      <c r="G214" s="25"/>
      <c r="H214"/>
    </row>
    <row r="215" spans="1:8" s="26" customFormat="1" ht="21.75">
      <c r="A215" s="119"/>
      <c r="B215" s="214"/>
      <c r="C215" s="199"/>
      <c r="D215" s="120"/>
      <c r="E215" s="119"/>
      <c r="F215" s="6"/>
      <c r="G215" s="25"/>
      <c r="H215"/>
    </row>
    <row r="216" spans="1:8" s="26" customFormat="1" ht="21.75">
      <c r="A216" s="119"/>
      <c r="B216" s="214"/>
      <c r="C216" s="199"/>
      <c r="D216" s="120"/>
      <c r="E216" s="119"/>
      <c r="F216" s="6"/>
      <c r="G216" s="25"/>
      <c r="H216"/>
    </row>
    <row r="217" spans="1:8" s="26" customFormat="1" ht="21.75">
      <c r="A217" s="119"/>
      <c r="B217" s="214"/>
      <c r="C217" s="199"/>
      <c r="D217" s="120"/>
      <c r="E217" s="119"/>
      <c r="F217" s="6"/>
      <c r="G217" s="25"/>
      <c r="H217"/>
    </row>
    <row r="218" spans="1:8" s="26" customFormat="1" ht="21.75">
      <c r="A218" s="119"/>
      <c r="B218" s="214"/>
      <c r="C218" s="199"/>
      <c r="D218" s="120"/>
      <c r="E218" s="119"/>
      <c r="F218" s="6"/>
      <c r="G218" s="25"/>
      <c r="H218"/>
    </row>
    <row r="219" spans="1:8" s="26" customFormat="1" ht="21.75">
      <c r="A219" s="119"/>
      <c r="B219" s="214"/>
      <c r="C219" s="199"/>
      <c r="D219" s="120"/>
      <c r="E219" s="119"/>
      <c r="F219" s="6"/>
      <c r="G219" s="25"/>
      <c r="H219"/>
    </row>
    <row r="220" spans="1:8" s="26" customFormat="1" ht="21.75">
      <c r="A220" s="119"/>
      <c r="B220" s="214"/>
      <c r="C220" s="199"/>
      <c r="D220" s="120"/>
      <c r="E220" s="119"/>
      <c r="F220" s="6"/>
      <c r="G220" s="25"/>
      <c r="H220"/>
    </row>
    <row r="221" spans="1:8" s="26" customFormat="1" ht="21.75">
      <c r="A221" s="119"/>
      <c r="B221" s="214"/>
      <c r="C221" s="199"/>
      <c r="D221" s="120"/>
      <c r="E221" s="119"/>
      <c r="F221" s="6"/>
      <c r="G221" s="25"/>
      <c r="H221"/>
    </row>
    <row r="222" spans="1:8" s="26" customFormat="1" ht="21.75">
      <c r="A222" s="119"/>
      <c r="B222" s="214"/>
      <c r="C222" s="199"/>
      <c r="D222" s="120"/>
      <c r="E222" s="119"/>
      <c r="F222" s="6"/>
      <c r="G222" s="25"/>
      <c r="H222"/>
    </row>
    <row r="223" spans="1:8" s="26" customFormat="1" ht="21.75">
      <c r="A223" s="119"/>
      <c r="B223" s="214"/>
      <c r="C223" s="199"/>
      <c r="D223" s="120"/>
      <c r="E223" s="119"/>
      <c r="F223" s="6"/>
      <c r="G223" s="25"/>
      <c r="H223"/>
    </row>
    <row r="224" spans="1:8" s="26" customFormat="1" ht="21.75">
      <c r="A224" s="119"/>
      <c r="B224" s="214"/>
      <c r="C224" s="199"/>
      <c r="D224" s="120"/>
      <c r="E224" s="119"/>
      <c r="F224" s="6"/>
      <c r="G224" s="25"/>
      <c r="H224"/>
    </row>
    <row r="225" spans="1:8" s="26" customFormat="1" ht="21.75">
      <c r="A225" s="119"/>
      <c r="B225" s="214"/>
      <c r="C225" s="199"/>
      <c r="D225" s="120"/>
      <c r="E225" s="119"/>
      <c r="F225" s="6"/>
      <c r="G225" s="25"/>
      <c r="H225"/>
    </row>
    <row r="226" spans="1:8" s="26" customFormat="1" ht="21.75">
      <c r="A226" s="119"/>
      <c r="B226" s="214"/>
      <c r="C226" s="199"/>
      <c r="D226" s="120"/>
      <c r="E226" s="119"/>
      <c r="F226" s="6"/>
      <c r="G226" s="25"/>
      <c r="H226"/>
    </row>
    <row r="227" spans="1:8" s="26" customFormat="1" ht="21.75">
      <c r="A227" s="119"/>
      <c r="B227" s="214"/>
      <c r="C227" s="199"/>
      <c r="D227" s="120"/>
      <c r="E227" s="119"/>
      <c r="F227" s="6"/>
      <c r="G227" s="25"/>
      <c r="H227"/>
    </row>
    <row r="228" spans="1:8" s="26" customFormat="1" ht="21.75">
      <c r="A228" s="119"/>
      <c r="B228" s="214"/>
      <c r="C228" s="199"/>
      <c r="D228" s="120"/>
      <c r="E228" s="119"/>
      <c r="F228" s="6"/>
      <c r="G228" s="25"/>
      <c r="H228"/>
    </row>
    <row r="229" spans="1:8" s="26" customFormat="1" ht="21.75">
      <c r="A229" s="119"/>
      <c r="B229" s="214"/>
      <c r="C229" s="199"/>
      <c r="D229" s="120"/>
      <c r="E229" s="119"/>
      <c r="F229" s="6"/>
      <c r="G229" s="25"/>
      <c r="H229"/>
    </row>
    <row r="230" spans="1:8" s="26" customFormat="1" ht="21.75">
      <c r="A230" s="119"/>
      <c r="B230" s="214"/>
      <c r="C230" s="199"/>
      <c r="D230" s="120"/>
      <c r="E230" s="119"/>
      <c r="F230" s="6"/>
      <c r="G230" s="25"/>
      <c r="H230"/>
    </row>
    <row r="231" spans="1:8" s="26" customFormat="1" ht="21.75">
      <c r="A231" s="119"/>
      <c r="B231" s="214"/>
      <c r="C231" s="199"/>
      <c r="D231" s="120"/>
      <c r="E231" s="119"/>
      <c r="F231" s="6"/>
      <c r="G231" s="25"/>
      <c r="H231"/>
    </row>
    <row r="232" spans="1:8" s="26" customFormat="1" ht="21.75">
      <c r="A232" s="119"/>
      <c r="B232" s="214"/>
      <c r="C232" s="199"/>
      <c r="D232" s="120"/>
      <c r="E232" s="119"/>
      <c r="F232" s="6"/>
      <c r="G232" s="25"/>
      <c r="H232"/>
    </row>
    <row r="233" spans="1:8" s="26" customFormat="1" ht="21.75">
      <c r="A233" s="119"/>
      <c r="B233" s="214"/>
      <c r="C233" s="199"/>
      <c r="D233" s="120"/>
      <c r="E233" s="119"/>
      <c r="F233" s="6"/>
      <c r="G233" s="25"/>
      <c r="H233"/>
    </row>
    <row r="234" spans="1:8" s="26" customFormat="1" ht="21.75">
      <c r="A234" s="119"/>
      <c r="B234" s="214"/>
      <c r="C234" s="199"/>
      <c r="D234" s="120"/>
      <c r="E234" s="119"/>
      <c r="F234" s="6"/>
      <c r="G234" s="25"/>
      <c r="H234"/>
    </row>
    <row r="235" spans="1:8" s="26" customFormat="1" ht="21.75">
      <c r="A235" s="119"/>
      <c r="B235" s="214"/>
      <c r="C235" s="199"/>
      <c r="D235" s="120"/>
      <c r="E235" s="119"/>
      <c r="F235" s="6"/>
      <c r="G235" s="25"/>
      <c r="H235"/>
    </row>
    <row r="236" spans="1:8" s="26" customFormat="1" ht="21.75">
      <c r="A236" s="119"/>
      <c r="B236" s="214"/>
      <c r="C236" s="199"/>
      <c r="D236" s="120"/>
      <c r="E236" s="119"/>
      <c r="F236" s="6"/>
      <c r="G236" s="25"/>
      <c r="H236"/>
    </row>
    <row r="237" spans="1:8" s="26" customFormat="1" ht="21.75">
      <c r="A237" s="119"/>
      <c r="B237" s="214"/>
      <c r="C237" s="199"/>
      <c r="D237" s="120"/>
      <c r="E237" s="119"/>
      <c r="F237" s="6"/>
      <c r="G237" s="25"/>
      <c r="H237"/>
    </row>
    <row r="238" spans="1:8" s="26" customFormat="1" ht="21.75">
      <c r="A238" s="119"/>
      <c r="B238" s="214"/>
      <c r="C238" s="199"/>
      <c r="D238" s="120"/>
      <c r="E238" s="119"/>
      <c r="F238" s="6"/>
      <c r="G238" s="25"/>
      <c r="H238"/>
    </row>
    <row r="239" spans="1:8" s="26" customFormat="1" ht="21.75">
      <c r="A239" s="119"/>
      <c r="B239" s="214"/>
      <c r="C239" s="199"/>
      <c r="D239" s="120"/>
      <c r="E239" s="119"/>
      <c r="F239" s="6"/>
      <c r="G239" s="25"/>
      <c r="H239"/>
    </row>
    <row r="240" spans="1:8" s="26" customFormat="1" ht="21.75">
      <c r="A240" s="119"/>
      <c r="B240" s="214"/>
      <c r="C240" s="199"/>
      <c r="D240" s="120"/>
      <c r="E240" s="119"/>
      <c r="F240" s="6"/>
      <c r="G240" s="25"/>
      <c r="H240"/>
    </row>
    <row r="241" spans="1:8" s="26" customFormat="1" ht="21.75">
      <c r="A241" s="119"/>
      <c r="B241" s="214"/>
      <c r="C241" s="199"/>
      <c r="D241" s="120"/>
      <c r="E241" s="119"/>
      <c r="F241" s="6"/>
      <c r="G241" s="25"/>
      <c r="H241"/>
    </row>
    <row r="242" spans="1:8" s="26" customFormat="1" ht="21.75">
      <c r="A242" s="119"/>
      <c r="B242" s="214"/>
      <c r="C242" s="199"/>
      <c r="D242" s="120"/>
      <c r="E242" s="119"/>
      <c r="F242" s="6"/>
      <c r="G242" s="25"/>
      <c r="H242"/>
    </row>
    <row r="243" spans="1:8" s="26" customFormat="1" ht="21.75">
      <c r="A243" s="119"/>
      <c r="B243" s="214"/>
      <c r="C243" s="199"/>
      <c r="D243" s="120"/>
      <c r="E243" s="119"/>
      <c r="F243" s="6"/>
      <c r="G243" s="25"/>
      <c r="H243"/>
    </row>
    <row r="244" spans="1:8" s="26" customFormat="1" ht="21.75">
      <c r="A244" s="119"/>
      <c r="B244" s="214"/>
      <c r="C244" s="199"/>
      <c r="D244" s="120"/>
      <c r="E244" s="119"/>
      <c r="F244" s="6"/>
      <c r="G244" s="25"/>
      <c r="H244"/>
    </row>
    <row r="245" spans="1:8" s="26" customFormat="1" ht="21.75">
      <c r="A245" s="119"/>
      <c r="B245" s="214"/>
      <c r="C245" s="199"/>
      <c r="D245" s="120"/>
      <c r="E245" s="119"/>
      <c r="F245" s="6"/>
      <c r="G245" s="25"/>
      <c r="H245"/>
    </row>
    <row r="246" spans="1:8" s="26" customFormat="1" ht="21.75">
      <c r="A246" s="119"/>
      <c r="B246" s="214"/>
      <c r="C246" s="199"/>
      <c r="D246" s="120"/>
      <c r="E246" s="119"/>
      <c r="F246" s="6"/>
      <c r="G246" s="25"/>
      <c r="H246"/>
    </row>
    <row r="247" spans="1:8" s="26" customFormat="1" ht="21.75">
      <c r="A247" s="119"/>
      <c r="B247" s="214"/>
      <c r="C247" s="199"/>
      <c r="D247" s="120"/>
      <c r="E247" s="119"/>
      <c r="F247" s="6"/>
      <c r="G247" s="25"/>
      <c r="H247"/>
    </row>
    <row r="248" spans="1:8" s="26" customFormat="1" ht="21.75">
      <c r="A248" s="119"/>
      <c r="B248" s="214"/>
      <c r="C248" s="199"/>
      <c r="D248" s="120"/>
      <c r="E248" s="119"/>
      <c r="F248" s="6"/>
      <c r="G248" s="25"/>
      <c r="H248"/>
    </row>
    <row r="249" spans="1:8" s="26" customFormat="1" ht="21.75">
      <c r="A249" s="119"/>
      <c r="B249" s="214"/>
      <c r="C249" s="199"/>
      <c r="D249" s="120"/>
      <c r="E249" s="119"/>
      <c r="F249" s="6"/>
      <c r="G249" s="25"/>
      <c r="H249"/>
    </row>
    <row r="250" spans="1:8" s="26" customFormat="1" ht="21.75">
      <c r="A250" s="119"/>
      <c r="B250" s="214"/>
      <c r="C250" s="199"/>
      <c r="D250" s="120"/>
      <c r="E250" s="119"/>
      <c r="F250" s="6"/>
      <c r="G250" s="25"/>
      <c r="H250"/>
    </row>
    <row r="251" spans="1:8" s="26" customFormat="1" ht="21.75">
      <c r="A251" s="119"/>
      <c r="B251" s="214"/>
      <c r="C251" s="199"/>
      <c r="D251" s="120"/>
      <c r="E251" s="119"/>
      <c r="F251" s="6"/>
      <c r="G251" s="25"/>
      <c r="H251"/>
    </row>
    <row r="252" spans="1:8" s="26" customFormat="1" ht="21.75">
      <c r="A252" s="119"/>
      <c r="B252" s="214"/>
      <c r="C252" s="199"/>
      <c r="D252" s="120"/>
      <c r="E252" s="119"/>
      <c r="F252" s="6"/>
      <c r="G252" s="25"/>
      <c r="H252"/>
    </row>
    <row r="253" spans="1:8" s="26" customFormat="1" ht="21.75">
      <c r="A253" s="119"/>
      <c r="B253" s="214"/>
      <c r="C253" s="199"/>
      <c r="D253" s="120"/>
      <c r="E253" s="119"/>
      <c r="F253" s="6"/>
      <c r="G253" s="25"/>
      <c r="H253"/>
    </row>
    <row r="254" spans="1:8" s="26" customFormat="1" ht="21.75">
      <c r="A254" s="119"/>
      <c r="B254" s="214"/>
      <c r="C254" s="199"/>
      <c r="D254" s="120"/>
      <c r="E254" s="119"/>
      <c r="F254" s="6"/>
      <c r="G254" s="25"/>
      <c r="H254"/>
    </row>
    <row r="255" spans="1:8" s="26" customFormat="1" ht="21.75">
      <c r="A255" s="119"/>
      <c r="B255" s="214"/>
      <c r="C255" s="199"/>
      <c r="D255" s="120"/>
      <c r="E255" s="119"/>
      <c r="F255" s="6"/>
      <c r="G255" s="25"/>
      <c r="H255"/>
    </row>
    <row r="256" spans="1:8" s="26" customFormat="1" ht="21.75">
      <c r="A256" s="119"/>
      <c r="B256" s="214"/>
      <c r="C256" s="199"/>
      <c r="D256" s="120"/>
      <c r="E256" s="119"/>
      <c r="F256" s="6"/>
      <c r="G256" s="25"/>
      <c r="H256"/>
    </row>
    <row r="257" spans="1:8" s="26" customFormat="1" ht="21.75">
      <c r="A257" s="119"/>
      <c r="B257" s="214"/>
      <c r="C257" s="199"/>
      <c r="D257" s="120"/>
      <c r="E257" s="119"/>
      <c r="F257" s="6"/>
      <c r="G257" s="25"/>
      <c r="H257"/>
    </row>
    <row r="258" spans="1:8" s="26" customFormat="1" ht="21.75">
      <c r="A258" s="119"/>
      <c r="B258" s="214"/>
      <c r="C258" s="199"/>
      <c r="D258" s="120"/>
      <c r="E258" s="119"/>
      <c r="F258" s="6"/>
      <c r="G258" s="25"/>
      <c r="H258"/>
    </row>
    <row r="259" spans="1:8" s="26" customFormat="1" ht="21.75">
      <c r="A259" s="119"/>
      <c r="B259" s="214"/>
      <c r="C259" s="199"/>
      <c r="D259" s="120"/>
      <c r="E259" s="119"/>
      <c r="F259" s="6"/>
      <c r="G259" s="25"/>
      <c r="H259"/>
    </row>
    <row r="260" spans="1:8" s="26" customFormat="1" ht="21.75">
      <c r="A260" s="119"/>
      <c r="B260" s="214"/>
      <c r="C260" s="199"/>
      <c r="D260" s="120"/>
      <c r="E260" s="119"/>
      <c r="F260" s="6"/>
      <c r="G260" s="25"/>
      <c r="H260"/>
    </row>
    <row r="261" spans="1:8" s="26" customFormat="1" ht="21.75">
      <c r="A261" s="119"/>
      <c r="B261" s="214"/>
      <c r="C261" s="199"/>
      <c r="D261" s="120"/>
      <c r="E261" s="119"/>
      <c r="F261" s="6"/>
      <c r="G261" s="25"/>
      <c r="H261"/>
    </row>
    <row r="262" spans="1:8" s="26" customFormat="1" ht="21.75">
      <c r="A262" s="119"/>
      <c r="B262" s="214"/>
      <c r="C262" s="199"/>
      <c r="D262" s="120"/>
      <c r="E262" s="119"/>
      <c r="F262" s="6"/>
      <c r="G262" s="25"/>
      <c r="H262"/>
    </row>
    <row r="263" spans="1:8" s="26" customFormat="1" ht="21.75">
      <c r="A263" s="119"/>
      <c r="B263" s="214"/>
      <c r="C263" s="199"/>
      <c r="D263" s="120"/>
      <c r="E263" s="119"/>
      <c r="F263" s="6"/>
      <c r="G263" s="25"/>
      <c r="H263"/>
    </row>
    <row r="264" spans="1:8" s="26" customFormat="1" ht="21.75">
      <c r="A264" s="119"/>
      <c r="B264" s="214"/>
      <c r="C264" s="199"/>
      <c r="D264" s="120"/>
      <c r="E264" s="119"/>
      <c r="F264" s="6"/>
      <c r="G264" s="25"/>
      <c r="H264"/>
    </row>
    <row r="265" spans="1:8" s="26" customFormat="1" ht="21.75">
      <c r="A265" s="119"/>
      <c r="B265" s="214"/>
      <c r="C265" s="199"/>
      <c r="D265" s="120"/>
      <c r="E265" s="119"/>
      <c r="F265" s="6"/>
      <c r="G265" s="25"/>
      <c r="H265"/>
    </row>
    <row r="266" spans="1:8" s="26" customFormat="1" ht="21.75">
      <c r="A266" s="119"/>
      <c r="B266" s="214"/>
      <c r="C266" s="199"/>
      <c r="D266" s="120"/>
      <c r="E266" s="119"/>
      <c r="F266" s="6"/>
      <c r="G266" s="25"/>
      <c r="H266"/>
    </row>
    <row r="267" spans="1:8" s="26" customFormat="1" ht="21.75">
      <c r="A267" s="119"/>
      <c r="B267" s="214"/>
      <c r="C267" s="199"/>
      <c r="D267" s="120"/>
      <c r="E267" s="119"/>
      <c r="F267" s="6"/>
      <c r="G267" s="25"/>
      <c r="H267"/>
    </row>
    <row r="268" spans="1:8" s="26" customFormat="1" ht="21.75">
      <c r="A268" s="119"/>
      <c r="B268" s="214"/>
      <c r="C268" s="199"/>
      <c r="D268" s="120"/>
      <c r="E268" s="119"/>
      <c r="F268" s="6"/>
      <c r="G268" s="25"/>
      <c r="H268"/>
    </row>
    <row r="269" spans="1:8" s="26" customFormat="1" ht="21.75">
      <c r="A269" s="119"/>
      <c r="B269" s="214"/>
      <c r="C269" s="199"/>
      <c r="D269" s="120"/>
      <c r="E269" s="119"/>
      <c r="F269" s="6"/>
      <c r="G269" s="25"/>
      <c r="H269"/>
    </row>
    <row r="270" spans="1:8" s="26" customFormat="1" ht="21.75">
      <c r="A270" s="119"/>
      <c r="B270" s="214"/>
      <c r="C270" s="199"/>
      <c r="D270" s="120"/>
      <c r="E270" s="119"/>
      <c r="F270" s="6"/>
      <c r="G270" s="25"/>
      <c r="H270"/>
    </row>
    <row r="271" spans="1:8" s="26" customFormat="1" ht="21.75">
      <c r="A271" s="119"/>
      <c r="B271" s="214"/>
      <c r="C271" s="199"/>
      <c r="D271" s="120"/>
      <c r="E271" s="119"/>
      <c r="F271" s="6"/>
      <c r="G271" s="25"/>
      <c r="H271"/>
    </row>
    <row r="272" ht="21.75">
      <c r="G272" s="119"/>
    </row>
  </sheetData>
  <sheetProtection/>
  <mergeCells count="6">
    <mergeCell ref="M2:N2"/>
    <mergeCell ref="K2:K3"/>
    <mergeCell ref="L2:L3"/>
    <mergeCell ref="E2:F2"/>
    <mergeCell ref="G2:H2"/>
    <mergeCell ref="I2:J2"/>
  </mergeCells>
  <printOptions/>
  <pageMargins left="0.02" right="0" top="0.25" bottom="0.23" header="0.53" footer="0.18"/>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4"/>
  </sheetPr>
  <dimension ref="A1:N263"/>
  <sheetViews>
    <sheetView zoomScalePageLayoutView="0" workbookViewId="0" topLeftCell="A1">
      <pane xSplit="4" ySplit="3" topLeftCell="E40" activePane="bottomRight" state="frozen"/>
      <selection pane="topLeft" activeCell="A1" sqref="A1"/>
      <selection pane="topRight" activeCell="E1" sqref="E1"/>
      <selection pane="bottomLeft" activeCell="A4" sqref="A4"/>
      <selection pane="bottomRight" activeCell="F39" sqref="F39"/>
    </sheetView>
  </sheetViews>
  <sheetFormatPr defaultColWidth="9.140625" defaultRowHeight="12.75"/>
  <cols>
    <col min="1" max="1" width="10.57421875" style="119" customWidth="1"/>
    <col min="2" max="2" width="3.00390625" style="214" bestFit="1" customWidth="1"/>
    <col min="3" max="3" width="12.28125" style="214" bestFit="1" customWidth="1"/>
    <col min="4" max="4" width="41.7109375" style="199" customWidth="1"/>
    <col min="5" max="5" width="4.8515625" style="119" customWidth="1"/>
    <col min="6" max="6" width="8.28125" style="814" customWidth="1"/>
    <col min="7" max="7" width="5.00390625" style="119" bestFit="1" customWidth="1"/>
    <col min="8" max="8" width="9.140625" style="814" bestFit="1" customWidth="1"/>
    <col min="9" max="9" width="4.8515625" style="119" customWidth="1"/>
    <col min="10" max="10" width="9.00390625" style="776" bestFit="1" customWidth="1"/>
    <col min="11" max="11" width="8.00390625" style="814" customWidth="1"/>
    <col min="12" max="12" width="6.57421875" style="814" customWidth="1"/>
    <col min="13" max="13" width="5.57421875" style="814" customWidth="1"/>
    <col min="14" max="14" width="8.8515625" style="776" customWidth="1"/>
    <col min="15" max="16384" width="9.140625" style="6" customWidth="1"/>
  </cols>
  <sheetData>
    <row r="1" spans="1:14" ht="24.75" customHeight="1" thickBot="1">
      <c r="A1" s="186" t="s">
        <v>334</v>
      </c>
      <c r="D1" s="142"/>
      <c r="E1" s="113"/>
      <c r="G1" s="113"/>
      <c r="N1" s="19" t="s">
        <v>0</v>
      </c>
    </row>
    <row r="2" spans="1:14" s="141" customFormat="1" ht="34.5" customHeight="1" thickBot="1">
      <c r="A2" s="1319" t="s">
        <v>270</v>
      </c>
      <c r="B2" s="767"/>
      <c r="C2" s="766" t="s">
        <v>135</v>
      </c>
      <c r="D2" s="768" t="s">
        <v>134</v>
      </c>
      <c r="E2" s="1278" t="s">
        <v>118</v>
      </c>
      <c r="F2" s="1278"/>
      <c r="G2" s="1278" t="s">
        <v>66</v>
      </c>
      <c r="H2" s="1278"/>
      <c r="I2" s="1278" t="s">
        <v>67</v>
      </c>
      <c r="J2" s="1278"/>
      <c r="K2" s="1321" t="s">
        <v>63</v>
      </c>
      <c r="L2" s="1317" t="s">
        <v>64</v>
      </c>
      <c r="M2" s="1278" t="s">
        <v>119</v>
      </c>
      <c r="N2" s="1278"/>
    </row>
    <row r="3" spans="1:14" ht="22.5" thickBot="1">
      <c r="A3" s="1320"/>
      <c r="B3" s="769"/>
      <c r="C3" s="771"/>
      <c r="D3" s="770"/>
      <c r="E3" s="580" t="s">
        <v>10</v>
      </c>
      <c r="F3" s="815" t="s">
        <v>9</v>
      </c>
      <c r="G3" s="580" t="s">
        <v>10</v>
      </c>
      <c r="H3" s="815" t="s">
        <v>9</v>
      </c>
      <c r="I3" s="772" t="s">
        <v>10</v>
      </c>
      <c r="J3" s="581" t="s">
        <v>9</v>
      </c>
      <c r="K3" s="1322"/>
      <c r="L3" s="1318"/>
      <c r="M3" s="580" t="s">
        <v>10</v>
      </c>
      <c r="N3" s="815" t="s">
        <v>9</v>
      </c>
    </row>
    <row r="4" spans="1:14" s="304" customFormat="1" ht="40.5" customHeight="1">
      <c r="A4" s="791" t="s">
        <v>180</v>
      </c>
      <c r="B4" s="798">
        <v>1</v>
      </c>
      <c r="C4" s="782" t="s">
        <v>70</v>
      </c>
      <c r="D4" s="783" t="s">
        <v>269</v>
      </c>
      <c r="E4" s="782"/>
      <c r="F4" s="816"/>
      <c r="G4" s="782"/>
      <c r="H4" s="816"/>
      <c r="I4" s="784"/>
      <c r="J4" s="785"/>
      <c r="K4" s="830"/>
      <c r="L4" s="830"/>
      <c r="M4" s="830"/>
      <c r="N4" s="837"/>
    </row>
    <row r="5" spans="1:14" s="297" customFormat="1" ht="81.75">
      <c r="A5" s="799"/>
      <c r="B5" s="800"/>
      <c r="C5" s="801"/>
      <c r="D5" s="802" t="s">
        <v>563</v>
      </c>
      <c r="E5" s="1078">
        <v>38</v>
      </c>
      <c r="F5" s="1079">
        <v>3585</v>
      </c>
      <c r="G5" s="803"/>
      <c r="H5" s="817"/>
      <c r="I5" s="804"/>
      <c r="J5" s="805"/>
      <c r="K5" s="831"/>
      <c r="L5" s="831"/>
      <c r="M5" s="831">
        <f>E5+G5</f>
        <v>38</v>
      </c>
      <c r="N5" s="838">
        <f>F5+J5+K5+L5+H5</f>
        <v>3585</v>
      </c>
    </row>
    <row r="6" spans="1:14" s="297" customFormat="1" ht="21.75">
      <c r="A6" s="799"/>
      <c r="B6" s="800">
        <v>2</v>
      </c>
      <c r="C6" s="801"/>
      <c r="D6" s="806" t="s">
        <v>555</v>
      </c>
      <c r="E6" s="803"/>
      <c r="F6" s="817"/>
      <c r="G6" s="803"/>
      <c r="H6" s="1079">
        <f>631.4+1006.8+443</f>
        <v>2081.2</v>
      </c>
      <c r="I6" s="804"/>
      <c r="J6" s="805"/>
      <c r="K6" s="831"/>
      <c r="L6" s="831"/>
      <c r="M6" s="831">
        <f aca="true" t="shared" si="0" ref="M6:M13">E6+G6</f>
        <v>0</v>
      </c>
      <c r="N6" s="838">
        <f aca="true" t="shared" si="1" ref="N6:N13">F6+J6+K6+L6+H6</f>
        <v>2081.2</v>
      </c>
    </row>
    <row r="7" spans="1:14" s="297" customFormat="1" ht="58.5" customHeight="1">
      <c r="A7" s="799"/>
      <c r="B7" s="800">
        <v>3</v>
      </c>
      <c r="C7" s="801"/>
      <c r="D7" s="806" t="s">
        <v>528</v>
      </c>
      <c r="E7" s="1078">
        <v>6</v>
      </c>
      <c r="F7" s="1079">
        <v>383.4</v>
      </c>
      <c r="G7" s="803"/>
      <c r="H7" s="1079"/>
      <c r="I7" s="804"/>
      <c r="J7" s="805"/>
      <c r="K7" s="831"/>
      <c r="L7" s="831"/>
      <c r="M7" s="831">
        <f t="shared" si="0"/>
        <v>6</v>
      </c>
      <c r="N7" s="838">
        <f t="shared" si="1"/>
        <v>383.4</v>
      </c>
    </row>
    <row r="8" spans="1:14" s="297" customFormat="1" ht="21.75">
      <c r="A8" s="799"/>
      <c r="B8" s="800">
        <v>4</v>
      </c>
      <c r="C8" s="801" t="s">
        <v>113</v>
      </c>
      <c r="D8" s="806" t="s">
        <v>556</v>
      </c>
      <c r="E8" s="803"/>
      <c r="F8" s="817"/>
      <c r="G8" s="803"/>
      <c r="H8" s="1079">
        <v>20.9</v>
      </c>
      <c r="I8" s="804"/>
      <c r="J8" s="805"/>
      <c r="K8" s="831"/>
      <c r="L8" s="831"/>
      <c r="M8" s="831">
        <f t="shared" si="0"/>
        <v>0</v>
      </c>
      <c r="N8" s="838">
        <f t="shared" si="1"/>
        <v>20.9</v>
      </c>
    </row>
    <row r="9" spans="1:14" s="297" customFormat="1" ht="40.5">
      <c r="A9" s="799"/>
      <c r="B9" s="800">
        <v>5</v>
      </c>
      <c r="C9" s="801" t="s">
        <v>72</v>
      </c>
      <c r="D9" s="806" t="s">
        <v>532</v>
      </c>
      <c r="E9" s="803"/>
      <c r="F9" s="817"/>
      <c r="G9" s="803"/>
      <c r="H9" s="1079"/>
      <c r="I9" s="804">
        <v>2</v>
      </c>
      <c r="J9" s="1097">
        <v>27.4</v>
      </c>
      <c r="K9" s="831"/>
      <c r="L9" s="831"/>
      <c r="M9" s="831">
        <f t="shared" si="0"/>
        <v>0</v>
      </c>
      <c r="N9" s="838">
        <f t="shared" si="1"/>
        <v>27.4</v>
      </c>
    </row>
    <row r="10" spans="1:14" s="297" customFormat="1" ht="21.75">
      <c r="A10" s="799"/>
      <c r="B10" s="800">
        <v>6</v>
      </c>
      <c r="C10" s="801"/>
      <c r="D10" s="806" t="s">
        <v>556</v>
      </c>
      <c r="E10" s="803"/>
      <c r="F10" s="817"/>
      <c r="G10" s="803"/>
      <c r="H10" s="1079">
        <f>205.5</f>
        <v>205.5</v>
      </c>
      <c r="I10" s="804"/>
      <c r="J10" s="1097"/>
      <c r="K10" s="831"/>
      <c r="L10" s="831"/>
      <c r="M10" s="831">
        <f>E10+G10</f>
        <v>0</v>
      </c>
      <c r="N10" s="838">
        <f>F10+J10+K10+L10+H10</f>
        <v>205.5</v>
      </c>
    </row>
    <row r="11" spans="1:14" s="297" customFormat="1" ht="21.75">
      <c r="A11" s="799"/>
      <c r="B11" s="800">
        <v>7</v>
      </c>
      <c r="C11" s="801" t="s">
        <v>84</v>
      </c>
      <c r="D11" s="806" t="s">
        <v>313</v>
      </c>
      <c r="E11" s="803"/>
      <c r="F11" s="817"/>
      <c r="G11" s="803"/>
      <c r="H11" s="1079">
        <v>242.6</v>
      </c>
      <c r="I11" s="804"/>
      <c r="J11" s="805"/>
      <c r="K11" s="831"/>
      <c r="L11" s="831"/>
      <c r="M11" s="831">
        <f t="shared" si="0"/>
        <v>0</v>
      </c>
      <c r="N11" s="838">
        <f t="shared" si="1"/>
        <v>242.6</v>
      </c>
    </row>
    <row r="12" spans="1:14" s="294" customFormat="1" ht="63.75" customHeight="1">
      <c r="A12" s="799"/>
      <c r="B12" s="800">
        <v>8</v>
      </c>
      <c r="C12" s="801"/>
      <c r="D12" s="807" t="s">
        <v>526</v>
      </c>
      <c r="E12" s="801"/>
      <c r="F12" s="818"/>
      <c r="G12" s="801"/>
      <c r="H12" s="818"/>
      <c r="I12" s="1078">
        <v>7</v>
      </c>
      <c r="J12" s="1098">
        <v>565.7</v>
      </c>
      <c r="K12" s="832"/>
      <c r="L12" s="832"/>
      <c r="M12" s="831">
        <f t="shared" si="0"/>
        <v>0</v>
      </c>
      <c r="N12" s="838">
        <f t="shared" si="1"/>
        <v>565.7</v>
      </c>
    </row>
    <row r="13" spans="1:14" s="294" customFormat="1" ht="21.75">
      <c r="A13" s="799"/>
      <c r="B13" s="800">
        <v>9</v>
      </c>
      <c r="C13" s="801" t="s">
        <v>154</v>
      </c>
      <c r="D13" s="807" t="s">
        <v>313</v>
      </c>
      <c r="E13" s="801"/>
      <c r="F13" s="818"/>
      <c r="G13" s="801"/>
      <c r="H13" s="818">
        <v>440.3</v>
      </c>
      <c r="I13" s="808"/>
      <c r="J13" s="809"/>
      <c r="K13" s="832"/>
      <c r="L13" s="832"/>
      <c r="M13" s="831">
        <f t="shared" si="0"/>
        <v>0</v>
      </c>
      <c r="N13" s="838">
        <f t="shared" si="1"/>
        <v>440.3</v>
      </c>
    </row>
    <row r="14" spans="1:14" s="294" customFormat="1" ht="41.25" customHeight="1">
      <c r="A14" s="799"/>
      <c r="B14" s="800">
        <v>10</v>
      </c>
      <c r="C14" s="801" t="s">
        <v>74</v>
      </c>
      <c r="D14" s="807" t="s">
        <v>558</v>
      </c>
      <c r="E14" s="801"/>
      <c r="F14" s="818"/>
      <c r="G14" s="801"/>
      <c r="H14" s="1082">
        <f>1850.9+2650.2+1578.6</f>
        <v>6079.700000000001</v>
      </c>
      <c r="I14" s="808"/>
      <c r="J14" s="809"/>
      <c r="K14" s="832"/>
      <c r="L14" s="832"/>
      <c r="M14" s="831">
        <f aca="true" t="shared" si="2" ref="M14:M19">E14+G14</f>
        <v>0</v>
      </c>
      <c r="N14" s="838">
        <f aca="true" t="shared" si="3" ref="N14:N19">F14+J14+K14+L14+H14</f>
        <v>6079.700000000001</v>
      </c>
    </row>
    <row r="15" spans="1:14" s="294" customFormat="1" ht="21.75">
      <c r="A15" s="799"/>
      <c r="B15" s="800">
        <v>11</v>
      </c>
      <c r="C15" s="801" t="s">
        <v>159</v>
      </c>
      <c r="D15" s="807" t="s">
        <v>557</v>
      </c>
      <c r="E15" s="801"/>
      <c r="F15" s="818"/>
      <c r="G15" s="801"/>
      <c r="H15" s="1082">
        <v>342.1</v>
      </c>
      <c r="I15" s="808"/>
      <c r="J15" s="809"/>
      <c r="K15" s="832"/>
      <c r="L15" s="832"/>
      <c r="M15" s="831">
        <f t="shared" si="2"/>
        <v>0</v>
      </c>
      <c r="N15" s="838">
        <f t="shared" si="3"/>
        <v>342.1</v>
      </c>
    </row>
    <row r="16" spans="1:14" s="294" customFormat="1" ht="60.75">
      <c r="A16" s="799"/>
      <c r="B16" s="800">
        <v>12</v>
      </c>
      <c r="C16" s="801" t="s">
        <v>76</v>
      </c>
      <c r="D16" s="807" t="s">
        <v>559</v>
      </c>
      <c r="E16" s="801"/>
      <c r="F16" s="818"/>
      <c r="G16" s="801"/>
      <c r="H16" s="1082">
        <v>629</v>
      </c>
      <c r="I16" s="808"/>
      <c r="J16" s="809"/>
      <c r="K16" s="832"/>
      <c r="L16" s="832"/>
      <c r="M16" s="831">
        <f t="shared" si="2"/>
        <v>0</v>
      </c>
      <c r="N16" s="838">
        <f t="shared" si="3"/>
        <v>629</v>
      </c>
    </row>
    <row r="17" spans="1:14" s="294" customFormat="1" ht="60.75">
      <c r="A17" s="799"/>
      <c r="B17" s="800">
        <v>13</v>
      </c>
      <c r="C17" s="801" t="s">
        <v>77</v>
      </c>
      <c r="D17" s="807" t="s">
        <v>533</v>
      </c>
      <c r="E17" s="801"/>
      <c r="F17" s="818"/>
      <c r="G17" s="801"/>
      <c r="H17" s="1082"/>
      <c r="I17" s="1078">
        <v>1</v>
      </c>
      <c r="J17" s="1100">
        <v>24.9</v>
      </c>
      <c r="K17" s="832"/>
      <c r="L17" s="832"/>
      <c r="M17" s="831">
        <f t="shared" si="2"/>
        <v>0</v>
      </c>
      <c r="N17" s="838">
        <f t="shared" si="3"/>
        <v>24.9</v>
      </c>
    </row>
    <row r="18" spans="1:14" s="294" customFormat="1" ht="21.75">
      <c r="A18" s="799"/>
      <c r="B18" s="800">
        <v>14</v>
      </c>
      <c r="C18" s="801"/>
      <c r="D18" s="807" t="s">
        <v>560</v>
      </c>
      <c r="E18" s="801"/>
      <c r="F18" s="818"/>
      <c r="G18" s="801"/>
      <c r="H18" s="1082">
        <v>9</v>
      </c>
      <c r="I18" s="1078"/>
      <c r="J18" s="1083"/>
      <c r="K18" s="832"/>
      <c r="L18" s="832"/>
      <c r="M18" s="831">
        <f>E18+G18</f>
        <v>0</v>
      </c>
      <c r="N18" s="838">
        <f>F18+J18+K18+L18+H18</f>
        <v>9</v>
      </c>
    </row>
    <row r="19" spans="1:14" s="294" customFormat="1" ht="21.75">
      <c r="A19" s="799"/>
      <c r="B19" s="800">
        <v>15</v>
      </c>
      <c r="C19" s="801" t="s">
        <v>78</v>
      </c>
      <c r="D19" s="807" t="s">
        <v>561</v>
      </c>
      <c r="E19" s="801"/>
      <c r="F19" s="818"/>
      <c r="G19" s="801"/>
      <c r="H19" s="1082">
        <v>169.4</v>
      </c>
      <c r="I19" s="808"/>
      <c r="J19" s="809"/>
      <c r="K19" s="832"/>
      <c r="L19" s="832"/>
      <c r="M19" s="831">
        <f t="shared" si="2"/>
        <v>0</v>
      </c>
      <c r="N19" s="838">
        <f t="shared" si="3"/>
        <v>169.4</v>
      </c>
    </row>
    <row r="20" spans="1:14" s="294" customFormat="1" ht="60.75">
      <c r="A20" s="799"/>
      <c r="B20" s="800">
        <v>16</v>
      </c>
      <c r="C20" s="801"/>
      <c r="D20" s="807" t="s">
        <v>529</v>
      </c>
      <c r="E20" s="1081">
        <v>13</v>
      </c>
      <c r="F20" s="1082">
        <v>1050.6</v>
      </c>
      <c r="G20" s="801"/>
      <c r="H20" s="818"/>
      <c r="I20" s="808"/>
      <c r="J20" s="809"/>
      <c r="K20" s="832"/>
      <c r="L20" s="832"/>
      <c r="M20" s="831">
        <f>E20+G20</f>
        <v>13</v>
      </c>
      <c r="N20" s="838">
        <f>F20+J20+K20+L20+H20</f>
        <v>1050.6</v>
      </c>
    </row>
    <row r="21" spans="1:14" s="297" customFormat="1" ht="81">
      <c r="A21" s="799"/>
      <c r="B21" s="800">
        <v>17</v>
      </c>
      <c r="C21" s="801"/>
      <c r="D21" s="810" t="s">
        <v>527</v>
      </c>
      <c r="E21" s="1078">
        <v>20</v>
      </c>
      <c r="F21" s="1080">
        <v>1562.9</v>
      </c>
      <c r="G21" s="803"/>
      <c r="H21" s="819"/>
      <c r="I21" s="804"/>
      <c r="J21" s="805"/>
      <c r="K21" s="831"/>
      <c r="L21" s="831"/>
      <c r="M21" s="831">
        <f>E21+G21</f>
        <v>20</v>
      </c>
      <c r="N21" s="838">
        <f>F21+J21+K21+L21+H21</f>
        <v>1562.9</v>
      </c>
    </row>
    <row r="22" spans="1:14" s="297" customFormat="1" ht="21.75">
      <c r="A22" s="799"/>
      <c r="B22" s="800">
        <v>18</v>
      </c>
      <c r="C22" s="801" t="s">
        <v>314</v>
      </c>
      <c r="D22" s="810" t="s">
        <v>556</v>
      </c>
      <c r="E22" s="803"/>
      <c r="F22" s="819"/>
      <c r="G22" s="803"/>
      <c r="H22" s="1080">
        <v>12.7</v>
      </c>
      <c r="I22" s="804"/>
      <c r="J22" s="805"/>
      <c r="K22" s="831"/>
      <c r="L22" s="831"/>
      <c r="M22" s="831">
        <f>E22+G22</f>
        <v>0</v>
      </c>
      <c r="N22" s="838">
        <f>F22+J22+K22+L22+H22</f>
        <v>12.7</v>
      </c>
    </row>
    <row r="23" spans="1:14" s="297" customFormat="1" ht="60.75">
      <c r="A23" s="799"/>
      <c r="B23" s="800">
        <v>19</v>
      </c>
      <c r="C23" s="801" t="s">
        <v>92</v>
      </c>
      <c r="D23" s="810" t="s">
        <v>562</v>
      </c>
      <c r="E23" s="803"/>
      <c r="F23" s="819"/>
      <c r="G23" s="803"/>
      <c r="H23" s="1080">
        <f>733+373.9</f>
        <v>1106.9</v>
      </c>
      <c r="I23" s="804"/>
      <c r="J23" s="805"/>
      <c r="K23" s="831"/>
      <c r="L23" s="831"/>
      <c r="M23" s="831">
        <f>E23+G23</f>
        <v>0</v>
      </c>
      <c r="N23" s="838">
        <f>F23+J23+K23+L23+H23</f>
        <v>1106.9</v>
      </c>
    </row>
    <row r="24" spans="1:14" s="297" customFormat="1" ht="40.5">
      <c r="A24" s="799"/>
      <c r="B24" s="800">
        <v>20</v>
      </c>
      <c r="C24" s="801" t="s">
        <v>530</v>
      </c>
      <c r="D24" s="810" t="s">
        <v>531</v>
      </c>
      <c r="E24" s="1078">
        <v>15</v>
      </c>
      <c r="F24" s="1080">
        <v>1795.5</v>
      </c>
      <c r="G24" s="803"/>
      <c r="H24" s="819"/>
      <c r="I24" s="804"/>
      <c r="J24" s="805"/>
      <c r="K24" s="831"/>
      <c r="L24" s="831"/>
      <c r="M24" s="831">
        <f>E24+G24</f>
        <v>15</v>
      </c>
      <c r="N24" s="838">
        <f>F24+J24+K24+L24+H24</f>
        <v>1795.5</v>
      </c>
    </row>
    <row r="25" spans="1:14" s="294" customFormat="1" ht="24" customHeight="1">
      <c r="A25" s="786"/>
      <c r="B25" s="787"/>
      <c r="C25" s="788"/>
      <c r="D25" s="789"/>
      <c r="E25" s="984">
        <f>SUM(E5:E24)</f>
        <v>92</v>
      </c>
      <c r="F25" s="983">
        <f>SUM(F5:F24)</f>
        <v>8377.4</v>
      </c>
      <c r="G25" s="984">
        <f aca="true" t="shared" si="4" ref="G25:N25">SUM(G5:G24)</f>
        <v>0</v>
      </c>
      <c r="H25" s="983">
        <f t="shared" si="4"/>
        <v>11339.300000000001</v>
      </c>
      <c r="I25" s="984">
        <f t="shared" si="4"/>
        <v>10</v>
      </c>
      <c r="J25" s="983">
        <f t="shared" si="4"/>
        <v>618</v>
      </c>
      <c r="K25" s="983"/>
      <c r="L25" s="983"/>
      <c r="M25" s="984">
        <f t="shared" si="4"/>
        <v>92</v>
      </c>
      <c r="N25" s="983">
        <f t="shared" si="4"/>
        <v>20334.700000000004</v>
      </c>
    </row>
    <row r="26" spans="1:14" s="297" customFormat="1" ht="70.5" customHeight="1">
      <c r="A26" s="811" t="s">
        <v>318</v>
      </c>
      <c r="B26" s="812">
        <v>21</v>
      </c>
      <c r="C26" s="1128" t="s">
        <v>81</v>
      </c>
      <c r="D26" s="1129" t="s">
        <v>553</v>
      </c>
      <c r="E26" s="1078">
        <v>25</v>
      </c>
      <c r="F26" s="1080">
        <v>148</v>
      </c>
      <c r="G26" s="803"/>
      <c r="H26" s="819"/>
      <c r="I26" s="804"/>
      <c r="J26" s="805"/>
      <c r="K26" s="831"/>
      <c r="L26" s="831"/>
      <c r="M26" s="831">
        <f>E26+G26</f>
        <v>25</v>
      </c>
      <c r="N26" s="838">
        <f>F26+J26+K26+L26+H26</f>
        <v>148</v>
      </c>
    </row>
    <row r="27" spans="1:14" s="297" customFormat="1" ht="40.5">
      <c r="A27" s="811"/>
      <c r="B27" s="812">
        <v>22</v>
      </c>
      <c r="C27" s="801" t="s">
        <v>77</v>
      </c>
      <c r="D27" s="810" t="s">
        <v>554</v>
      </c>
      <c r="E27" s="803"/>
      <c r="F27" s="819"/>
      <c r="G27" s="803"/>
      <c r="H27" s="819"/>
      <c r="I27" s="804"/>
      <c r="J27" s="805"/>
      <c r="K27" s="831"/>
      <c r="L27" s="831"/>
      <c r="M27" s="831"/>
      <c r="N27" s="838"/>
    </row>
    <row r="28" spans="1:14" s="297" customFormat="1" ht="60.75">
      <c r="A28" s="811"/>
      <c r="B28" s="812"/>
      <c r="C28" s="801"/>
      <c r="D28" s="1096" t="s">
        <v>603</v>
      </c>
      <c r="E28" s="1078">
        <v>14</v>
      </c>
      <c r="F28" s="1080">
        <v>643.5</v>
      </c>
      <c r="G28" s="803"/>
      <c r="H28" s="819"/>
      <c r="I28" s="804"/>
      <c r="J28" s="805"/>
      <c r="K28" s="831"/>
      <c r="L28" s="831"/>
      <c r="M28" s="831">
        <f>E28+G28</f>
        <v>14</v>
      </c>
      <c r="N28" s="838">
        <f>F28+J28+K28+L28+H28</f>
        <v>643.5</v>
      </c>
    </row>
    <row r="29" spans="1:14" s="297" customFormat="1" ht="60.75" customHeight="1">
      <c r="A29" s="811"/>
      <c r="B29" s="812"/>
      <c r="C29" s="801"/>
      <c r="D29" s="1096" t="s">
        <v>604</v>
      </c>
      <c r="E29" s="1078">
        <v>14</v>
      </c>
      <c r="F29" s="1080">
        <v>697.8</v>
      </c>
      <c r="G29" s="803"/>
      <c r="H29" s="819"/>
      <c r="I29" s="804"/>
      <c r="J29" s="805"/>
      <c r="K29" s="831"/>
      <c r="L29" s="831"/>
      <c r="M29" s="831">
        <f>E29+G29</f>
        <v>14</v>
      </c>
      <c r="N29" s="838">
        <f>F29+J29+K29+L29+H29</f>
        <v>697.8</v>
      </c>
    </row>
    <row r="30" spans="1:14" s="297" customFormat="1" ht="37.5" customHeight="1">
      <c r="A30" s="799"/>
      <c r="B30" s="812">
        <v>23</v>
      </c>
      <c r="C30" s="801"/>
      <c r="D30" s="810" t="s">
        <v>551</v>
      </c>
      <c r="E30" s="1078">
        <v>6</v>
      </c>
      <c r="F30" s="1080">
        <f>114*1.1</f>
        <v>125.4</v>
      </c>
      <c r="G30" s="803"/>
      <c r="H30" s="819"/>
      <c r="I30" s="804"/>
      <c r="J30" s="805"/>
      <c r="K30" s="831"/>
      <c r="L30" s="831"/>
      <c r="M30" s="831">
        <f>E30+G30</f>
        <v>6</v>
      </c>
      <c r="N30" s="838">
        <f>F30+J30+K30+L30+H30</f>
        <v>125.4</v>
      </c>
    </row>
    <row r="31" spans="1:14" s="294" customFormat="1" ht="24" customHeight="1">
      <c r="A31" s="786"/>
      <c r="B31" s="787"/>
      <c r="C31" s="788"/>
      <c r="D31" s="789" t="s">
        <v>183</v>
      </c>
      <c r="E31" s="789">
        <f>SUM(E26:E30)</f>
        <v>59</v>
      </c>
      <c r="F31" s="789">
        <f>SUM(F26:F30)</f>
        <v>1614.7</v>
      </c>
      <c r="G31" s="789"/>
      <c r="H31" s="885"/>
      <c r="I31" s="789"/>
      <c r="J31" s="885"/>
      <c r="K31" s="789"/>
      <c r="L31" s="885"/>
      <c r="M31" s="789">
        <f>SUM(M26:M30)</f>
        <v>59</v>
      </c>
      <c r="N31" s="789">
        <f>SUM(N26:N30)</f>
        <v>1614.7</v>
      </c>
    </row>
    <row r="32" spans="1:14" s="297" customFormat="1" ht="81.75" customHeight="1">
      <c r="A32" s="811" t="s">
        <v>538</v>
      </c>
      <c r="B32" s="812">
        <v>24</v>
      </c>
      <c r="C32" s="801" t="s">
        <v>113</v>
      </c>
      <c r="D32" s="810" t="s">
        <v>598</v>
      </c>
      <c r="E32" s="1078">
        <v>17</v>
      </c>
      <c r="F32" s="1080">
        <v>40.8</v>
      </c>
      <c r="G32" s="803"/>
      <c r="H32" s="819"/>
      <c r="I32" s="804"/>
      <c r="J32" s="805"/>
      <c r="K32" s="831"/>
      <c r="L32" s="831"/>
      <c r="M32" s="831">
        <f>E32+G32</f>
        <v>17</v>
      </c>
      <c r="N32" s="838">
        <f>F32+J32+K32+L32+H32</f>
        <v>40.8</v>
      </c>
    </row>
    <row r="33" spans="1:14" ht="41.25" customHeight="1">
      <c r="A33" s="1181"/>
      <c r="B33" s="812">
        <v>25</v>
      </c>
      <c r="C33" s="801" t="s">
        <v>77</v>
      </c>
      <c r="D33" s="810" t="s">
        <v>602</v>
      </c>
      <c r="E33" s="1078">
        <v>15</v>
      </c>
      <c r="F33" s="1080">
        <v>60.6</v>
      </c>
      <c r="G33" s="803"/>
      <c r="H33" s="819"/>
      <c r="I33" s="804"/>
      <c r="J33" s="805"/>
      <c r="K33" s="831"/>
      <c r="L33" s="831"/>
      <c r="M33" s="831">
        <f>E33+G33</f>
        <v>15</v>
      </c>
      <c r="N33" s="838">
        <f>F33+J33+K33+L33+H33</f>
        <v>60.6</v>
      </c>
    </row>
    <row r="34" spans="1:14" s="297" customFormat="1" ht="81">
      <c r="A34" s="811"/>
      <c r="B34" s="812">
        <v>26</v>
      </c>
      <c r="C34" s="801"/>
      <c r="D34" s="810" t="s">
        <v>539</v>
      </c>
      <c r="E34" s="1078">
        <v>25</v>
      </c>
      <c r="F34" s="1080">
        <v>1522.6</v>
      </c>
      <c r="G34" s="803"/>
      <c r="H34" s="819"/>
      <c r="I34" s="804"/>
      <c r="J34" s="805"/>
      <c r="K34" s="831"/>
      <c r="L34" s="831"/>
      <c r="M34" s="831">
        <f>E34+G34</f>
        <v>25</v>
      </c>
      <c r="N34" s="838">
        <f>F34+J34+K34+L34+H34</f>
        <v>1522.6</v>
      </c>
    </row>
    <row r="35" spans="1:14" s="297" customFormat="1" ht="60.75">
      <c r="A35" s="811"/>
      <c r="B35" s="812">
        <v>27</v>
      </c>
      <c r="C35" s="801" t="s">
        <v>92</v>
      </c>
      <c r="D35" s="810" t="s">
        <v>599</v>
      </c>
      <c r="E35" s="1078">
        <v>23</v>
      </c>
      <c r="F35" s="1080">
        <v>12.3</v>
      </c>
      <c r="G35" s="803"/>
      <c r="H35" s="819"/>
      <c r="I35" s="804"/>
      <c r="J35" s="805"/>
      <c r="K35" s="831"/>
      <c r="L35" s="831"/>
      <c r="M35" s="831">
        <f>E35+G35</f>
        <v>23</v>
      </c>
      <c r="N35" s="838">
        <f>F35+J35+K35+L35+H35</f>
        <v>12.3</v>
      </c>
    </row>
    <row r="36" spans="1:14" s="297" customFormat="1" ht="40.5">
      <c r="A36" s="799"/>
      <c r="B36" s="812">
        <v>28</v>
      </c>
      <c r="C36" s="801"/>
      <c r="D36" s="810" t="s">
        <v>600</v>
      </c>
      <c r="E36" s="1078">
        <v>18</v>
      </c>
      <c r="F36" s="1080">
        <v>1078.7</v>
      </c>
      <c r="G36" s="803"/>
      <c r="H36" s="819"/>
      <c r="I36" s="804"/>
      <c r="J36" s="805"/>
      <c r="K36" s="831"/>
      <c r="L36" s="831"/>
      <c r="M36" s="831">
        <f>E36+G36</f>
        <v>18</v>
      </c>
      <c r="N36" s="838">
        <f>F36+J36+K36+L36+H36</f>
        <v>1078.7</v>
      </c>
    </row>
    <row r="37" spans="1:14" s="294" customFormat="1" ht="24" customHeight="1">
      <c r="A37" s="786"/>
      <c r="B37" s="787"/>
      <c r="C37" s="788"/>
      <c r="D37" s="789" t="s">
        <v>183</v>
      </c>
      <c r="E37" s="789">
        <f aca="true" t="shared" si="5" ref="E37:N37">SUM(E32:E36)</f>
        <v>98</v>
      </c>
      <c r="F37" s="1099">
        <f t="shared" si="5"/>
        <v>2715</v>
      </c>
      <c r="G37" s="789"/>
      <c r="H37" s="1090"/>
      <c r="I37" s="789">
        <f t="shared" si="5"/>
        <v>0</v>
      </c>
      <c r="J37" s="789">
        <f t="shared" si="5"/>
        <v>0</v>
      </c>
      <c r="K37" s="885"/>
      <c r="L37" s="885"/>
      <c r="M37" s="789">
        <f t="shared" si="5"/>
        <v>98</v>
      </c>
      <c r="N37" s="1099">
        <f t="shared" si="5"/>
        <v>2715</v>
      </c>
    </row>
    <row r="38" spans="1:14" s="297" customFormat="1" ht="40.5">
      <c r="A38" s="811" t="s">
        <v>610</v>
      </c>
      <c r="B38" s="812">
        <v>29</v>
      </c>
      <c r="C38" s="801" t="s">
        <v>159</v>
      </c>
      <c r="D38" s="810" t="s">
        <v>611</v>
      </c>
      <c r="E38" s="1078">
        <v>23</v>
      </c>
      <c r="F38" s="1080">
        <f>128.6+39.9+242.3+242.3+42+32.5+84+21+21+32.6+32.6+52.8+31.8+63+34.3+34.3</f>
        <v>1135</v>
      </c>
      <c r="G38" s="803"/>
      <c r="H38" s="819"/>
      <c r="I38" s="804"/>
      <c r="J38" s="805"/>
      <c r="K38" s="831"/>
      <c r="L38" s="831"/>
      <c r="M38" s="831">
        <f>E38+G38</f>
        <v>23</v>
      </c>
      <c r="N38" s="838">
        <f>F38+J38+K38+L38+H38</f>
        <v>1135</v>
      </c>
    </row>
    <row r="39" spans="1:14" s="294" customFormat="1" ht="24" customHeight="1">
      <c r="A39" s="786"/>
      <c r="B39" s="787"/>
      <c r="C39" s="788"/>
      <c r="D39" s="789" t="s">
        <v>183</v>
      </c>
      <c r="E39" s="789">
        <f>SUM(E38)</f>
        <v>23</v>
      </c>
      <c r="F39" s="1099">
        <f>SUM(F38)</f>
        <v>1135</v>
      </c>
      <c r="G39" s="789"/>
      <c r="H39" s="1090"/>
      <c r="I39" s="789"/>
      <c r="J39" s="789"/>
      <c r="K39" s="885"/>
      <c r="L39" s="885"/>
      <c r="M39" s="789">
        <f>SUM(M38)</f>
        <v>23</v>
      </c>
      <c r="N39" s="1099">
        <f>SUM(N38)</f>
        <v>1135</v>
      </c>
    </row>
    <row r="40" spans="1:14" s="297" customFormat="1" ht="39.75" customHeight="1">
      <c r="A40" s="811" t="s">
        <v>181</v>
      </c>
      <c r="B40" s="812">
        <v>30</v>
      </c>
      <c r="C40" s="801" t="s">
        <v>78</v>
      </c>
      <c r="D40" s="810" t="s">
        <v>549</v>
      </c>
      <c r="E40" s="1078">
        <v>10</v>
      </c>
      <c r="F40" s="1080">
        <v>85.1</v>
      </c>
      <c r="G40" s="803"/>
      <c r="H40" s="819"/>
      <c r="I40" s="804"/>
      <c r="J40" s="805"/>
      <c r="K40" s="831"/>
      <c r="L40" s="831"/>
      <c r="M40" s="831">
        <f>E40+G40</f>
        <v>10</v>
      </c>
      <c r="N40" s="838">
        <f>F40+J40+K40+L40+H40</f>
        <v>85.1</v>
      </c>
    </row>
    <row r="41" spans="1:14" s="297" customFormat="1" ht="59.25" customHeight="1">
      <c r="A41" s="811"/>
      <c r="B41" s="812">
        <v>31</v>
      </c>
      <c r="C41" s="801"/>
      <c r="D41" s="810" t="s">
        <v>550</v>
      </c>
      <c r="E41" s="1078">
        <v>9</v>
      </c>
      <c r="F41" s="1080">
        <v>117.3</v>
      </c>
      <c r="G41" s="803"/>
      <c r="H41" s="819"/>
      <c r="I41" s="804"/>
      <c r="J41" s="805"/>
      <c r="K41" s="831"/>
      <c r="L41" s="831"/>
      <c r="M41" s="831">
        <f>E41+G41</f>
        <v>9</v>
      </c>
      <c r="N41" s="838">
        <f>F41+J41+K41+L41+H41</f>
        <v>117.3</v>
      </c>
    </row>
    <row r="42" spans="1:14" s="297" customFormat="1" ht="58.5" customHeight="1">
      <c r="A42" s="799"/>
      <c r="B42" s="812">
        <v>32</v>
      </c>
      <c r="C42" s="801"/>
      <c r="D42" s="810" t="s">
        <v>552</v>
      </c>
      <c r="E42" s="1078">
        <v>9</v>
      </c>
      <c r="F42" s="1080">
        <v>117.3</v>
      </c>
      <c r="G42" s="803"/>
      <c r="H42" s="819"/>
      <c r="I42" s="804"/>
      <c r="J42" s="805"/>
      <c r="K42" s="831"/>
      <c r="L42" s="831"/>
      <c r="M42" s="831">
        <f>E42+G42</f>
        <v>9</v>
      </c>
      <c r="N42" s="838">
        <f>F42+J42+K42+L42+H42</f>
        <v>117.3</v>
      </c>
    </row>
    <row r="43" spans="1:14" s="294" customFormat="1" ht="24" customHeight="1" thickBot="1">
      <c r="A43" s="786"/>
      <c r="B43" s="787"/>
      <c r="C43" s="788"/>
      <c r="D43" s="789" t="s">
        <v>183</v>
      </c>
      <c r="E43" s="789">
        <f>SUM(E40:E42)</f>
        <v>28</v>
      </c>
      <c r="F43" s="821">
        <f>SUM(F40:F42)</f>
        <v>319.7</v>
      </c>
      <c r="G43" s="789"/>
      <c r="H43" s="821"/>
      <c r="I43" s="789"/>
      <c r="J43" s="792"/>
      <c r="K43" s="820"/>
      <c r="L43" s="821"/>
      <c r="M43" s="904">
        <f>SUM(M40:M42)</f>
        <v>28</v>
      </c>
      <c r="N43" s="792">
        <f>SUM(N40:N42)</f>
        <v>319.7</v>
      </c>
    </row>
    <row r="44" spans="1:14" s="305" customFormat="1" ht="18.75" customHeight="1" thickBot="1">
      <c r="A44" s="793"/>
      <c r="B44" s="794"/>
      <c r="C44" s="795"/>
      <c r="D44" s="796" t="s">
        <v>60</v>
      </c>
      <c r="E44" s="797">
        <f aca="true" t="shared" si="6" ref="E44:N44">SUM(E4:E43)/2</f>
        <v>300</v>
      </c>
      <c r="F44" s="822">
        <f t="shared" si="6"/>
        <v>14161.799999999997</v>
      </c>
      <c r="G44" s="797">
        <f t="shared" si="6"/>
        <v>0</v>
      </c>
      <c r="H44" s="822">
        <f t="shared" si="6"/>
        <v>11339.300000000001</v>
      </c>
      <c r="I44" s="797">
        <f t="shared" si="6"/>
        <v>10</v>
      </c>
      <c r="J44" s="822">
        <f t="shared" si="6"/>
        <v>618</v>
      </c>
      <c r="K44" s="797">
        <f t="shared" si="6"/>
        <v>0</v>
      </c>
      <c r="L44" s="797">
        <f t="shared" si="6"/>
        <v>0</v>
      </c>
      <c r="M44" s="797">
        <f t="shared" si="6"/>
        <v>300</v>
      </c>
      <c r="N44" s="822">
        <f t="shared" si="6"/>
        <v>26119.100000000006</v>
      </c>
    </row>
    <row r="45" spans="1:14" s="121" customFormat="1" ht="19.5" customHeight="1">
      <c r="A45" s="101"/>
      <c r="B45" s="205"/>
      <c r="C45" s="101"/>
      <c r="D45" s="195"/>
      <c r="E45" s="144"/>
      <c r="F45" s="823"/>
      <c r="G45" s="144"/>
      <c r="H45" s="823"/>
      <c r="I45" s="775"/>
      <c r="J45" s="556"/>
      <c r="K45" s="833"/>
      <c r="L45" s="833"/>
      <c r="M45" s="833"/>
      <c r="N45" s="988"/>
    </row>
    <row r="46" spans="1:14" s="121" customFormat="1" ht="19.5" customHeight="1">
      <c r="A46" s="95"/>
      <c r="B46" s="95"/>
      <c r="C46" s="95"/>
      <c r="D46" s="195"/>
      <c r="E46" s="144"/>
      <c r="F46" s="287"/>
      <c r="G46" s="144"/>
      <c r="H46" s="287"/>
      <c r="I46" s="775"/>
      <c r="J46" s="556"/>
      <c r="K46" s="833"/>
      <c r="L46" s="833"/>
      <c r="M46" s="833"/>
      <c r="N46" s="556"/>
    </row>
    <row r="47" spans="1:14" s="7" customFormat="1" ht="18.75" customHeight="1">
      <c r="A47" s="143"/>
      <c r="B47" s="143"/>
      <c r="C47" s="143"/>
      <c r="D47" s="194"/>
      <c r="E47" s="212"/>
      <c r="F47" s="289"/>
      <c r="G47" s="212"/>
      <c r="H47" s="289"/>
      <c r="I47" s="668"/>
      <c r="J47" s="777"/>
      <c r="K47" s="834"/>
      <c r="L47" s="834"/>
      <c r="M47" s="834"/>
      <c r="N47" s="777"/>
    </row>
    <row r="48" spans="1:14" s="7" customFormat="1" ht="18.75" customHeight="1">
      <c r="A48" s="143"/>
      <c r="B48" s="143"/>
      <c r="C48" s="143"/>
      <c r="D48" s="194"/>
      <c r="E48" s="144"/>
      <c r="F48" s="287"/>
      <c r="G48" s="144"/>
      <c r="H48" s="287"/>
      <c r="I48" s="668"/>
      <c r="J48" s="777"/>
      <c r="K48" s="834"/>
      <c r="L48" s="834"/>
      <c r="M48" s="834"/>
      <c r="N48" s="777"/>
    </row>
    <row r="49" spans="1:14" s="7" customFormat="1" ht="18.75" customHeight="1">
      <c r="A49" s="143"/>
      <c r="B49" s="143"/>
      <c r="C49" s="143"/>
      <c r="D49" s="194"/>
      <c r="E49" s="212"/>
      <c r="F49" s="289"/>
      <c r="G49" s="212"/>
      <c r="H49" s="289"/>
      <c r="I49" s="668"/>
      <c r="J49" s="777"/>
      <c r="K49" s="834"/>
      <c r="L49" s="834"/>
      <c r="M49" s="834"/>
      <c r="N49" s="777"/>
    </row>
    <row r="50" spans="1:14" s="7" customFormat="1" ht="18.75" customHeight="1">
      <c r="A50" s="143"/>
      <c r="B50" s="143"/>
      <c r="C50" s="143"/>
      <c r="D50" s="194"/>
      <c r="E50" s="212"/>
      <c r="F50" s="287"/>
      <c r="G50" s="212"/>
      <c r="H50" s="287"/>
      <c r="I50" s="668"/>
      <c r="J50" s="777"/>
      <c r="K50" s="834"/>
      <c r="L50" s="834"/>
      <c r="M50" s="834"/>
      <c r="N50" s="777"/>
    </row>
    <row r="51" spans="1:14" s="7" customFormat="1" ht="18.75" customHeight="1">
      <c r="A51" s="143"/>
      <c r="B51" s="143"/>
      <c r="C51" s="143"/>
      <c r="D51" s="194"/>
      <c r="E51" s="144"/>
      <c r="F51" s="287"/>
      <c r="G51" s="144"/>
      <c r="H51" s="287"/>
      <c r="I51" s="668"/>
      <c r="J51" s="777"/>
      <c r="K51" s="834"/>
      <c r="L51" s="834"/>
      <c r="M51" s="834"/>
      <c r="N51" s="777"/>
    </row>
    <row r="52" spans="1:14" s="7" customFormat="1" ht="18.75" customHeight="1">
      <c r="A52" s="143"/>
      <c r="B52" s="143"/>
      <c r="C52" s="143"/>
      <c r="D52" s="194"/>
      <c r="E52" s="144"/>
      <c r="F52" s="287"/>
      <c r="G52" s="144"/>
      <c r="H52" s="287"/>
      <c r="I52" s="668"/>
      <c r="J52" s="777"/>
      <c r="K52" s="834"/>
      <c r="L52" s="834"/>
      <c r="M52" s="834"/>
      <c r="N52" s="777"/>
    </row>
    <row r="53" spans="1:14" s="121" customFormat="1" ht="19.5" customHeight="1">
      <c r="A53" s="143"/>
      <c r="B53" s="143"/>
      <c r="C53" s="143"/>
      <c r="D53" s="193"/>
      <c r="E53" s="144"/>
      <c r="F53" s="287"/>
      <c r="G53" s="144"/>
      <c r="H53" s="287"/>
      <c r="I53" s="775"/>
      <c r="J53" s="556"/>
      <c r="K53" s="833"/>
      <c r="L53" s="833"/>
      <c r="M53" s="833"/>
      <c r="N53" s="556"/>
    </row>
    <row r="54" spans="1:14" s="121" customFormat="1" ht="19.5" customHeight="1">
      <c r="A54" s="143"/>
      <c r="B54" s="143"/>
      <c r="C54" s="143"/>
      <c r="D54" s="193"/>
      <c r="E54" s="144"/>
      <c r="F54" s="287"/>
      <c r="G54" s="144"/>
      <c r="H54" s="287"/>
      <c r="I54" s="775"/>
      <c r="J54" s="556"/>
      <c r="K54" s="833"/>
      <c r="L54" s="833"/>
      <c r="M54" s="833"/>
      <c r="N54" s="556"/>
    </row>
    <row r="55" spans="1:8" ht="21.75">
      <c r="A55" s="214"/>
      <c r="F55" s="824"/>
      <c r="H55" s="824"/>
    </row>
    <row r="56" spans="1:8" ht="21.75">
      <c r="A56" s="214"/>
      <c r="F56" s="824"/>
      <c r="H56" s="824"/>
    </row>
    <row r="57" spans="1:14" s="233" customFormat="1" ht="21.75" customHeight="1">
      <c r="A57" s="211"/>
      <c r="B57" s="211"/>
      <c r="C57" s="211"/>
      <c r="E57" s="232"/>
      <c r="F57" s="825"/>
      <c r="G57" s="232"/>
      <c r="H57" s="825"/>
      <c r="I57" s="232"/>
      <c r="J57" s="778"/>
      <c r="K57" s="835"/>
      <c r="L57" s="835"/>
      <c r="M57" s="835"/>
      <c r="N57" s="778"/>
    </row>
    <row r="58" spans="1:14" s="3" customFormat="1" ht="18" customHeight="1">
      <c r="A58" s="211"/>
      <c r="B58" s="211"/>
      <c r="C58" s="211"/>
      <c r="D58" s="196"/>
      <c r="E58" s="115"/>
      <c r="F58" s="826"/>
      <c r="G58" s="115"/>
      <c r="H58" s="826"/>
      <c r="I58" s="2"/>
      <c r="J58" s="779"/>
      <c r="K58" s="836"/>
      <c r="L58" s="836"/>
      <c r="M58" s="836"/>
      <c r="N58" s="779"/>
    </row>
    <row r="59" spans="1:14" ht="19.5" customHeight="1">
      <c r="A59" s="94"/>
      <c r="B59" s="94"/>
      <c r="C59" s="94"/>
      <c r="D59" s="197"/>
      <c r="F59" s="827"/>
      <c r="H59" s="827"/>
      <c r="I59" s="774"/>
      <c r="J59" s="780"/>
      <c r="K59" s="828"/>
      <c r="L59" s="828"/>
      <c r="M59" s="828"/>
      <c r="N59" s="780"/>
    </row>
    <row r="60" spans="2:14" ht="17.25">
      <c r="B60" s="94"/>
      <c r="C60" s="94"/>
      <c r="D60" s="197"/>
      <c r="F60" s="827"/>
      <c r="H60" s="827"/>
      <c r="I60" s="774"/>
      <c r="J60" s="780"/>
      <c r="K60" s="828"/>
      <c r="L60" s="828"/>
      <c r="M60" s="828"/>
      <c r="N60" s="780"/>
    </row>
    <row r="61" spans="2:14" ht="17.25">
      <c r="B61" s="94"/>
      <c r="C61" s="94"/>
      <c r="D61" s="197"/>
      <c r="F61" s="827"/>
      <c r="H61" s="827"/>
      <c r="I61" s="774"/>
      <c r="J61" s="780"/>
      <c r="K61" s="828"/>
      <c r="L61" s="828"/>
      <c r="M61" s="828"/>
      <c r="N61" s="780"/>
    </row>
    <row r="62" spans="2:14" ht="17.25">
      <c r="B62" s="94"/>
      <c r="C62" s="94"/>
      <c r="D62" s="197"/>
      <c r="F62" s="827"/>
      <c r="H62" s="827"/>
      <c r="I62" s="774"/>
      <c r="J62" s="780"/>
      <c r="K62" s="828"/>
      <c r="L62" s="828"/>
      <c r="M62" s="828"/>
      <c r="N62" s="780"/>
    </row>
    <row r="63" spans="2:14" ht="17.25">
      <c r="B63" s="94"/>
      <c r="C63" s="94"/>
      <c r="D63" s="197"/>
      <c r="F63" s="827"/>
      <c r="H63" s="827"/>
      <c r="I63" s="774"/>
      <c r="J63" s="780"/>
      <c r="K63" s="828"/>
      <c r="L63" s="828"/>
      <c r="M63" s="828"/>
      <c r="N63" s="780"/>
    </row>
    <row r="64" spans="2:14" ht="17.25">
      <c r="B64" s="94"/>
      <c r="C64" s="94"/>
      <c r="D64" s="197"/>
      <c r="F64" s="827"/>
      <c r="H64" s="827"/>
      <c r="I64" s="774"/>
      <c r="J64" s="780"/>
      <c r="K64" s="828"/>
      <c r="L64" s="828"/>
      <c r="M64" s="828"/>
      <c r="N64" s="780"/>
    </row>
    <row r="65" spans="2:14" ht="17.25">
      <c r="B65" s="94"/>
      <c r="C65" s="94"/>
      <c r="D65" s="197"/>
      <c r="F65" s="827"/>
      <c r="H65" s="827"/>
      <c r="I65" s="774"/>
      <c r="J65" s="780"/>
      <c r="K65" s="828"/>
      <c r="L65" s="828"/>
      <c r="M65" s="828"/>
      <c r="N65" s="780"/>
    </row>
    <row r="66" spans="2:14" ht="17.25">
      <c r="B66" s="94"/>
      <c r="C66" s="94"/>
      <c r="D66" s="197"/>
      <c r="F66" s="827"/>
      <c r="H66" s="827"/>
      <c r="I66" s="774"/>
      <c r="J66" s="780"/>
      <c r="K66" s="828"/>
      <c r="L66" s="828"/>
      <c r="M66" s="828"/>
      <c r="N66" s="780"/>
    </row>
    <row r="67" spans="2:14" ht="17.25">
      <c r="B67" s="94"/>
      <c r="C67" s="94"/>
      <c r="D67" s="197"/>
      <c r="F67" s="827"/>
      <c r="H67" s="827"/>
      <c r="I67" s="774"/>
      <c r="J67" s="780"/>
      <c r="K67" s="828"/>
      <c r="L67" s="828"/>
      <c r="M67" s="828"/>
      <c r="N67" s="780"/>
    </row>
    <row r="68" spans="2:14" ht="17.25">
      <c r="B68" s="94"/>
      <c r="C68" s="94"/>
      <c r="D68" s="197"/>
      <c r="F68" s="827"/>
      <c r="H68" s="827"/>
      <c r="I68" s="774"/>
      <c r="J68" s="780"/>
      <c r="K68" s="828"/>
      <c r="L68" s="828"/>
      <c r="M68" s="828"/>
      <c r="N68" s="780"/>
    </row>
    <row r="69" spans="2:14" ht="17.25">
      <c r="B69" s="94"/>
      <c r="C69" s="94"/>
      <c r="D69" s="197"/>
      <c r="F69" s="827"/>
      <c r="H69" s="827"/>
      <c r="I69" s="774"/>
      <c r="J69" s="780"/>
      <c r="K69" s="828"/>
      <c r="L69" s="828"/>
      <c r="M69" s="828"/>
      <c r="N69" s="780"/>
    </row>
    <row r="70" spans="2:14" ht="17.25">
      <c r="B70" s="94"/>
      <c r="C70" s="94"/>
      <c r="D70" s="197"/>
      <c r="F70" s="827"/>
      <c r="H70" s="827"/>
      <c r="I70" s="774"/>
      <c r="J70" s="780"/>
      <c r="K70" s="828"/>
      <c r="L70" s="828"/>
      <c r="M70" s="828"/>
      <c r="N70" s="780"/>
    </row>
    <row r="71" spans="2:14" ht="17.25">
      <c r="B71" s="94"/>
      <c r="C71" s="94"/>
      <c r="D71" s="197"/>
      <c r="F71" s="827"/>
      <c r="H71" s="827"/>
      <c r="I71" s="774"/>
      <c r="J71" s="780"/>
      <c r="K71" s="828"/>
      <c r="L71" s="828"/>
      <c r="M71" s="828"/>
      <c r="N71" s="780"/>
    </row>
    <row r="72" spans="2:14" ht="17.25">
      <c r="B72" s="94"/>
      <c r="C72" s="94"/>
      <c r="D72" s="197"/>
      <c r="F72" s="827"/>
      <c r="H72" s="827"/>
      <c r="I72" s="774"/>
      <c r="J72" s="780"/>
      <c r="K72" s="828"/>
      <c r="L72" s="828"/>
      <c r="M72" s="828"/>
      <c r="N72" s="780"/>
    </row>
    <row r="73" spans="2:14" ht="17.25">
      <c r="B73" s="94"/>
      <c r="C73" s="94"/>
      <c r="D73" s="197"/>
      <c r="F73" s="827"/>
      <c r="H73" s="827"/>
      <c r="I73" s="774"/>
      <c r="J73" s="780"/>
      <c r="K73" s="828"/>
      <c r="L73" s="828"/>
      <c r="M73" s="828"/>
      <c r="N73" s="780"/>
    </row>
    <row r="74" spans="2:14" ht="17.25">
      <c r="B74" s="94"/>
      <c r="C74" s="94"/>
      <c r="D74" s="197"/>
      <c r="F74" s="827"/>
      <c r="H74" s="827"/>
      <c r="I74" s="774"/>
      <c r="J74" s="780"/>
      <c r="K74" s="828"/>
      <c r="L74" s="828"/>
      <c r="M74" s="828"/>
      <c r="N74" s="780"/>
    </row>
    <row r="75" spans="2:14" ht="17.25">
      <c r="B75" s="94"/>
      <c r="C75" s="94"/>
      <c r="D75" s="197"/>
      <c r="F75" s="828"/>
      <c r="H75" s="828"/>
      <c r="I75" s="774"/>
      <c r="J75" s="780"/>
      <c r="K75" s="828"/>
      <c r="L75" s="828"/>
      <c r="M75" s="828"/>
      <c r="N75" s="780"/>
    </row>
    <row r="76" spans="2:14" ht="17.25">
      <c r="B76" s="94"/>
      <c r="C76" s="94"/>
      <c r="D76" s="197"/>
      <c r="F76" s="828"/>
      <c r="H76" s="828"/>
      <c r="I76" s="774"/>
      <c r="J76" s="780"/>
      <c r="K76" s="828"/>
      <c r="L76" s="828"/>
      <c r="M76" s="828"/>
      <c r="N76" s="780"/>
    </row>
    <row r="77" spans="2:14" ht="17.25">
      <c r="B77" s="94"/>
      <c r="C77" s="94"/>
      <c r="D77" s="197"/>
      <c r="F77" s="828"/>
      <c r="H77" s="828"/>
      <c r="I77" s="774"/>
      <c r="J77" s="780"/>
      <c r="K77" s="828"/>
      <c r="L77" s="828"/>
      <c r="M77" s="828"/>
      <c r="N77" s="780"/>
    </row>
    <row r="78" spans="2:14" ht="17.25">
      <c r="B78" s="94"/>
      <c r="C78" s="94"/>
      <c r="D78" s="197"/>
      <c r="F78" s="828"/>
      <c r="H78" s="828"/>
      <c r="I78" s="774"/>
      <c r="J78" s="780"/>
      <c r="K78" s="828"/>
      <c r="L78" s="828"/>
      <c r="M78" s="828"/>
      <c r="N78" s="780"/>
    </row>
    <row r="79" spans="2:14" ht="17.25">
      <c r="B79" s="94"/>
      <c r="C79" s="94"/>
      <c r="D79" s="197"/>
      <c r="F79" s="828"/>
      <c r="H79" s="828"/>
      <c r="I79" s="774"/>
      <c r="J79" s="780"/>
      <c r="K79" s="828"/>
      <c r="L79" s="828"/>
      <c r="M79" s="828"/>
      <c r="N79" s="780"/>
    </row>
    <row r="80" spans="2:14" ht="17.25">
      <c r="B80" s="94"/>
      <c r="C80" s="94"/>
      <c r="D80" s="197"/>
      <c r="F80" s="828"/>
      <c r="H80" s="828"/>
      <c r="I80" s="774"/>
      <c r="J80" s="780"/>
      <c r="K80" s="828"/>
      <c r="L80" s="828"/>
      <c r="M80" s="828"/>
      <c r="N80" s="780"/>
    </row>
    <row r="81" spans="2:14" ht="17.25">
      <c r="B81" s="94"/>
      <c r="C81" s="94"/>
      <c r="D81" s="197"/>
      <c r="F81" s="828"/>
      <c r="H81" s="828"/>
      <c r="I81" s="774"/>
      <c r="J81" s="780"/>
      <c r="K81" s="828"/>
      <c r="L81" s="828"/>
      <c r="M81" s="828"/>
      <c r="N81" s="780"/>
    </row>
    <row r="82" spans="2:14" ht="17.25">
      <c r="B82" s="94"/>
      <c r="C82" s="94"/>
      <c r="D82" s="197"/>
      <c r="F82" s="828"/>
      <c r="H82" s="828"/>
      <c r="I82" s="774"/>
      <c r="J82" s="780"/>
      <c r="K82" s="828"/>
      <c r="L82" s="828"/>
      <c r="M82" s="828"/>
      <c r="N82" s="780"/>
    </row>
    <row r="83" spans="2:14" ht="17.25">
      <c r="B83" s="94"/>
      <c r="C83" s="94"/>
      <c r="D83" s="197"/>
      <c r="F83" s="828"/>
      <c r="H83" s="828"/>
      <c r="I83" s="774"/>
      <c r="J83" s="780"/>
      <c r="K83" s="828"/>
      <c r="L83" s="828"/>
      <c r="M83" s="828"/>
      <c r="N83" s="780"/>
    </row>
    <row r="84" spans="2:14" ht="17.25">
      <c r="B84" s="94"/>
      <c r="C84" s="94"/>
      <c r="D84" s="197"/>
      <c r="F84" s="828"/>
      <c r="H84" s="828"/>
      <c r="I84" s="774"/>
      <c r="J84" s="780"/>
      <c r="K84" s="828"/>
      <c r="L84" s="828"/>
      <c r="M84" s="828"/>
      <c r="N84" s="780"/>
    </row>
    <row r="85" spans="2:14" ht="17.25">
      <c r="B85" s="94"/>
      <c r="C85" s="94"/>
      <c r="D85" s="197"/>
      <c r="F85" s="828"/>
      <c r="H85" s="828"/>
      <c r="I85" s="774"/>
      <c r="J85" s="780"/>
      <c r="K85" s="828"/>
      <c r="L85" s="828"/>
      <c r="M85" s="828"/>
      <c r="N85" s="780"/>
    </row>
    <row r="86" spans="2:14" ht="17.25">
      <c r="B86" s="94"/>
      <c r="C86" s="94"/>
      <c r="D86" s="197"/>
      <c r="F86" s="828"/>
      <c r="H86" s="828"/>
      <c r="I86" s="774"/>
      <c r="J86" s="780"/>
      <c r="K86" s="828"/>
      <c r="L86" s="828"/>
      <c r="M86" s="828"/>
      <c r="N86" s="780"/>
    </row>
    <row r="87" spans="2:14" ht="17.25">
      <c r="B87" s="94"/>
      <c r="C87" s="94"/>
      <c r="D87" s="197"/>
      <c r="F87" s="828"/>
      <c r="H87" s="828"/>
      <c r="I87" s="774"/>
      <c r="J87" s="780"/>
      <c r="K87" s="828"/>
      <c r="L87" s="828"/>
      <c r="M87" s="828"/>
      <c r="N87" s="780"/>
    </row>
    <row r="88" spans="2:14" ht="17.25">
      <c r="B88" s="94"/>
      <c r="C88" s="94"/>
      <c r="D88" s="197"/>
      <c r="F88" s="828"/>
      <c r="H88" s="828"/>
      <c r="I88" s="774"/>
      <c r="J88" s="780"/>
      <c r="K88" s="828"/>
      <c r="L88" s="828"/>
      <c r="M88" s="828"/>
      <c r="N88" s="780"/>
    </row>
    <row r="89" spans="2:14" ht="17.25">
      <c r="B89" s="94"/>
      <c r="C89" s="94"/>
      <c r="D89" s="197"/>
      <c r="F89" s="828"/>
      <c r="H89" s="828"/>
      <c r="I89" s="774"/>
      <c r="J89" s="780"/>
      <c r="K89" s="828"/>
      <c r="L89" s="828"/>
      <c r="M89" s="828"/>
      <c r="N89" s="780"/>
    </row>
    <row r="90" spans="2:14" ht="17.25">
      <c r="B90" s="94"/>
      <c r="C90" s="94"/>
      <c r="D90" s="197"/>
      <c r="F90" s="828"/>
      <c r="H90" s="828"/>
      <c r="I90" s="774"/>
      <c r="J90" s="780"/>
      <c r="K90" s="828"/>
      <c r="L90" s="828"/>
      <c r="M90" s="828"/>
      <c r="N90" s="780"/>
    </row>
    <row r="91" spans="2:14" ht="17.25">
      <c r="B91" s="94"/>
      <c r="C91" s="94"/>
      <c r="D91" s="197"/>
      <c r="F91" s="828"/>
      <c r="H91" s="828"/>
      <c r="I91" s="774"/>
      <c r="J91" s="780"/>
      <c r="K91" s="828"/>
      <c r="L91" s="828"/>
      <c r="M91" s="828"/>
      <c r="N91" s="780"/>
    </row>
    <row r="92" spans="2:14" ht="17.25">
      <c r="B92" s="94"/>
      <c r="C92" s="94"/>
      <c r="D92" s="197"/>
      <c r="F92" s="828"/>
      <c r="H92" s="828"/>
      <c r="I92" s="774"/>
      <c r="J92" s="780"/>
      <c r="K92" s="828"/>
      <c r="L92" s="828"/>
      <c r="M92" s="828"/>
      <c r="N92" s="780"/>
    </row>
    <row r="93" spans="2:14" ht="17.25">
      <c r="B93" s="94"/>
      <c r="C93" s="94"/>
      <c r="D93" s="197"/>
      <c r="F93" s="828"/>
      <c r="H93" s="828"/>
      <c r="I93" s="774"/>
      <c r="J93" s="780"/>
      <c r="K93" s="828"/>
      <c r="L93" s="828"/>
      <c r="M93" s="828"/>
      <c r="N93" s="780"/>
    </row>
    <row r="94" spans="2:14" ht="17.25">
      <c r="B94" s="94"/>
      <c r="C94" s="94"/>
      <c r="D94" s="197"/>
      <c r="F94" s="828"/>
      <c r="H94" s="828"/>
      <c r="I94" s="774"/>
      <c r="J94" s="780"/>
      <c r="K94" s="828"/>
      <c r="L94" s="828"/>
      <c r="M94" s="828"/>
      <c r="N94" s="780"/>
    </row>
    <row r="95" spans="2:14" ht="17.25">
      <c r="B95" s="94"/>
      <c r="C95" s="94"/>
      <c r="D95" s="197"/>
      <c r="F95" s="828"/>
      <c r="H95" s="828"/>
      <c r="I95" s="774"/>
      <c r="J95" s="780"/>
      <c r="K95" s="828"/>
      <c r="L95" s="828"/>
      <c r="M95" s="828"/>
      <c r="N95" s="780"/>
    </row>
    <row r="96" spans="2:14" ht="17.25">
      <c r="B96" s="94"/>
      <c r="C96" s="94"/>
      <c r="D96" s="197"/>
      <c r="F96" s="828"/>
      <c r="H96" s="828"/>
      <c r="I96" s="774"/>
      <c r="J96" s="780"/>
      <c r="K96" s="828"/>
      <c r="L96" s="828"/>
      <c r="M96" s="828"/>
      <c r="N96" s="780"/>
    </row>
    <row r="97" spans="2:14" ht="17.25">
      <c r="B97" s="94"/>
      <c r="C97" s="94"/>
      <c r="D97" s="197"/>
      <c r="F97" s="828"/>
      <c r="H97" s="828"/>
      <c r="I97" s="774"/>
      <c r="J97" s="780"/>
      <c r="K97" s="828"/>
      <c r="L97" s="828"/>
      <c r="M97" s="828"/>
      <c r="N97" s="780"/>
    </row>
    <row r="98" spans="2:14" ht="17.25">
      <c r="B98" s="94"/>
      <c r="C98" s="94"/>
      <c r="D98" s="197"/>
      <c r="F98" s="828"/>
      <c r="H98" s="828"/>
      <c r="I98" s="774"/>
      <c r="J98" s="780"/>
      <c r="K98" s="828"/>
      <c r="L98" s="828"/>
      <c r="M98" s="828"/>
      <c r="N98" s="780"/>
    </row>
    <row r="99" spans="2:14" ht="17.25">
      <c r="B99" s="94"/>
      <c r="C99" s="94"/>
      <c r="D99" s="197"/>
      <c r="F99" s="828"/>
      <c r="H99" s="828"/>
      <c r="I99" s="774"/>
      <c r="J99" s="780"/>
      <c r="K99" s="828"/>
      <c r="L99" s="828"/>
      <c r="M99" s="828"/>
      <c r="N99" s="780"/>
    </row>
    <row r="100" spans="2:14" ht="17.25">
      <c r="B100" s="94"/>
      <c r="C100" s="94"/>
      <c r="D100" s="197"/>
      <c r="F100" s="828"/>
      <c r="H100" s="828"/>
      <c r="I100" s="774"/>
      <c r="J100" s="780"/>
      <c r="K100" s="828"/>
      <c r="L100" s="828"/>
      <c r="M100" s="828"/>
      <c r="N100" s="780"/>
    </row>
    <row r="101" spans="2:14" ht="17.25">
      <c r="B101" s="94"/>
      <c r="C101" s="94"/>
      <c r="D101" s="197"/>
      <c r="F101" s="828"/>
      <c r="H101" s="828"/>
      <c r="I101" s="774"/>
      <c r="J101" s="780"/>
      <c r="K101" s="828"/>
      <c r="L101" s="828"/>
      <c r="M101" s="828"/>
      <c r="N101" s="780"/>
    </row>
    <row r="102" spans="2:14" ht="18.75" customHeight="1">
      <c r="B102" s="94"/>
      <c r="C102" s="94"/>
      <c r="D102" s="197"/>
      <c r="F102" s="828"/>
      <c r="H102" s="828"/>
      <c r="I102" s="774"/>
      <c r="J102" s="780"/>
      <c r="K102" s="828"/>
      <c r="L102" s="828"/>
      <c r="M102" s="828"/>
      <c r="N102" s="780"/>
    </row>
    <row r="103" spans="2:14" ht="18" customHeight="1">
      <c r="B103" s="94"/>
      <c r="C103" s="94"/>
      <c r="D103" s="197"/>
      <c r="F103" s="828"/>
      <c r="H103" s="828"/>
      <c r="I103" s="774"/>
      <c r="J103" s="780"/>
      <c r="K103" s="828"/>
      <c r="L103" s="828"/>
      <c r="M103" s="828"/>
      <c r="N103" s="780"/>
    </row>
    <row r="104" spans="2:14" ht="18" customHeight="1">
      <c r="B104" s="94"/>
      <c r="C104" s="94"/>
      <c r="D104" s="197"/>
      <c r="F104" s="828"/>
      <c r="H104" s="828"/>
      <c r="I104" s="774"/>
      <c r="J104" s="780"/>
      <c r="K104" s="828"/>
      <c r="L104" s="828"/>
      <c r="M104" s="828"/>
      <c r="N104" s="780"/>
    </row>
    <row r="105" spans="2:14" ht="18.75" customHeight="1">
      <c r="B105" s="94"/>
      <c r="C105" s="94"/>
      <c r="D105" s="197"/>
      <c r="F105" s="828"/>
      <c r="H105" s="828"/>
      <c r="I105" s="774"/>
      <c r="J105" s="780"/>
      <c r="K105" s="828"/>
      <c r="L105" s="828"/>
      <c r="M105" s="828"/>
      <c r="N105" s="780"/>
    </row>
    <row r="106" spans="2:14" ht="18.75" customHeight="1">
      <c r="B106" s="94"/>
      <c r="C106" s="94"/>
      <c r="D106" s="197"/>
      <c r="F106" s="828"/>
      <c r="H106" s="828"/>
      <c r="I106" s="774"/>
      <c r="J106" s="780"/>
      <c r="K106" s="828"/>
      <c r="L106" s="828"/>
      <c r="M106" s="828"/>
      <c r="N106" s="780"/>
    </row>
    <row r="107" spans="2:14" ht="17.25" customHeight="1">
      <c r="B107" s="94"/>
      <c r="C107" s="94"/>
      <c r="D107" s="197"/>
      <c r="F107" s="828"/>
      <c r="H107" s="828"/>
      <c r="I107" s="774"/>
      <c r="J107" s="780"/>
      <c r="K107" s="828"/>
      <c r="L107" s="828"/>
      <c r="M107" s="828"/>
      <c r="N107" s="780"/>
    </row>
    <row r="108" spans="2:14" ht="19.5" customHeight="1">
      <c r="B108" s="94"/>
      <c r="C108" s="94"/>
      <c r="D108" s="197"/>
      <c r="F108" s="828"/>
      <c r="H108" s="828"/>
      <c r="I108" s="774"/>
      <c r="J108" s="780"/>
      <c r="K108" s="828"/>
      <c r="L108" s="828"/>
      <c r="M108" s="828"/>
      <c r="N108" s="780"/>
    </row>
    <row r="109" spans="2:14" ht="19.5" customHeight="1">
      <c r="B109" s="94"/>
      <c r="C109" s="94"/>
      <c r="D109" s="197"/>
      <c r="F109" s="828"/>
      <c r="H109" s="828"/>
      <c r="I109" s="774"/>
      <c r="J109" s="780"/>
      <c r="K109" s="828"/>
      <c r="L109" s="828"/>
      <c r="M109" s="828"/>
      <c r="N109" s="780"/>
    </row>
    <row r="110" spans="2:14" ht="17.25">
      <c r="B110" s="94"/>
      <c r="C110" s="94"/>
      <c r="D110" s="197"/>
      <c r="F110" s="828"/>
      <c r="H110" s="828"/>
      <c r="I110" s="774"/>
      <c r="J110" s="780"/>
      <c r="K110" s="828"/>
      <c r="L110" s="828"/>
      <c r="M110" s="828"/>
      <c r="N110" s="780"/>
    </row>
    <row r="111" spans="2:14" ht="18.75" customHeight="1">
      <c r="B111" s="94"/>
      <c r="C111" s="94"/>
      <c r="D111" s="197"/>
      <c r="F111" s="828"/>
      <c r="H111" s="828"/>
      <c r="I111" s="774"/>
      <c r="J111" s="780"/>
      <c r="K111" s="828"/>
      <c r="L111" s="828"/>
      <c r="M111" s="828"/>
      <c r="N111" s="780"/>
    </row>
    <row r="112" spans="2:14" ht="18.75" customHeight="1">
      <c r="B112" s="94"/>
      <c r="C112" s="94"/>
      <c r="D112" s="197"/>
      <c r="F112" s="828"/>
      <c r="H112" s="828"/>
      <c r="I112" s="774"/>
      <c r="J112" s="780"/>
      <c r="K112" s="828"/>
      <c r="L112" s="828"/>
      <c r="M112" s="828"/>
      <c r="N112" s="780"/>
    </row>
    <row r="113" spans="2:14" ht="18.75" customHeight="1">
      <c r="B113" s="94"/>
      <c r="C113" s="94"/>
      <c r="D113" s="197"/>
      <c r="F113" s="828"/>
      <c r="H113" s="828"/>
      <c r="I113" s="774"/>
      <c r="J113" s="780"/>
      <c r="K113" s="828"/>
      <c r="L113" s="828"/>
      <c r="M113" s="828"/>
      <c r="N113" s="780"/>
    </row>
    <row r="114" spans="2:14" ht="18.75" customHeight="1">
      <c r="B114" s="94"/>
      <c r="C114" s="94"/>
      <c r="D114" s="197"/>
      <c r="F114" s="828"/>
      <c r="H114" s="828"/>
      <c r="I114" s="774"/>
      <c r="J114" s="780"/>
      <c r="K114" s="828"/>
      <c r="L114" s="828"/>
      <c r="M114" s="828"/>
      <c r="N114" s="780"/>
    </row>
    <row r="115" spans="2:14" ht="19.5" customHeight="1">
      <c r="B115" s="94"/>
      <c r="C115" s="94"/>
      <c r="D115" s="197"/>
      <c r="F115" s="828"/>
      <c r="H115" s="828"/>
      <c r="I115" s="774"/>
      <c r="J115" s="780"/>
      <c r="K115" s="828"/>
      <c r="L115" s="828"/>
      <c r="M115" s="828"/>
      <c r="N115" s="780"/>
    </row>
    <row r="116" spans="2:14" ht="17.25">
      <c r="B116" s="94"/>
      <c r="C116" s="94"/>
      <c r="D116" s="197"/>
      <c r="F116" s="828"/>
      <c r="H116" s="828"/>
      <c r="I116" s="774"/>
      <c r="J116" s="780"/>
      <c r="K116" s="828"/>
      <c r="L116" s="828"/>
      <c r="M116" s="828"/>
      <c r="N116" s="780"/>
    </row>
    <row r="117" spans="2:14" ht="17.25">
      <c r="B117" s="94"/>
      <c r="C117" s="94"/>
      <c r="D117" s="197"/>
      <c r="F117" s="828"/>
      <c r="H117" s="828"/>
      <c r="I117" s="774"/>
      <c r="J117" s="780"/>
      <c r="K117" s="828"/>
      <c r="L117" s="828"/>
      <c r="M117" s="828"/>
      <c r="N117" s="780"/>
    </row>
    <row r="118" spans="2:14" ht="17.25">
      <c r="B118" s="94"/>
      <c r="C118" s="94"/>
      <c r="D118" s="197"/>
      <c r="F118" s="828"/>
      <c r="H118" s="828"/>
      <c r="I118" s="774"/>
      <c r="J118" s="780"/>
      <c r="K118" s="828"/>
      <c r="L118" s="828"/>
      <c r="M118" s="828"/>
      <c r="N118" s="780"/>
    </row>
    <row r="119" spans="2:14" ht="17.25">
      <c r="B119" s="94"/>
      <c r="C119" s="94"/>
      <c r="D119" s="197"/>
      <c r="F119" s="828"/>
      <c r="H119" s="828"/>
      <c r="I119" s="774"/>
      <c r="J119" s="780"/>
      <c r="K119" s="828"/>
      <c r="L119" s="828"/>
      <c r="M119" s="828"/>
      <c r="N119" s="780"/>
    </row>
    <row r="120" spans="2:14" ht="17.25">
      <c r="B120" s="94"/>
      <c r="C120" s="94"/>
      <c r="D120" s="197"/>
      <c r="F120" s="828"/>
      <c r="H120" s="828"/>
      <c r="I120" s="774"/>
      <c r="J120" s="780"/>
      <c r="K120" s="828"/>
      <c r="L120" s="828"/>
      <c r="M120" s="828"/>
      <c r="N120" s="780"/>
    </row>
    <row r="121" spans="2:14" ht="17.25">
      <c r="B121" s="94"/>
      <c r="C121" s="94"/>
      <c r="D121" s="197"/>
      <c r="F121" s="828"/>
      <c r="H121" s="828"/>
      <c r="I121" s="774"/>
      <c r="J121" s="780"/>
      <c r="K121" s="828"/>
      <c r="L121" s="828"/>
      <c r="M121" s="828"/>
      <c r="N121" s="780"/>
    </row>
    <row r="122" spans="2:14" ht="17.25">
      <c r="B122" s="94"/>
      <c r="C122" s="94"/>
      <c r="D122" s="197"/>
      <c r="F122" s="828"/>
      <c r="H122" s="828"/>
      <c r="I122" s="774"/>
      <c r="J122" s="780"/>
      <c r="K122" s="828"/>
      <c r="L122" s="828"/>
      <c r="M122" s="828"/>
      <c r="N122" s="780"/>
    </row>
    <row r="123" spans="2:14" ht="17.25">
      <c r="B123" s="94"/>
      <c r="C123" s="94"/>
      <c r="D123" s="197"/>
      <c r="F123" s="828"/>
      <c r="H123" s="828"/>
      <c r="I123" s="774"/>
      <c r="J123" s="780"/>
      <c r="K123" s="828"/>
      <c r="L123" s="828"/>
      <c r="M123" s="828"/>
      <c r="N123" s="780"/>
    </row>
    <row r="124" spans="2:14" ht="17.25">
      <c r="B124" s="94"/>
      <c r="C124" s="94"/>
      <c r="D124" s="197"/>
      <c r="F124" s="828"/>
      <c r="H124" s="828"/>
      <c r="I124" s="774"/>
      <c r="J124" s="780"/>
      <c r="K124" s="828"/>
      <c r="L124" s="828"/>
      <c r="M124" s="828"/>
      <c r="N124" s="780"/>
    </row>
    <row r="125" spans="2:14" ht="17.25">
      <c r="B125" s="94"/>
      <c r="C125" s="94"/>
      <c r="D125" s="197"/>
      <c r="F125" s="828"/>
      <c r="H125" s="828"/>
      <c r="I125" s="774"/>
      <c r="J125" s="780"/>
      <c r="K125" s="828"/>
      <c r="L125" s="828"/>
      <c r="M125" s="828"/>
      <c r="N125" s="780"/>
    </row>
    <row r="126" spans="2:14" ht="17.25">
      <c r="B126" s="94"/>
      <c r="C126" s="94"/>
      <c r="D126" s="197"/>
      <c r="F126" s="828"/>
      <c r="H126" s="828"/>
      <c r="I126" s="774"/>
      <c r="J126" s="780"/>
      <c r="K126" s="828"/>
      <c r="L126" s="828"/>
      <c r="M126" s="828"/>
      <c r="N126" s="780"/>
    </row>
    <row r="127" spans="2:14" ht="17.25">
      <c r="B127" s="94"/>
      <c r="C127" s="94"/>
      <c r="D127" s="197"/>
      <c r="F127" s="828"/>
      <c r="H127" s="828"/>
      <c r="I127" s="774"/>
      <c r="J127" s="780"/>
      <c r="K127" s="828"/>
      <c r="L127" s="828"/>
      <c r="M127" s="828"/>
      <c r="N127" s="780"/>
    </row>
    <row r="128" spans="2:14" ht="17.25">
      <c r="B128" s="94"/>
      <c r="C128" s="94"/>
      <c r="D128" s="197"/>
      <c r="F128" s="828"/>
      <c r="H128" s="828"/>
      <c r="I128" s="774"/>
      <c r="J128" s="780"/>
      <c r="K128" s="828"/>
      <c r="L128" s="828"/>
      <c r="M128" s="828"/>
      <c r="N128" s="780"/>
    </row>
    <row r="129" spans="2:14" ht="17.25">
      <c r="B129" s="94"/>
      <c r="C129" s="94"/>
      <c r="D129" s="197"/>
      <c r="F129" s="828"/>
      <c r="H129" s="828"/>
      <c r="I129" s="774"/>
      <c r="J129" s="780"/>
      <c r="K129" s="828"/>
      <c r="L129" s="828"/>
      <c r="M129" s="828"/>
      <c r="N129" s="780"/>
    </row>
    <row r="130" spans="2:14" ht="17.25">
      <c r="B130" s="94"/>
      <c r="C130" s="94"/>
      <c r="D130" s="197"/>
      <c r="F130" s="828"/>
      <c r="H130" s="828"/>
      <c r="I130" s="774"/>
      <c r="J130" s="780"/>
      <c r="K130" s="828"/>
      <c r="L130" s="828"/>
      <c r="M130" s="828"/>
      <c r="N130" s="780"/>
    </row>
    <row r="131" spans="2:14" ht="17.25">
      <c r="B131" s="94"/>
      <c r="C131" s="94"/>
      <c r="D131" s="197"/>
      <c r="F131" s="828"/>
      <c r="H131" s="828"/>
      <c r="I131" s="774"/>
      <c r="J131" s="780"/>
      <c r="K131" s="828"/>
      <c r="L131" s="828"/>
      <c r="M131" s="828"/>
      <c r="N131" s="780"/>
    </row>
    <row r="132" spans="2:14" ht="17.25">
      <c r="B132" s="94"/>
      <c r="C132" s="94"/>
      <c r="D132" s="197"/>
      <c r="F132" s="828"/>
      <c r="H132" s="828"/>
      <c r="I132" s="774"/>
      <c r="J132" s="780"/>
      <c r="K132" s="828"/>
      <c r="L132" s="828"/>
      <c r="M132" s="828"/>
      <c r="N132" s="780"/>
    </row>
    <row r="133" spans="1:14" s="26" customFormat="1" ht="21">
      <c r="A133" s="25"/>
      <c r="B133" s="213"/>
      <c r="C133" s="213"/>
      <c r="D133" s="198"/>
      <c r="E133" s="25"/>
      <c r="F133" s="829"/>
      <c r="G133" s="25"/>
      <c r="H133" s="829"/>
      <c r="I133" s="25"/>
      <c r="J133" s="781"/>
      <c r="K133" s="829"/>
      <c r="L133" s="829"/>
      <c r="M133" s="829"/>
      <c r="N133" s="781"/>
    </row>
    <row r="134" spans="1:14" s="26" customFormat="1" ht="21">
      <c r="A134" s="25"/>
      <c r="B134" s="213"/>
      <c r="C134" s="213"/>
      <c r="D134" s="198"/>
      <c r="E134" s="25"/>
      <c r="F134" s="829"/>
      <c r="G134" s="25"/>
      <c r="H134" s="829"/>
      <c r="I134" s="25"/>
      <c r="J134" s="781"/>
      <c r="K134" s="829"/>
      <c r="L134" s="829"/>
      <c r="M134" s="829"/>
      <c r="N134" s="781"/>
    </row>
    <row r="135" spans="1:14" s="26" customFormat="1" ht="21">
      <c r="A135" s="25"/>
      <c r="B135" s="213"/>
      <c r="C135" s="213"/>
      <c r="D135" s="198"/>
      <c r="E135" s="25"/>
      <c r="F135" s="829"/>
      <c r="G135" s="25"/>
      <c r="H135" s="829"/>
      <c r="I135" s="25"/>
      <c r="J135" s="781"/>
      <c r="K135" s="829"/>
      <c r="L135" s="829"/>
      <c r="M135" s="829"/>
      <c r="N135" s="781"/>
    </row>
    <row r="136" spans="1:14" s="26" customFormat="1" ht="21">
      <c r="A136" s="25"/>
      <c r="B136" s="213"/>
      <c r="C136" s="213"/>
      <c r="D136" s="198"/>
      <c r="E136" s="25"/>
      <c r="F136" s="829"/>
      <c r="G136" s="25"/>
      <c r="H136" s="829"/>
      <c r="I136" s="25"/>
      <c r="J136" s="781"/>
      <c r="K136" s="829"/>
      <c r="L136" s="829"/>
      <c r="M136" s="829"/>
      <c r="N136" s="781"/>
    </row>
    <row r="137" spans="1:14" s="26" customFormat="1" ht="21">
      <c r="A137" s="25"/>
      <c r="B137" s="213"/>
      <c r="C137" s="213"/>
      <c r="D137" s="198"/>
      <c r="E137" s="25"/>
      <c r="F137" s="829"/>
      <c r="G137" s="25"/>
      <c r="H137" s="829"/>
      <c r="I137" s="25"/>
      <c r="J137" s="781"/>
      <c r="K137" s="829"/>
      <c r="L137" s="829"/>
      <c r="M137" s="829"/>
      <c r="N137" s="781"/>
    </row>
    <row r="138" spans="1:14" s="26" customFormat="1" ht="21">
      <c r="A138" s="25"/>
      <c r="B138" s="213"/>
      <c r="C138" s="213"/>
      <c r="D138" s="198"/>
      <c r="E138" s="25"/>
      <c r="F138" s="829"/>
      <c r="G138" s="25"/>
      <c r="H138" s="829"/>
      <c r="I138" s="25"/>
      <c r="J138" s="781"/>
      <c r="K138" s="829"/>
      <c r="L138" s="829"/>
      <c r="M138" s="829"/>
      <c r="N138" s="781"/>
    </row>
    <row r="139" spans="1:14" s="26" customFormat="1" ht="21">
      <c r="A139" s="25"/>
      <c r="B139" s="213"/>
      <c r="C139" s="213"/>
      <c r="D139" s="198"/>
      <c r="E139" s="25"/>
      <c r="F139" s="829"/>
      <c r="G139" s="25"/>
      <c r="H139" s="829"/>
      <c r="I139" s="25"/>
      <c r="J139" s="781"/>
      <c r="K139" s="829"/>
      <c r="L139" s="829"/>
      <c r="M139" s="829"/>
      <c r="N139" s="781"/>
    </row>
    <row r="140" spans="1:14" s="26" customFormat="1" ht="21">
      <c r="A140" s="25"/>
      <c r="B140" s="213"/>
      <c r="C140" s="213"/>
      <c r="D140" s="198"/>
      <c r="E140" s="25"/>
      <c r="F140" s="829"/>
      <c r="G140" s="25"/>
      <c r="H140" s="829"/>
      <c r="I140" s="25"/>
      <c r="J140" s="781"/>
      <c r="K140" s="829"/>
      <c r="L140" s="829"/>
      <c r="M140" s="829"/>
      <c r="N140" s="781"/>
    </row>
    <row r="141" spans="1:14" s="26" customFormat="1" ht="21">
      <c r="A141" s="25"/>
      <c r="B141" s="213"/>
      <c r="C141" s="213"/>
      <c r="D141" s="198"/>
      <c r="E141" s="25"/>
      <c r="F141" s="829"/>
      <c r="G141" s="25"/>
      <c r="H141" s="829"/>
      <c r="I141" s="25"/>
      <c r="J141" s="781"/>
      <c r="K141" s="829"/>
      <c r="L141" s="829"/>
      <c r="M141" s="829"/>
      <c r="N141" s="781"/>
    </row>
    <row r="142" spans="1:14" s="26" customFormat="1" ht="21">
      <c r="A142" s="25"/>
      <c r="B142" s="213"/>
      <c r="C142" s="213"/>
      <c r="D142" s="198"/>
      <c r="E142" s="25"/>
      <c r="F142" s="829"/>
      <c r="G142" s="25"/>
      <c r="H142" s="829"/>
      <c r="I142" s="25"/>
      <c r="J142" s="781"/>
      <c r="K142" s="829"/>
      <c r="L142" s="829"/>
      <c r="M142" s="829"/>
      <c r="N142" s="781"/>
    </row>
    <row r="143" spans="1:14" s="26" customFormat="1" ht="21">
      <c r="A143" s="25"/>
      <c r="B143" s="213"/>
      <c r="C143" s="213"/>
      <c r="D143" s="198"/>
      <c r="E143" s="25"/>
      <c r="F143" s="829"/>
      <c r="G143" s="25"/>
      <c r="H143" s="829"/>
      <c r="I143" s="25"/>
      <c r="J143" s="781"/>
      <c r="K143" s="829"/>
      <c r="L143" s="829"/>
      <c r="M143" s="829"/>
      <c r="N143" s="781"/>
    </row>
    <row r="144" spans="1:14" s="26" customFormat="1" ht="21">
      <c r="A144" s="25"/>
      <c r="B144" s="213"/>
      <c r="C144" s="213"/>
      <c r="D144" s="198"/>
      <c r="E144" s="25"/>
      <c r="F144" s="829"/>
      <c r="G144" s="25"/>
      <c r="H144" s="829"/>
      <c r="I144" s="25"/>
      <c r="J144" s="781"/>
      <c r="K144" s="829"/>
      <c r="L144" s="829"/>
      <c r="M144" s="829"/>
      <c r="N144" s="781"/>
    </row>
    <row r="145" spans="1:14" s="26" customFormat="1" ht="21">
      <c r="A145" s="25"/>
      <c r="B145" s="213"/>
      <c r="C145" s="213"/>
      <c r="D145" s="198"/>
      <c r="E145" s="25"/>
      <c r="F145" s="829"/>
      <c r="G145" s="25"/>
      <c r="H145" s="829"/>
      <c r="I145" s="25"/>
      <c r="J145" s="781"/>
      <c r="K145" s="829"/>
      <c r="L145" s="829"/>
      <c r="M145" s="829"/>
      <c r="N145" s="781"/>
    </row>
    <row r="146" spans="1:14" s="26" customFormat="1" ht="21">
      <c r="A146" s="25"/>
      <c r="B146" s="213"/>
      <c r="C146" s="213"/>
      <c r="D146" s="198"/>
      <c r="E146" s="25"/>
      <c r="F146" s="829"/>
      <c r="G146" s="25"/>
      <c r="H146" s="829"/>
      <c r="I146" s="25"/>
      <c r="J146" s="781"/>
      <c r="K146" s="829"/>
      <c r="L146" s="829"/>
      <c r="M146" s="829"/>
      <c r="N146" s="781"/>
    </row>
    <row r="147" spans="1:14" s="26" customFormat="1" ht="21">
      <c r="A147" s="25"/>
      <c r="B147" s="213"/>
      <c r="C147" s="213"/>
      <c r="D147" s="198"/>
      <c r="E147" s="25"/>
      <c r="F147" s="829"/>
      <c r="G147" s="25"/>
      <c r="H147" s="829"/>
      <c r="I147" s="25"/>
      <c r="J147" s="781"/>
      <c r="K147" s="829"/>
      <c r="L147" s="829"/>
      <c r="M147" s="829"/>
      <c r="N147" s="781"/>
    </row>
    <row r="148" spans="1:14" s="26" customFormat="1" ht="21">
      <c r="A148" s="25"/>
      <c r="B148" s="213"/>
      <c r="C148" s="213"/>
      <c r="D148" s="198"/>
      <c r="E148" s="25"/>
      <c r="F148" s="829"/>
      <c r="G148" s="25"/>
      <c r="H148" s="829"/>
      <c r="I148" s="25"/>
      <c r="J148" s="781"/>
      <c r="K148" s="829"/>
      <c r="L148" s="829"/>
      <c r="M148" s="829"/>
      <c r="N148" s="781"/>
    </row>
    <row r="149" spans="1:14" s="26" customFormat="1" ht="21">
      <c r="A149" s="25"/>
      <c r="B149" s="213"/>
      <c r="C149" s="213"/>
      <c r="D149" s="198"/>
      <c r="E149" s="25"/>
      <c r="F149" s="829"/>
      <c r="G149" s="25"/>
      <c r="H149" s="829"/>
      <c r="I149" s="25"/>
      <c r="J149" s="781"/>
      <c r="K149" s="829"/>
      <c r="L149" s="829"/>
      <c r="M149" s="829"/>
      <c r="N149" s="781"/>
    </row>
    <row r="150" spans="1:14" s="26" customFormat="1" ht="21">
      <c r="A150" s="25"/>
      <c r="B150" s="213"/>
      <c r="C150" s="213"/>
      <c r="D150" s="198"/>
      <c r="E150" s="25"/>
      <c r="F150" s="829"/>
      <c r="G150" s="25"/>
      <c r="H150" s="829"/>
      <c r="I150" s="25"/>
      <c r="J150" s="781"/>
      <c r="K150" s="829"/>
      <c r="L150" s="829"/>
      <c r="M150" s="829"/>
      <c r="N150" s="781"/>
    </row>
    <row r="151" spans="1:14" s="26" customFormat="1" ht="21">
      <c r="A151" s="25"/>
      <c r="B151" s="213"/>
      <c r="C151" s="213"/>
      <c r="D151" s="198"/>
      <c r="E151" s="25"/>
      <c r="F151" s="829"/>
      <c r="G151" s="25"/>
      <c r="H151" s="829"/>
      <c r="I151" s="25"/>
      <c r="J151" s="781"/>
      <c r="K151" s="829"/>
      <c r="L151" s="829"/>
      <c r="M151" s="829"/>
      <c r="N151" s="781"/>
    </row>
    <row r="152" spans="1:14" s="26" customFormat="1" ht="21">
      <c r="A152" s="25"/>
      <c r="B152" s="213"/>
      <c r="C152" s="213"/>
      <c r="D152" s="198"/>
      <c r="E152" s="25"/>
      <c r="F152" s="829"/>
      <c r="G152" s="25"/>
      <c r="H152" s="829"/>
      <c r="I152" s="25"/>
      <c r="J152" s="781"/>
      <c r="K152" s="829"/>
      <c r="L152" s="829"/>
      <c r="M152" s="829"/>
      <c r="N152" s="781"/>
    </row>
    <row r="153" spans="1:14" s="26" customFormat="1" ht="21">
      <c r="A153" s="25"/>
      <c r="B153" s="213"/>
      <c r="C153" s="213"/>
      <c r="D153" s="198"/>
      <c r="E153" s="25"/>
      <c r="F153" s="829"/>
      <c r="G153" s="25"/>
      <c r="H153" s="829"/>
      <c r="I153" s="25"/>
      <c r="J153" s="781"/>
      <c r="K153" s="829"/>
      <c r="L153" s="829"/>
      <c r="M153" s="829"/>
      <c r="N153" s="781"/>
    </row>
    <row r="154" spans="1:14" s="26" customFormat="1" ht="21">
      <c r="A154" s="25"/>
      <c r="B154" s="213"/>
      <c r="C154" s="213"/>
      <c r="D154" s="198"/>
      <c r="E154" s="25"/>
      <c r="F154" s="829"/>
      <c r="G154" s="25"/>
      <c r="H154" s="829"/>
      <c r="I154" s="25"/>
      <c r="J154" s="781"/>
      <c r="K154" s="829"/>
      <c r="L154" s="829"/>
      <c r="M154" s="829"/>
      <c r="N154" s="781"/>
    </row>
    <row r="155" spans="1:14" s="26" customFormat="1" ht="21">
      <c r="A155" s="25"/>
      <c r="B155" s="213"/>
      <c r="C155" s="213"/>
      <c r="D155" s="198"/>
      <c r="E155" s="25"/>
      <c r="F155" s="829"/>
      <c r="G155" s="25"/>
      <c r="H155" s="829"/>
      <c r="I155" s="25"/>
      <c r="J155" s="781"/>
      <c r="K155" s="829"/>
      <c r="L155" s="829"/>
      <c r="M155" s="829"/>
      <c r="N155" s="781"/>
    </row>
    <row r="156" spans="1:14" s="26" customFormat="1" ht="21">
      <c r="A156" s="25"/>
      <c r="B156" s="213"/>
      <c r="C156" s="213"/>
      <c r="D156" s="198"/>
      <c r="E156" s="25"/>
      <c r="F156" s="829"/>
      <c r="G156" s="25"/>
      <c r="H156" s="829"/>
      <c r="I156" s="25"/>
      <c r="J156" s="781"/>
      <c r="K156" s="829"/>
      <c r="L156" s="829"/>
      <c r="M156" s="829"/>
      <c r="N156" s="781"/>
    </row>
    <row r="157" spans="1:14" s="26" customFormat="1" ht="21">
      <c r="A157" s="25"/>
      <c r="B157" s="213"/>
      <c r="C157" s="213"/>
      <c r="D157" s="198"/>
      <c r="E157" s="25"/>
      <c r="F157" s="829"/>
      <c r="G157" s="25"/>
      <c r="H157" s="829"/>
      <c r="I157" s="25"/>
      <c r="J157" s="781"/>
      <c r="K157" s="829"/>
      <c r="L157" s="829"/>
      <c r="M157" s="829"/>
      <c r="N157" s="781"/>
    </row>
    <row r="158" spans="1:14" s="26" customFormat="1" ht="21">
      <c r="A158" s="25"/>
      <c r="B158" s="213"/>
      <c r="C158" s="213"/>
      <c r="D158" s="198"/>
      <c r="E158" s="25"/>
      <c r="F158" s="829"/>
      <c r="G158" s="25"/>
      <c r="H158" s="829"/>
      <c r="I158" s="25"/>
      <c r="J158" s="781"/>
      <c r="K158" s="829"/>
      <c r="L158" s="829"/>
      <c r="M158" s="829"/>
      <c r="N158" s="781"/>
    </row>
    <row r="159" spans="1:14" s="26" customFormat="1" ht="21">
      <c r="A159" s="25"/>
      <c r="B159" s="213"/>
      <c r="C159" s="213"/>
      <c r="D159" s="198"/>
      <c r="E159" s="25"/>
      <c r="F159" s="829"/>
      <c r="G159" s="25"/>
      <c r="H159" s="829"/>
      <c r="I159" s="25"/>
      <c r="J159" s="781"/>
      <c r="K159" s="829"/>
      <c r="L159" s="829"/>
      <c r="M159" s="829"/>
      <c r="N159" s="781"/>
    </row>
    <row r="160" spans="1:14" s="26" customFormat="1" ht="21">
      <c r="A160" s="25"/>
      <c r="B160" s="213"/>
      <c r="C160" s="213"/>
      <c r="D160" s="198"/>
      <c r="E160" s="25"/>
      <c r="F160" s="829"/>
      <c r="G160" s="25"/>
      <c r="H160" s="829"/>
      <c r="I160" s="25"/>
      <c r="J160" s="781"/>
      <c r="K160" s="829"/>
      <c r="L160" s="829"/>
      <c r="M160" s="829"/>
      <c r="N160" s="781"/>
    </row>
    <row r="161" spans="1:14" s="26" customFormat="1" ht="21">
      <c r="A161" s="25"/>
      <c r="B161" s="213"/>
      <c r="C161" s="213"/>
      <c r="D161" s="198"/>
      <c r="E161" s="25"/>
      <c r="F161" s="829"/>
      <c r="G161" s="25"/>
      <c r="H161" s="829"/>
      <c r="I161" s="25"/>
      <c r="J161" s="781"/>
      <c r="K161" s="829"/>
      <c r="L161" s="829"/>
      <c r="M161" s="829"/>
      <c r="N161" s="781"/>
    </row>
    <row r="162" spans="1:14" s="26" customFormat="1" ht="21">
      <c r="A162" s="25"/>
      <c r="B162" s="213"/>
      <c r="C162" s="213"/>
      <c r="D162" s="198"/>
      <c r="E162" s="25"/>
      <c r="F162" s="829"/>
      <c r="G162" s="25"/>
      <c r="H162" s="829"/>
      <c r="I162" s="25"/>
      <c r="J162" s="781"/>
      <c r="K162" s="829"/>
      <c r="L162" s="829"/>
      <c r="M162" s="829"/>
      <c r="N162" s="781"/>
    </row>
    <row r="163" spans="1:14" s="26" customFormat="1" ht="21">
      <c r="A163" s="25"/>
      <c r="B163" s="213"/>
      <c r="C163" s="213"/>
      <c r="D163" s="198"/>
      <c r="E163" s="25"/>
      <c r="F163" s="829"/>
      <c r="G163" s="25"/>
      <c r="H163" s="829"/>
      <c r="I163" s="25"/>
      <c r="J163" s="781"/>
      <c r="K163" s="829"/>
      <c r="L163" s="829"/>
      <c r="M163" s="829"/>
      <c r="N163" s="781"/>
    </row>
    <row r="164" spans="1:14" s="26" customFormat="1" ht="21">
      <c r="A164" s="25"/>
      <c r="B164" s="213"/>
      <c r="C164" s="213"/>
      <c r="D164" s="198"/>
      <c r="E164" s="25"/>
      <c r="F164" s="829"/>
      <c r="G164" s="25"/>
      <c r="H164" s="829"/>
      <c r="I164" s="25"/>
      <c r="J164" s="781"/>
      <c r="K164" s="829"/>
      <c r="L164" s="829"/>
      <c r="M164" s="829"/>
      <c r="N164" s="781"/>
    </row>
    <row r="165" spans="1:14" s="26" customFormat="1" ht="21">
      <c r="A165" s="25"/>
      <c r="B165" s="213"/>
      <c r="C165" s="213"/>
      <c r="D165" s="198"/>
      <c r="E165" s="25"/>
      <c r="F165" s="829"/>
      <c r="G165" s="25"/>
      <c r="H165" s="829"/>
      <c r="I165" s="25"/>
      <c r="J165" s="781"/>
      <c r="K165" s="829"/>
      <c r="L165" s="829"/>
      <c r="M165" s="829"/>
      <c r="N165" s="781"/>
    </row>
    <row r="166" spans="1:14" s="26" customFormat="1" ht="21">
      <c r="A166" s="25"/>
      <c r="B166" s="213"/>
      <c r="C166" s="213"/>
      <c r="D166" s="198"/>
      <c r="E166" s="25"/>
      <c r="F166" s="829"/>
      <c r="G166" s="25"/>
      <c r="H166" s="829"/>
      <c r="I166" s="25"/>
      <c r="J166" s="781"/>
      <c r="K166" s="829"/>
      <c r="L166" s="829"/>
      <c r="M166" s="829"/>
      <c r="N166" s="781"/>
    </row>
    <row r="167" spans="1:14" s="26" customFormat="1" ht="21">
      <c r="A167" s="25"/>
      <c r="B167" s="213"/>
      <c r="C167" s="213"/>
      <c r="D167" s="198"/>
      <c r="E167" s="25"/>
      <c r="F167" s="829"/>
      <c r="G167" s="25"/>
      <c r="H167" s="829"/>
      <c r="I167" s="25"/>
      <c r="J167" s="781"/>
      <c r="K167" s="829"/>
      <c r="L167" s="829"/>
      <c r="M167" s="829"/>
      <c r="N167" s="781"/>
    </row>
    <row r="168" spans="1:14" s="26" customFormat="1" ht="21">
      <c r="A168" s="25"/>
      <c r="B168" s="213"/>
      <c r="C168" s="213"/>
      <c r="D168" s="198"/>
      <c r="E168" s="25"/>
      <c r="F168" s="829"/>
      <c r="G168" s="25"/>
      <c r="H168" s="829"/>
      <c r="I168" s="25"/>
      <c r="J168" s="781"/>
      <c r="K168" s="829"/>
      <c r="L168" s="829"/>
      <c r="M168" s="829"/>
      <c r="N168" s="781"/>
    </row>
    <row r="169" spans="1:14" s="26" customFormat="1" ht="21">
      <c r="A169" s="25"/>
      <c r="B169" s="213"/>
      <c r="C169" s="213"/>
      <c r="D169" s="198"/>
      <c r="E169" s="25"/>
      <c r="F169" s="829"/>
      <c r="G169" s="25"/>
      <c r="H169" s="829"/>
      <c r="I169" s="25"/>
      <c r="J169" s="781"/>
      <c r="K169" s="829"/>
      <c r="L169" s="829"/>
      <c r="M169" s="829"/>
      <c r="N169" s="781"/>
    </row>
    <row r="170" spans="1:14" s="26" customFormat="1" ht="21">
      <c r="A170" s="25"/>
      <c r="B170" s="213"/>
      <c r="C170" s="213"/>
      <c r="D170" s="198"/>
      <c r="E170" s="25"/>
      <c r="F170" s="829"/>
      <c r="G170" s="25"/>
      <c r="H170" s="829"/>
      <c r="I170" s="25"/>
      <c r="J170" s="781"/>
      <c r="K170" s="829"/>
      <c r="L170" s="829"/>
      <c r="M170" s="829"/>
      <c r="N170" s="781"/>
    </row>
    <row r="171" spans="1:14" s="26" customFormat="1" ht="21">
      <c r="A171" s="25"/>
      <c r="B171" s="213"/>
      <c r="C171" s="213"/>
      <c r="D171" s="198"/>
      <c r="E171" s="25"/>
      <c r="F171" s="829"/>
      <c r="G171" s="25"/>
      <c r="H171" s="829"/>
      <c r="I171" s="25"/>
      <c r="J171" s="781"/>
      <c r="K171" s="829"/>
      <c r="L171" s="829"/>
      <c r="M171" s="829"/>
      <c r="N171" s="781"/>
    </row>
    <row r="172" spans="1:14" s="26" customFormat="1" ht="21">
      <c r="A172" s="25"/>
      <c r="B172" s="213"/>
      <c r="C172" s="213"/>
      <c r="D172" s="198"/>
      <c r="E172" s="25"/>
      <c r="F172" s="829"/>
      <c r="G172" s="25"/>
      <c r="H172" s="829"/>
      <c r="I172" s="25"/>
      <c r="J172" s="781"/>
      <c r="K172" s="829"/>
      <c r="L172" s="829"/>
      <c r="M172" s="829"/>
      <c r="N172" s="781"/>
    </row>
    <row r="173" spans="1:14" s="26" customFormat="1" ht="21">
      <c r="A173" s="25"/>
      <c r="B173" s="213"/>
      <c r="C173" s="213"/>
      <c r="D173" s="198"/>
      <c r="E173" s="25"/>
      <c r="F173" s="829"/>
      <c r="G173" s="25"/>
      <c r="H173" s="829"/>
      <c r="I173" s="25"/>
      <c r="J173" s="781"/>
      <c r="K173" s="829"/>
      <c r="L173" s="829"/>
      <c r="M173" s="829"/>
      <c r="N173" s="781"/>
    </row>
    <row r="174" spans="1:14" s="26" customFormat="1" ht="21">
      <c r="A174" s="25"/>
      <c r="B174" s="213"/>
      <c r="C174" s="213"/>
      <c r="D174" s="198"/>
      <c r="E174" s="25"/>
      <c r="F174" s="829"/>
      <c r="G174" s="25"/>
      <c r="H174" s="829"/>
      <c r="I174" s="25"/>
      <c r="J174" s="781"/>
      <c r="K174" s="829"/>
      <c r="L174" s="829"/>
      <c r="M174" s="829"/>
      <c r="N174" s="781"/>
    </row>
    <row r="175" spans="1:14" s="26" customFormat="1" ht="21">
      <c r="A175" s="25"/>
      <c r="B175" s="213"/>
      <c r="C175" s="213"/>
      <c r="D175" s="198"/>
      <c r="E175" s="25"/>
      <c r="F175" s="829"/>
      <c r="G175" s="25"/>
      <c r="H175" s="829"/>
      <c r="I175" s="25"/>
      <c r="J175" s="781"/>
      <c r="K175" s="829"/>
      <c r="L175" s="829"/>
      <c r="M175" s="829"/>
      <c r="N175" s="781"/>
    </row>
    <row r="176" spans="1:14" s="26" customFormat="1" ht="21">
      <c r="A176" s="25"/>
      <c r="B176" s="213"/>
      <c r="C176" s="213"/>
      <c r="D176" s="198"/>
      <c r="E176" s="25"/>
      <c r="F176" s="829"/>
      <c r="G176" s="25"/>
      <c r="H176" s="829"/>
      <c r="I176" s="25"/>
      <c r="J176" s="781"/>
      <c r="K176" s="829"/>
      <c r="L176" s="829"/>
      <c r="M176" s="829"/>
      <c r="N176" s="781"/>
    </row>
    <row r="177" spans="1:14" s="26" customFormat="1" ht="21">
      <c r="A177" s="25"/>
      <c r="B177" s="213"/>
      <c r="C177" s="213"/>
      <c r="D177" s="198"/>
      <c r="E177" s="25"/>
      <c r="F177" s="829"/>
      <c r="G177" s="25"/>
      <c r="H177" s="829"/>
      <c r="I177" s="25"/>
      <c r="J177" s="781"/>
      <c r="K177" s="829"/>
      <c r="L177" s="829"/>
      <c r="M177" s="829"/>
      <c r="N177" s="781"/>
    </row>
    <row r="178" spans="1:14" s="26" customFormat="1" ht="21">
      <c r="A178" s="25"/>
      <c r="B178" s="213"/>
      <c r="C178" s="213"/>
      <c r="D178" s="198"/>
      <c r="E178" s="25"/>
      <c r="F178" s="829"/>
      <c r="G178" s="25"/>
      <c r="H178" s="829"/>
      <c r="I178" s="25"/>
      <c r="J178" s="781"/>
      <c r="K178" s="829"/>
      <c r="L178" s="829"/>
      <c r="M178" s="829"/>
      <c r="N178" s="781"/>
    </row>
    <row r="179" spans="1:14" s="26" customFormat="1" ht="21">
      <c r="A179" s="25"/>
      <c r="B179" s="213"/>
      <c r="C179" s="213"/>
      <c r="D179" s="198"/>
      <c r="E179" s="25"/>
      <c r="F179" s="829"/>
      <c r="G179" s="25"/>
      <c r="H179" s="829"/>
      <c r="I179" s="25"/>
      <c r="J179" s="781"/>
      <c r="K179" s="829"/>
      <c r="L179" s="829"/>
      <c r="M179" s="829"/>
      <c r="N179" s="781"/>
    </row>
    <row r="180" spans="1:14" s="26" customFormat="1" ht="21">
      <c r="A180" s="25"/>
      <c r="B180" s="213"/>
      <c r="C180" s="213"/>
      <c r="D180" s="198"/>
      <c r="E180" s="25"/>
      <c r="F180" s="829"/>
      <c r="G180" s="25"/>
      <c r="H180" s="829"/>
      <c r="I180" s="25"/>
      <c r="J180" s="781"/>
      <c r="K180" s="829"/>
      <c r="L180" s="829"/>
      <c r="M180" s="829"/>
      <c r="N180" s="781"/>
    </row>
    <row r="181" spans="1:14" s="26" customFormat="1" ht="21">
      <c r="A181" s="25"/>
      <c r="B181" s="213"/>
      <c r="C181" s="213"/>
      <c r="D181" s="198"/>
      <c r="E181" s="25"/>
      <c r="F181" s="829"/>
      <c r="G181" s="25"/>
      <c r="H181" s="829"/>
      <c r="I181" s="25"/>
      <c r="J181" s="781"/>
      <c r="K181" s="829"/>
      <c r="L181" s="829"/>
      <c r="M181" s="829"/>
      <c r="N181" s="781"/>
    </row>
    <row r="182" spans="1:14" s="26" customFormat="1" ht="21">
      <c r="A182" s="25"/>
      <c r="B182" s="213"/>
      <c r="C182" s="213"/>
      <c r="D182" s="198"/>
      <c r="E182" s="25"/>
      <c r="F182" s="829"/>
      <c r="G182" s="25"/>
      <c r="H182" s="829"/>
      <c r="I182" s="25"/>
      <c r="J182" s="781"/>
      <c r="K182" s="829"/>
      <c r="L182" s="829"/>
      <c r="M182" s="829"/>
      <c r="N182" s="781"/>
    </row>
    <row r="183" spans="1:14" s="26" customFormat="1" ht="21">
      <c r="A183" s="25"/>
      <c r="B183" s="213"/>
      <c r="C183" s="213"/>
      <c r="D183" s="198"/>
      <c r="E183" s="25"/>
      <c r="F183" s="829"/>
      <c r="G183" s="25"/>
      <c r="H183" s="829"/>
      <c r="I183" s="25"/>
      <c r="J183" s="781"/>
      <c r="K183" s="829"/>
      <c r="L183" s="829"/>
      <c r="M183" s="829"/>
      <c r="N183" s="781"/>
    </row>
    <row r="184" spans="1:14" s="26" customFormat="1" ht="21">
      <c r="A184" s="25"/>
      <c r="B184" s="213"/>
      <c r="C184" s="213"/>
      <c r="D184" s="198"/>
      <c r="E184" s="25"/>
      <c r="F184" s="829"/>
      <c r="G184" s="25"/>
      <c r="H184" s="829"/>
      <c r="I184" s="25"/>
      <c r="J184" s="781"/>
      <c r="K184" s="829"/>
      <c r="L184" s="829"/>
      <c r="M184" s="829"/>
      <c r="N184" s="781"/>
    </row>
    <row r="185" spans="1:14" s="26" customFormat="1" ht="21">
      <c r="A185" s="25"/>
      <c r="B185" s="213"/>
      <c r="C185" s="213"/>
      <c r="D185" s="198"/>
      <c r="E185" s="25"/>
      <c r="F185" s="829"/>
      <c r="G185" s="25"/>
      <c r="H185" s="829"/>
      <c r="I185" s="25"/>
      <c r="J185" s="781"/>
      <c r="K185" s="829"/>
      <c r="L185" s="829"/>
      <c r="M185" s="829"/>
      <c r="N185" s="781"/>
    </row>
    <row r="186" spans="1:14" s="26" customFormat="1" ht="21">
      <c r="A186" s="25"/>
      <c r="B186" s="213"/>
      <c r="C186" s="213"/>
      <c r="D186" s="198"/>
      <c r="E186" s="25"/>
      <c r="F186" s="829"/>
      <c r="G186" s="25"/>
      <c r="H186" s="829"/>
      <c r="I186" s="25"/>
      <c r="J186" s="781"/>
      <c r="K186" s="829"/>
      <c r="L186" s="829"/>
      <c r="M186" s="829"/>
      <c r="N186" s="781"/>
    </row>
    <row r="187" spans="1:14" s="26" customFormat="1" ht="21">
      <c r="A187" s="25"/>
      <c r="B187" s="213"/>
      <c r="C187" s="213"/>
      <c r="D187" s="198"/>
      <c r="E187" s="25"/>
      <c r="F187" s="829"/>
      <c r="G187" s="25"/>
      <c r="H187" s="829"/>
      <c r="I187" s="25"/>
      <c r="J187" s="781"/>
      <c r="K187" s="829"/>
      <c r="L187" s="829"/>
      <c r="M187" s="829"/>
      <c r="N187" s="781"/>
    </row>
    <row r="188" spans="1:14" s="26" customFormat="1" ht="21">
      <c r="A188" s="25"/>
      <c r="B188" s="213"/>
      <c r="C188" s="213"/>
      <c r="D188" s="198"/>
      <c r="E188" s="25"/>
      <c r="F188" s="829"/>
      <c r="G188" s="25"/>
      <c r="H188" s="829"/>
      <c r="I188" s="25"/>
      <c r="J188" s="781"/>
      <c r="K188" s="829"/>
      <c r="L188" s="829"/>
      <c r="M188" s="829"/>
      <c r="N188" s="781"/>
    </row>
    <row r="189" spans="1:14" s="26" customFormat="1" ht="21">
      <c r="A189" s="25"/>
      <c r="B189" s="213"/>
      <c r="C189" s="213"/>
      <c r="D189" s="198"/>
      <c r="E189" s="25"/>
      <c r="F189" s="829"/>
      <c r="G189" s="25"/>
      <c r="H189" s="829"/>
      <c r="I189" s="25"/>
      <c r="J189" s="781"/>
      <c r="K189" s="829"/>
      <c r="L189" s="829"/>
      <c r="M189" s="829"/>
      <c r="N189" s="781"/>
    </row>
    <row r="190" spans="1:14" s="26" customFormat="1" ht="21">
      <c r="A190" s="25"/>
      <c r="B190" s="213"/>
      <c r="C190" s="213"/>
      <c r="D190" s="198"/>
      <c r="E190" s="25"/>
      <c r="F190" s="829"/>
      <c r="G190" s="25"/>
      <c r="H190" s="829"/>
      <c r="I190" s="25"/>
      <c r="J190" s="781"/>
      <c r="K190" s="829"/>
      <c r="L190" s="829"/>
      <c r="M190" s="829"/>
      <c r="N190" s="781"/>
    </row>
    <row r="191" spans="1:14" s="26" customFormat="1" ht="21">
      <c r="A191" s="25"/>
      <c r="B191" s="213"/>
      <c r="C191" s="213"/>
      <c r="D191" s="198"/>
      <c r="E191" s="25"/>
      <c r="F191" s="829"/>
      <c r="G191" s="25"/>
      <c r="H191" s="829"/>
      <c r="I191" s="25"/>
      <c r="J191" s="781"/>
      <c r="K191" s="829"/>
      <c r="L191" s="829"/>
      <c r="M191" s="829"/>
      <c r="N191" s="781"/>
    </row>
    <row r="192" spans="1:14" s="26" customFormat="1" ht="21">
      <c r="A192" s="25"/>
      <c r="B192" s="213"/>
      <c r="C192" s="213"/>
      <c r="D192" s="198"/>
      <c r="E192" s="25"/>
      <c r="F192" s="829"/>
      <c r="G192" s="25"/>
      <c r="H192" s="829"/>
      <c r="I192" s="25"/>
      <c r="J192" s="781"/>
      <c r="K192" s="829"/>
      <c r="L192" s="829"/>
      <c r="M192" s="829"/>
      <c r="N192" s="781"/>
    </row>
    <row r="193" spans="1:14" s="26" customFormat="1" ht="21">
      <c r="A193" s="25"/>
      <c r="B193" s="213"/>
      <c r="C193" s="213"/>
      <c r="D193" s="198"/>
      <c r="E193" s="25"/>
      <c r="F193" s="829"/>
      <c r="G193" s="25"/>
      <c r="H193" s="829"/>
      <c r="I193" s="25"/>
      <c r="J193" s="781"/>
      <c r="K193" s="829"/>
      <c r="L193" s="829"/>
      <c r="M193" s="829"/>
      <c r="N193" s="781"/>
    </row>
    <row r="194" spans="1:14" s="26" customFormat="1" ht="21">
      <c r="A194" s="25"/>
      <c r="B194" s="213"/>
      <c r="C194" s="213"/>
      <c r="D194" s="198"/>
      <c r="E194" s="25"/>
      <c r="F194" s="829"/>
      <c r="G194" s="25"/>
      <c r="H194" s="829"/>
      <c r="I194" s="25"/>
      <c r="J194" s="781"/>
      <c r="K194" s="829"/>
      <c r="L194" s="829"/>
      <c r="M194" s="829"/>
      <c r="N194" s="781"/>
    </row>
    <row r="195" spans="1:14" s="26" customFormat="1" ht="21">
      <c r="A195" s="25"/>
      <c r="B195" s="213"/>
      <c r="C195" s="213"/>
      <c r="D195" s="198"/>
      <c r="E195" s="25"/>
      <c r="F195" s="829"/>
      <c r="G195" s="25"/>
      <c r="H195" s="829"/>
      <c r="I195" s="25"/>
      <c r="J195" s="781"/>
      <c r="K195" s="829"/>
      <c r="L195" s="829"/>
      <c r="M195" s="829"/>
      <c r="N195" s="781"/>
    </row>
    <row r="196" spans="1:14" s="26" customFormat="1" ht="21">
      <c r="A196" s="25"/>
      <c r="B196" s="213"/>
      <c r="C196" s="213"/>
      <c r="D196" s="198"/>
      <c r="E196" s="25"/>
      <c r="F196" s="829"/>
      <c r="G196" s="25"/>
      <c r="H196" s="829"/>
      <c r="I196" s="25"/>
      <c r="J196" s="781"/>
      <c r="K196" s="829"/>
      <c r="L196" s="829"/>
      <c r="M196" s="829"/>
      <c r="N196" s="781"/>
    </row>
    <row r="197" spans="1:14" s="26" customFormat="1" ht="21">
      <c r="A197" s="25"/>
      <c r="B197" s="213"/>
      <c r="C197" s="213"/>
      <c r="D197" s="198"/>
      <c r="E197" s="25"/>
      <c r="F197" s="829"/>
      <c r="G197" s="25"/>
      <c r="H197" s="829"/>
      <c r="I197" s="25"/>
      <c r="J197" s="781"/>
      <c r="K197" s="829"/>
      <c r="L197" s="829"/>
      <c r="M197" s="829"/>
      <c r="N197" s="781"/>
    </row>
    <row r="198" spans="1:14" s="26" customFormat="1" ht="21">
      <c r="A198" s="25"/>
      <c r="B198" s="213"/>
      <c r="C198" s="213"/>
      <c r="D198" s="198"/>
      <c r="E198" s="25"/>
      <c r="F198" s="829"/>
      <c r="G198" s="25"/>
      <c r="H198" s="829"/>
      <c r="I198" s="25"/>
      <c r="J198" s="781"/>
      <c r="K198" s="829"/>
      <c r="L198" s="829"/>
      <c r="M198" s="829"/>
      <c r="N198" s="781"/>
    </row>
    <row r="199" spans="1:14" s="26" customFormat="1" ht="21">
      <c r="A199" s="25"/>
      <c r="B199" s="213"/>
      <c r="C199" s="213"/>
      <c r="D199" s="198"/>
      <c r="E199" s="25"/>
      <c r="F199" s="829"/>
      <c r="G199" s="25"/>
      <c r="H199" s="829"/>
      <c r="I199" s="25"/>
      <c r="J199" s="781"/>
      <c r="K199" s="829"/>
      <c r="L199" s="829"/>
      <c r="M199" s="829"/>
      <c r="N199" s="781"/>
    </row>
    <row r="200" spans="1:14" s="26" customFormat="1" ht="21">
      <c r="A200" s="25"/>
      <c r="B200" s="213"/>
      <c r="C200" s="213"/>
      <c r="D200" s="198"/>
      <c r="E200" s="25"/>
      <c r="F200" s="829"/>
      <c r="G200" s="25"/>
      <c r="H200" s="829"/>
      <c r="I200" s="25"/>
      <c r="J200" s="781"/>
      <c r="K200" s="829"/>
      <c r="L200" s="829"/>
      <c r="M200" s="829"/>
      <c r="N200" s="781"/>
    </row>
    <row r="201" spans="1:14" s="26" customFormat="1" ht="21">
      <c r="A201" s="25"/>
      <c r="B201" s="213"/>
      <c r="C201" s="213"/>
      <c r="D201" s="198"/>
      <c r="E201" s="25"/>
      <c r="F201" s="829"/>
      <c r="G201" s="25"/>
      <c r="H201" s="829"/>
      <c r="I201" s="25"/>
      <c r="J201" s="781"/>
      <c r="K201" s="829"/>
      <c r="L201" s="829"/>
      <c r="M201" s="829"/>
      <c r="N201" s="781"/>
    </row>
    <row r="202" spans="1:14" s="26" customFormat="1" ht="21">
      <c r="A202" s="25"/>
      <c r="B202" s="213"/>
      <c r="C202" s="213"/>
      <c r="D202" s="198"/>
      <c r="E202" s="25"/>
      <c r="F202" s="829"/>
      <c r="G202" s="25"/>
      <c r="H202" s="829"/>
      <c r="I202" s="25"/>
      <c r="J202" s="781"/>
      <c r="K202" s="829"/>
      <c r="L202" s="829"/>
      <c r="M202" s="829"/>
      <c r="N202" s="781"/>
    </row>
    <row r="203" spans="1:14" s="26" customFormat="1" ht="21">
      <c r="A203" s="25"/>
      <c r="B203" s="213"/>
      <c r="C203" s="213"/>
      <c r="D203" s="198"/>
      <c r="E203" s="25"/>
      <c r="F203" s="829"/>
      <c r="G203" s="25"/>
      <c r="H203" s="829"/>
      <c r="I203" s="25"/>
      <c r="J203" s="781"/>
      <c r="K203" s="829"/>
      <c r="L203" s="829"/>
      <c r="M203" s="829"/>
      <c r="N203" s="781"/>
    </row>
    <row r="204" spans="1:14" s="26" customFormat="1" ht="21">
      <c r="A204" s="25"/>
      <c r="B204" s="213"/>
      <c r="C204" s="213"/>
      <c r="D204" s="198"/>
      <c r="E204" s="25"/>
      <c r="F204" s="829"/>
      <c r="G204" s="25"/>
      <c r="H204" s="829"/>
      <c r="I204" s="25"/>
      <c r="J204" s="781"/>
      <c r="K204" s="829"/>
      <c r="L204" s="829"/>
      <c r="M204" s="829"/>
      <c r="N204" s="781"/>
    </row>
    <row r="205" spans="1:14" s="26" customFormat="1" ht="21">
      <c r="A205" s="25"/>
      <c r="B205" s="213"/>
      <c r="C205" s="213"/>
      <c r="D205" s="198"/>
      <c r="E205" s="25"/>
      <c r="F205" s="829"/>
      <c r="G205" s="25"/>
      <c r="H205" s="829"/>
      <c r="I205" s="25"/>
      <c r="J205" s="781"/>
      <c r="K205" s="829"/>
      <c r="L205" s="829"/>
      <c r="M205" s="829"/>
      <c r="N205" s="781"/>
    </row>
    <row r="206" spans="1:14" s="26" customFormat="1" ht="21">
      <c r="A206" s="25"/>
      <c r="B206" s="213"/>
      <c r="C206" s="213"/>
      <c r="D206" s="198"/>
      <c r="E206" s="25"/>
      <c r="F206" s="829"/>
      <c r="G206" s="25"/>
      <c r="H206" s="829"/>
      <c r="I206" s="25"/>
      <c r="J206" s="781"/>
      <c r="K206" s="829"/>
      <c r="L206" s="829"/>
      <c r="M206" s="829"/>
      <c r="N206" s="781"/>
    </row>
    <row r="207" spans="1:14" s="26" customFormat="1" ht="21.75">
      <c r="A207" s="119"/>
      <c r="B207" s="214"/>
      <c r="C207" s="214"/>
      <c r="D207" s="199"/>
      <c r="E207" s="119"/>
      <c r="F207" s="814"/>
      <c r="G207" s="119"/>
      <c r="H207" s="814"/>
      <c r="I207" s="25"/>
      <c r="J207" s="781"/>
      <c r="K207" s="829"/>
      <c r="L207" s="829"/>
      <c r="M207" s="829"/>
      <c r="N207" s="781"/>
    </row>
    <row r="208" spans="1:14" s="26" customFormat="1" ht="21.75">
      <c r="A208" s="119"/>
      <c r="B208" s="214"/>
      <c r="C208" s="214"/>
      <c r="D208" s="199"/>
      <c r="E208" s="119"/>
      <c r="F208" s="814"/>
      <c r="G208" s="119"/>
      <c r="H208" s="814"/>
      <c r="I208" s="25"/>
      <c r="J208" s="781"/>
      <c r="K208" s="829"/>
      <c r="L208" s="829"/>
      <c r="M208" s="829"/>
      <c r="N208" s="781"/>
    </row>
    <row r="209" spans="1:14" s="26" customFormat="1" ht="21.75">
      <c r="A209" s="119"/>
      <c r="B209" s="214"/>
      <c r="C209" s="214"/>
      <c r="D209" s="199"/>
      <c r="E209" s="119"/>
      <c r="F209" s="814"/>
      <c r="G209" s="119"/>
      <c r="H209" s="814"/>
      <c r="I209" s="25"/>
      <c r="J209" s="781"/>
      <c r="K209" s="829"/>
      <c r="L209" s="829"/>
      <c r="M209" s="829"/>
      <c r="N209" s="781"/>
    </row>
    <row r="210" spans="1:14" s="26" customFormat="1" ht="21.75">
      <c r="A210" s="119"/>
      <c r="B210" s="214"/>
      <c r="C210" s="214"/>
      <c r="D210" s="199"/>
      <c r="E210" s="119"/>
      <c r="F210" s="814"/>
      <c r="G210" s="119"/>
      <c r="H210" s="814"/>
      <c r="I210" s="25"/>
      <c r="J210" s="781"/>
      <c r="K210" s="829"/>
      <c r="L210" s="829"/>
      <c r="M210" s="829"/>
      <c r="N210" s="781"/>
    </row>
    <row r="211" spans="1:14" s="26" customFormat="1" ht="21.75">
      <c r="A211" s="119"/>
      <c r="B211" s="214"/>
      <c r="C211" s="214"/>
      <c r="D211" s="199"/>
      <c r="E211" s="119"/>
      <c r="F211" s="814"/>
      <c r="G211" s="119"/>
      <c r="H211" s="814"/>
      <c r="I211" s="25"/>
      <c r="J211" s="781"/>
      <c r="K211" s="829"/>
      <c r="L211" s="829"/>
      <c r="M211" s="829"/>
      <c r="N211" s="781"/>
    </row>
    <row r="212" spans="1:14" s="26" customFormat="1" ht="21.75">
      <c r="A212" s="119"/>
      <c r="B212" s="214"/>
      <c r="C212" s="214"/>
      <c r="D212" s="199"/>
      <c r="E212" s="119"/>
      <c r="F212" s="814"/>
      <c r="G212" s="119"/>
      <c r="H212" s="814"/>
      <c r="I212" s="25"/>
      <c r="J212" s="781"/>
      <c r="K212" s="829"/>
      <c r="L212" s="829"/>
      <c r="M212" s="829"/>
      <c r="N212" s="781"/>
    </row>
    <row r="213" spans="1:14" s="26" customFormat="1" ht="21.75">
      <c r="A213" s="119"/>
      <c r="B213" s="214"/>
      <c r="C213" s="214"/>
      <c r="D213" s="199"/>
      <c r="E213" s="119"/>
      <c r="F213" s="814"/>
      <c r="G213" s="119"/>
      <c r="H213" s="814"/>
      <c r="I213" s="25"/>
      <c r="J213" s="781"/>
      <c r="K213" s="829"/>
      <c r="L213" s="829"/>
      <c r="M213" s="829"/>
      <c r="N213" s="781"/>
    </row>
    <row r="214" spans="1:14" s="26" customFormat="1" ht="21.75">
      <c r="A214" s="119"/>
      <c r="B214" s="214"/>
      <c r="C214" s="214"/>
      <c r="D214" s="199"/>
      <c r="E214" s="119"/>
      <c r="F214" s="814"/>
      <c r="G214" s="119"/>
      <c r="H214" s="814"/>
      <c r="I214" s="25"/>
      <c r="J214" s="781"/>
      <c r="K214" s="829"/>
      <c r="L214" s="829"/>
      <c r="M214" s="829"/>
      <c r="N214" s="781"/>
    </row>
    <row r="215" spans="1:14" s="26" customFormat="1" ht="21.75">
      <c r="A215" s="119"/>
      <c r="B215" s="214"/>
      <c r="C215" s="214"/>
      <c r="D215" s="199"/>
      <c r="E215" s="119"/>
      <c r="F215" s="814"/>
      <c r="G215" s="119"/>
      <c r="H215" s="814"/>
      <c r="I215" s="25"/>
      <c r="J215" s="781"/>
      <c r="K215" s="829"/>
      <c r="L215" s="829"/>
      <c r="M215" s="829"/>
      <c r="N215" s="781"/>
    </row>
    <row r="216" spans="1:14" s="26" customFormat="1" ht="21.75">
      <c r="A216" s="119"/>
      <c r="B216" s="214"/>
      <c r="C216" s="214"/>
      <c r="D216" s="199"/>
      <c r="E216" s="119"/>
      <c r="F216" s="814"/>
      <c r="G216" s="119"/>
      <c r="H216" s="814"/>
      <c r="I216" s="25"/>
      <c r="J216" s="781"/>
      <c r="K216" s="829"/>
      <c r="L216" s="829"/>
      <c r="M216" s="829"/>
      <c r="N216" s="781"/>
    </row>
    <row r="217" spans="1:14" s="26" customFormat="1" ht="21.75">
      <c r="A217" s="119"/>
      <c r="B217" s="214"/>
      <c r="C217" s="214"/>
      <c r="D217" s="199"/>
      <c r="E217" s="119"/>
      <c r="F217" s="814"/>
      <c r="G217" s="119"/>
      <c r="H217" s="814"/>
      <c r="I217" s="25"/>
      <c r="J217" s="781"/>
      <c r="K217" s="829"/>
      <c r="L217" s="829"/>
      <c r="M217" s="829"/>
      <c r="N217" s="781"/>
    </row>
    <row r="218" spans="1:14" s="26" customFormat="1" ht="21.75">
      <c r="A218" s="119"/>
      <c r="B218" s="214"/>
      <c r="C218" s="214"/>
      <c r="D218" s="199"/>
      <c r="E218" s="119"/>
      <c r="F218" s="814"/>
      <c r="G218" s="119"/>
      <c r="H218" s="814"/>
      <c r="I218" s="25"/>
      <c r="J218" s="781"/>
      <c r="K218" s="829"/>
      <c r="L218" s="829"/>
      <c r="M218" s="829"/>
      <c r="N218" s="781"/>
    </row>
    <row r="219" spans="1:14" s="26" customFormat="1" ht="21.75">
      <c r="A219" s="119"/>
      <c r="B219" s="214"/>
      <c r="C219" s="214"/>
      <c r="D219" s="199"/>
      <c r="E219" s="119"/>
      <c r="F219" s="814"/>
      <c r="G219" s="119"/>
      <c r="H219" s="814"/>
      <c r="I219" s="25"/>
      <c r="J219" s="781"/>
      <c r="K219" s="829"/>
      <c r="L219" s="829"/>
      <c r="M219" s="829"/>
      <c r="N219" s="781"/>
    </row>
    <row r="220" spans="1:14" s="26" customFormat="1" ht="21.75">
      <c r="A220" s="119"/>
      <c r="B220" s="214"/>
      <c r="C220" s="214"/>
      <c r="D220" s="199"/>
      <c r="E220" s="119"/>
      <c r="F220" s="814"/>
      <c r="G220" s="119"/>
      <c r="H220" s="814"/>
      <c r="I220" s="25"/>
      <c r="J220" s="781"/>
      <c r="K220" s="829"/>
      <c r="L220" s="829"/>
      <c r="M220" s="829"/>
      <c r="N220" s="781"/>
    </row>
    <row r="221" spans="1:14" s="26" customFormat="1" ht="21.75">
      <c r="A221" s="119"/>
      <c r="B221" s="214"/>
      <c r="C221" s="214"/>
      <c r="D221" s="199"/>
      <c r="E221" s="119"/>
      <c r="F221" s="814"/>
      <c r="G221" s="119"/>
      <c r="H221" s="814"/>
      <c r="I221" s="25"/>
      <c r="J221" s="781"/>
      <c r="K221" s="829"/>
      <c r="L221" s="829"/>
      <c r="M221" s="829"/>
      <c r="N221" s="781"/>
    </row>
    <row r="222" spans="1:14" s="26" customFormat="1" ht="21.75">
      <c r="A222" s="119"/>
      <c r="B222" s="214"/>
      <c r="C222" s="214"/>
      <c r="D222" s="199"/>
      <c r="E222" s="119"/>
      <c r="F222" s="814"/>
      <c r="G222" s="119"/>
      <c r="H222" s="814"/>
      <c r="I222" s="25"/>
      <c r="J222" s="781"/>
      <c r="K222" s="829"/>
      <c r="L222" s="829"/>
      <c r="M222" s="829"/>
      <c r="N222" s="781"/>
    </row>
    <row r="223" spans="1:14" s="26" customFormat="1" ht="21.75">
      <c r="A223" s="119"/>
      <c r="B223" s="214"/>
      <c r="C223" s="214"/>
      <c r="D223" s="199"/>
      <c r="E223" s="119"/>
      <c r="F223" s="814"/>
      <c r="G223" s="119"/>
      <c r="H223" s="814"/>
      <c r="I223" s="25"/>
      <c r="J223" s="781"/>
      <c r="K223" s="829"/>
      <c r="L223" s="829"/>
      <c r="M223" s="829"/>
      <c r="N223" s="781"/>
    </row>
    <row r="224" spans="1:14" s="26" customFormat="1" ht="21.75">
      <c r="A224" s="119"/>
      <c r="B224" s="214"/>
      <c r="C224" s="214"/>
      <c r="D224" s="199"/>
      <c r="E224" s="119"/>
      <c r="F224" s="814"/>
      <c r="G224" s="119"/>
      <c r="H224" s="814"/>
      <c r="I224" s="25"/>
      <c r="J224" s="781"/>
      <c r="K224" s="829"/>
      <c r="L224" s="829"/>
      <c r="M224" s="829"/>
      <c r="N224" s="781"/>
    </row>
    <row r="225" spans="1:14" s="26" customFormat="1" ht="21.75">
      <c r="A225" s="119"/>
      <c r="B225" s="214"/>
      <c r="C225" s="214"/>
      <c r="D225" s="199"/>
      <c r="E225" s="119"/>
      <c r="F225" s="814"/>
      <c r="G225" s="119"/>
      <c r="H225" s="814"/>
      <c r="I225" s="25"/>
      <c r="J225" s="781"/>
      <c r="K225" s="829"/>
      <c r="L225" s="829"/>
      <c r="M225" s="829"/>
      <c r="N225" s="781"/>
    </row>
    <row r="226" spans="1:14" s="26" customFormat="1" ht="21.75">
      <c r="A226" s="119"/>
      <c r="B226" s="214"/>
      <c r="C226" s="214"/>
      <c r="D226" s="199"/>
      <c r="E226" s="119"/>
      <c r="F226" s="814"/>
      <c r="G226" s="119"/>
      <c r="H226" s="814"/>
      <c r="I226" s="25"/>
      <c r="J226" s="781"/>
      <c r="K226" s="829"/>
      <c r="L226" s="829"/>
      <c r="M226" s="829"/>
      <c r="N226" s="781"/>
    </row>
    <row r="227" spans="1:14" s="26" customFormat="1" ht="21.75">
      <c r="A227" s="119"/>
      <c r="B227" s="214"/>
      <c r="C227" s="214"/>
      <c r="D227" s="199"/>
      <c r="E227" s="119"/>
      <c r="F227" s="814"/>
      <c r="G227" s="119"/>
      <c r="H227" s="814"/>
      <c r="I227" s="25"/>
      <c r="J227" s="781"/>
      <c r="K227" s="829"/>
      <c r="L227" s="829"/>
      <c r="M227" s="829"/>
      <c r="N227" s="781"/>
    </row>
    <row r="228" spans="1:14" s="26" customFormat="1" ht="21.75">
      <c r="A228" s="119"/>
      <c r="B228" s="214"/>
      <c r="C228" s="214"/>
      <c r="D228" s="199"/>
      <c r="E228" s="119"/>
      <c r="F228" s="814"/>
      <c r="G228" s="119"/>
      <c r="H228" s="814"/>
      <c r="I228" s="25"/>
      <c r="J228" s="781"/>
      <c r="K228" s="829"/>
      <c r="L228" s="829"/>
      <c r="M228" s="829"/>
      <c r="N228" s="781"/>
    </row>
    <row r="229" spans="1:14" s="26" customFormat="1" ht="21.75">
      <c r="A229" s="119"/>
      <c r="B229" s="214"/>
      <c r="C229" s="214"/>
      <c r="D229" s="199"/>
      <c r="E229" s="119"/>
      <c r="F229" s="814"/>
      <c r="G229" s="119"/>
      <c r="H229" s="814"/>
      <c r="I229" s="25"/>
      <c r="J229" s="781"/>
      <c r="K229" s="829"/>
      <c r="L229" s="829"/>
      <c r="M229" s="829"/>
      <c r="N229" s="781"/>
    </row>
    <row r="230" spans="1:14" s="26" customFormat="1" ht="21.75">
      <c r="A230" s="119"/>
      <c r="B230" s="214"/>
      <c r="C230" s="214"/>
      <c r="D230" s="199"/>
      <c r="E230" s="119"/>
      <c r="F230" s="814"/>
      <c r="G230" s="119"/>
      <c r="H230" s="814"/>
      <c r="I230" s="25"/>
      <c r="J230" s="781"/>
      <c r="K230" s="829"/>
      <c r="L230" s="829"/>
      <c r="M230" s="829"/>
      <c r="N230" s="781"/>
    </row>
    <row r="231" spans="1:14" s="26" customFormat="1" ht="21.75">
      <c r="A231" s="119"/>
      <c r="B231" s="214"/>
      <c r="C231" s="214"/>
      <c r="D231" s="199"/>
      <c r="E231" s="119"/>
      <c r="F231" s="814"/>
      <c r="G231" s="119"/>
      <c r="H231" s="814"/>
      <c r="I231" s="25"/>
      <c r="J231" s="781"/>
      <c r="K231" s="829"/>
      <c r="L231" s="829"/>
      <c r="M231" s="829"/>
      <c r="N231" s="781"/>
    </row>
    <row r="232" spans="1:14" s="26" customFormat="1" ht="21.75">
      <c r="A232" s="119"/>
      <c r="B232" s="214"/>
      <c r="C232" s="214"/>
      <c r="D232" s="199"/>
      <c r="E232" s="119"/>
      <c r="F232" s="814"/>
      <c r="G232" s="119"/>
      <c r="H232" s="814"/>
      <c r="I232" s="25"/>
      <c r="J232" s="781"/>
      <c r="K232" s="829"/>
      <c r="L232" s="829"/>
      <c r="M232" s="829"/>
      <c r="N232" s="781"/>
    </row>
    <row r="233" spans="1:14" s="26" customFormat="1" ht="21.75">
      <c r="A233" s="119"/>
      <c r="B233" s="214"/>
      <c r="C233" s="214"/>
      <c r="D233" s="199"/>
      <c r="E233" s="119"/>
      <c r="F233" s="814"/>
      <c r="G233" s="119"/>
      <c r="H233" s="814"/>
      <c r="I233" s="25"/>
      <c r="J233" s="781"/>
      <c r="K233" s="829"/>
      <c r="L233" s="829"/>
      <c r="M233" s="829"/>
      <c r="N233" s="781"/>
    </row>
    <row r="234" spans="1:14" s="26" customFormat="1" ht="21.75">
      <c r="A234" s="119"/>
      <c r="B234" s="214"/>
      <c r="C234" s="214"/>
      <c r="D234" s="199"/>
      <c r="E234" s="119"/>
      <c r="F234" s="814"/>
      <c r="G234" s="119"/>
      <c r="H234" s="814"/>
      <c r="I234" s="25"/>
      <c r="J234" s="781"/>
      <c r="K234" s="829"/>
      <c r="L234" s="829"/>
      <c r="M234" s="829"/>
      <c r="N234" s="781"/>
    </row>
    <row r="235" spans="1:14" s="26" customFormat="1" ht="21.75">
      <c r="A235" s="119"/>
      <c r="B235" s="214"/>
      <c r="C235" s="214"/>
      <c r="D235" s="199"/>
      <c r="E235" s="119"/>
      <c r="F235" s="814"/>
      <c r="G235" s="119"/>
      <c r="H235" s="814"/>
      <c r="I235" s="25"/>
      <c r="J235" s="781"/>
      <c r="K235" s="829"/>
      <c r="L235" s="829"/>
      <c r="M235" s="829"/>
      <c r="N235" s="781"/>
    </row>
    <row r="236" spans="1:14" s="26" customFormat="1" ht="21.75">
      <c r="A236" s="119"/>
      <c r="B236" s="214"/>
      <c r="C236" s="214"/>
      <c r="D236" s="199"/>
      <c r="E236" s="119"/>
      <c r="F236" s="814"/>
      <c r="G236" s="119"/>
      <c r="H236" s="814"/>
      <c r="I236" s="25"/>
      <c r="J236" s="781"/>
      <c r="K236" s="829"/>
      <c r="L236" s="829"/>
      <c r="M236" s="829"/>
      <c r="N236" s="781"/>
    </row>
    <row r="237" spans="1:14" s="26" customFormat="1" ht="21.75">
      <c r="A237" s="119"/>
      <c r="B237" s="214"/>
      <c r="C237" s="214"/>
      <c r="D237" s="199"/>
      <c r="E237" s="119"/>
      <c r="F237" s="814"/>
      <c r="G237" s="119"/>
      <c r="H237" s="814"/>
      <c r="I237" s="25"/>
      <c r="J237" s="781"/>
      <c r="K237" s="829"/>
      <c r="L237" s="829"/>
      <c r="M237" s="829"/>
      <c r="N237" s="781"/>
    </row>
    <row r="238" spans="1:14" s="26" customFormat="1" ht="21.75">
      <c r="A238" s="119"/>
      <c r="B238" s="214"/>
      <c r="C238" s="214"/>
      <c r="D238" s="199"/>
      <c r="E238" s="119"/>
      <c r="F238" s="814"/>
      <c r="G238" s="119"/>
      <c r="H238" s="814"/>
      <c r="I238" s="25"/>
      <c r="J238" s="781"/>
      <c r="K238" s="829"/>
      <c r="L238" s="829"/>
      <c r="M238" s="829"/>
      <c r="N238" s="781"/>
    </row>
    <row r="239" spans="1:14" s="26" customFormat="1" ht="21.75">
      <c r="A239" s="119"/>
      <c r="B239" s="214"/>
      <c r="C239" s="214"/>
      <c r="D239" s="199"/>
      <c r="E239" s="119"/>
      <c r="F239" s="814"/>
      <c r="G239" s="119"/>
      <c r="H239" s="814"/>
      <c r="I239" s="25"/>
      <c r="J239" s="781"/>
      <c r="K239" s="829"/>
      <c r="L239" s="829"/>
      <c r="M239" s="829"/>
      <c r="N239" s="781"/>
    </row>
    <row r="240" spans="1:14" s="26" customFormat="1" ht="21.75">
      <c r="A240" s="119"/>
      <c r="B240" s="214"/>
      <c r="C240" s="214"/>
      <c r="D240" s="199"/>
      <c r="E240" s="119"/>
      <c r="F240" s="814"/>
      <c r="G240" s="119"/>
      <c r="H240" s="814"/>
      <c r="I240" s="25"/>
      <c r="J240" s="781"/>
      <c r="K240" s="829"/>
      <c r="L240" s="829"/>
      <c r="M240" s="829"/>
      <c r="N240" s="781"/>
    </row>
    <row r="241" spans="1:14" s="26" customFormat="1" ht="21.75">
      <c r="A241" s="119"/>
      <c r="B241" s="214"/>
      <c r="C241" s="214"/>
      <c r="D241" s="199"/>
      <c r="E241" s="119"/>
      <c r="F241" s="814"/>
      <c r="G241" s="119"/>
      <c r="H241" s="814"/>
      <c r="I241" s="25"/>
      <c r="J241" s="781"/>
      <c r="K241" s="829"/>
      <c r="L241" s="829"/>
      <c r="M241" s="829"/>
      <c r="N241" s="781"/>
    </row>
    <row r="242" spans="1:14" s="26" customFormat="1" ht="21.75">
      <c r="A242" s="119"/>
      <c r="B242" s="214"/>
      <c r="C242" s="214"/>
      <c r="D242" s="199"/>
      <c r="E242" s="119"/>
      <c r="F242" s="814"/>
      <c r="G242" s="119"/>
      <c r="H242" s="814"/>
      <c r="I242" s="25"/>
      <c r="J242" s="781"/>
      <c r="K242" s="829"/>
      <c r="L242" s="829"/>
      <c r="M242" s="829"/>
      <c r="N242" s="781"/>
    </row>
    <row r="243" spans="1:14" s="26" customFormat="1" ht="21.75">
      <c r="A243" s="119"/>
      <c r="B243" s="214"/>
      <c r="C243" s="214"/>
      <c r="D243" s="199"/>
      <c r="E243" s="119"/>
      <c r="F243" s="814"/>
      <c r="G243" s="119"/>
      <c r="H243" s="814"/>
      <c r="I243" s="25"/>
      <c r="J243" s="781"/>
      <c r="K243" s="829"/>
      <c r="L243" s="829"/>
      <c r="M243" s="829"/>
      <c r="N243" s="781"/>
    </row>
    <row r="244" spans="1:14" s="26" customFormat="1" ht="21.75">
      <c r="A244" s="119"/>
      <c r="B244" s="214"/>
      <c r="C244" s="214"/>
      <c r="D244" s="199"/>
      <c r="E244" s="119"/>
      <c r="F244" s="814"/>
      <c r="G244" s="119"/>
      <c r="H244" s="814"/>
      <c r="I244" s="25"/>
      <c r="J244" s="781"/>
      <c r="K244" s="829"/>
      <c r="L244" s="829"/>
      <c r="M244" s="829"/>
      <c r="N244" s="781"/>
    </row>
    <row r="245" spans="1:14" s="26" customFormat="1" ht="21.75">
      <c r="A245" s="119"/>
      <c r="B245" s="214"/>
      <c r="C245" s="214"/>
      <c r="D245" s="199"/>
      <c r="E245" s="119"/>
      <c r="F245" s="814"/>
      <c r="G245" s="119"/>
      <c r="H245" s="814"/>
      <c r="I245" s="25"/>
      <c r="J245" s="781"/>
      <c r="K245" s="829"/>
      <c r="L245" s="829"/>
      <c r="M245" s="829"/>
      <c r="N245" s="781"/>
    </row>
    <row r="246" spans="1:14" s="26" customFormat="1" ht="21.75">
      <c r="A246" s="119"/>
      <c r="B246" s="214"/>
      <c r="C246" s="214"/>
      <c r="D246" s="199"/>
      <c r="E246" s="119"/>
      <c r="F246" s="814"/>
      <c r="G246" s="119"/>
      <c r="H246" s="814"/>
      <c r="I246" s="25"/>
      <c r="J246" s="781"/>
      <c r="K246" s="829"/>
      <c r="L246" s="829"/>
      <c r="M246" s="829"/>
      <c r="N246" s="781"/>
    </row>
    <row r="247" spans="1:14" s="26" customFormat="1" ht="21.75">
      <c r="A247" s="119"/>
      <c r="B247" s="214"/>
      <c r="C247" s="214"/>
      <c r="D247" s="199"/>
      <c r="E247" s="119"/>
      <c r="F247" s="814"/>
      <c r="G247" s="119"/>
      <c r="H247" s="814"/>
      <c r="I247" s="25"/>
      <c r="J247" s="781"/>
      <c r="K247" s="829"/>
      <c r="L247" s="829"/>
      <c r="M247" s="829"/>
      <c r="N247" s="781"/>
    </row>
    <row r="248" spans="1:14" s="26" customFormat="1" ht="21.75">
      <c r="A248" s="119"/>
      <c r="B248" s="214"/>
      <c r="C248" s="214"/>
      <c r="D248" s="199"/>
      <c r="E248" s="119"/>
      <c r="F248" s="814"/>
      <c r="G248" s="119"/>
      <c r="H248" s="814"/>
      <c r="I248" s="25"/>
      <c r="J248" s="781"/>
      <c r="K248" s="829"/>
      <c r="L248" s="829"/>
      <c r="M248" s="829"/>
      <c r="N248" s="781"/>
    </row>
    <row r="249" spans="1:14" s="26" customFormat="1" ht="21.75">
      <c r="A249" s="119"/>
      <c r="B249" s="214"/>
      <c r="C249" s="214"/>
      <c r="D249" s="199"/>
      <c r="E249" s="119"/>
      <c r="F249" s="814"/>
      <c r="G249" s="119"/>
      <c r="H249" s="814"/>
      <c r="I249" s="25"/>
      <c r="J249" s="781"/>
      <c r="K249" s="829"/>
      <c r="L249" s="829"/>
      <c r="M249" s="829"/>
      <c r="N249" s="781"/>
    </row>
    <row r="250" spans="1:14" s="26" customFormat="1" ht="21.75">
      <c r="A250" s="119"/>
      <c r="B250" s="214"/>
      <c r="C250" s="214"/>
      <c r="D250" s="199"/>
      <c r="E250" s="119"/>
      <c r="F250" s="814"/>
      <c r="G250" s="119"/>
      <c r="H250" s="814"/>
      <c r="I250" s="25"/>
      <c r="J250" s="781"/>
      <c r="K250" s="829"/>
      <c r="L250" s="829"/>
      <c r="M250" s="829"/>
      <c r="N250" s="781"/>
    </row>
    <row r="251" spans="1:14" s="26" customFormat="1" ht="21.75">
      <c r="A251" s="119"/>
      <c r="B251" s="214"/>
      <c r="C251" s="214"/>
      <c r="D251" s="199"/>
      <c r="E251" s="119"/>
      <c r="F251" s="814"/>
      <c r="G251" s="119"/>
      <c r="H251" s="814"/>
      <c r="I251" s="25"/>
      <c r="J251" s="781"/>
      <c r="K251" s="829"/>
      <c r="L251" s="829"/>
      <c r="M251" s="829"/>
      <c r="N251" s="781"/>
    </row>
    <row r="252" spans="1:14" s="26" customFormat="1" ht="21.75">
      <c r="A252" s="119"/>
      <c r="B252" s="214"/>
      <c r="C252" s="214"/>
      <c r="D252" s="199"/>
      <c r="E252" s="119"/>
      <c r="F252" s="814"/>
      <c r="G252" s="119"/>
      <c r="H252" s="814"/>
      <c r="I252" s="25"/>
      <c r="J252" s="781"/>
      <c r="K252" s="829"/>
      <c r="L252" s="829"/>
      <c r="M252" s="829"/>
      <c r="N252" s="781"/>
    </row>
    <row r="253" spans="1:14" s="26" customFormat="1" ht="21.75">
      <c r="A253" s="119"/>
      <c r="B253" s="214"/>
      <c r="C253" s="214"/>
      <c r="D253" s="199"/>
      <c r="E253" s="119"/>
      <c r="F253" s="814"/>
      <c r="G253" s="119"/>
      <c r="H253" s="814"/>
      <c r="I253" s="25"/>
      <c r="J253" s="781"/>
      <c r="K253" s="829"/>
      <c r="L253" s="829"/>
      <c r="M253" s="829"/>
      <c r="N253" s="781"/>
    </row>
    <row r="254" spans="1:14" s="26" customFormat="1" ht="21.75">
      <c r="A254" s="119"/>
      <c r="B254" s="214"/>
      <c r="C254" s="214"/>
      <c r="D254" s="199"/>
      <c r="E254" s="119"/>
      <c r="F254" s="814"/>
      <c r="G254" s="119"/>
      <c r="H254" s="814"/>
      <c r="I254" s="25"/>
      <c r="J254" s="781"/>
      <c r="K254" s="829"/>
      <c r="L254" s="829"/>
      <c r="M254" s="829"/>
      <c r="N254" s="781"/>
    </row>
    <row r="255" spans="1:14" s="26" customFormat="1" ht="21.75">
      <c r="A255" s="119"/>
      <c r="B255" s="214"/>
      <c r="C255" s="214"/>
      <c r="D255" s="199"/>
      <c r="E255" s="119"/>
      <c r="F255" s="814"/>
      <c r="G255" s="119"/>
      <c r="H255" s="814"/>
      <c r="I255" s="25"/>
      <c r="J255" s="781"/>
      <c r="K255" s="829"/>
      <c r="L255" s="829"/>
      <c r="M255" s="829"/>
      <c r="N255" s="781"/>
    </row>
    <row r="256" spans="1:14" s="26" customFormat="1" ht="21.75">
      <c r="A256" s="119"/>
      <c r="B256" s="214"/>
      <c r="C256" s="214"/>
      <c r="D256" s="199"/>
      <c r="E256" s="119"/>
      <c r="F256" s="814"/>
      <c r="G256" s="119"/>
      <c r="H256" s="814"/>
      <c r="I256" s="25"/>
      <c r="J256" s="781"/>
      <c r="K256" s="829"/>
      <c r="L256" s="829"/>
      <c r="M256" s="829"/>
      <c r="N256" s="781"/>
    </row>
    <row r="257" spans="1:14" s="26" customFormat="1" ht="21.75">
      <c r="A257" s="119"/>
      <c r="B257" s="214"/>
      <c r="C257" s="214"/>
      <c r="D257" s="199"/>
      <c r="E257" s="119"/>
      <c r="F257" s="814"/>
      <c r="G257" s="119"/>
      <c r="H257" s="814"/>
      <c r="I257" s="25"/>
      <c r="J257" s="781"/>
      <c r="K257" s="829"/>
      <c r="L257" s="829"/>
      <c r="M257" s="829"/>
      <c r="N257" s="781"/>
    </row>
    <row r="258" spans="1:14" s="26" customFormat="1" ht="21.75">
      <c r="A258" s="119"/>
      <c r="B258" s="214"/>
      <c r="C258" s="214"/>
      <c r="D258" s="199"/>
      <c r="E258" s="119"/>
      <c r="F258" s="814"/>
      <c r="G258" s="119"/>
      <c r="H258" s="814"/>
      <c r="I258" s="25"/>
      <c r="J258" s="781"/>
      <c r="K258" s="829"/>
      <c r="L258" s="829"/>
      <c r="M258" s="829"/>
      <c r="N258" s="781"/>
    </row>
    <row r="259" spans="1:14" s="26" customFormat="1" ht="21.75">
      <c r="A259" s="119"/>
      <c r="B259" s="214"/>
      <c r="C259" s="214"/>
      <c r="D259" s="199"/>
      <c r="E259" s="119"/>
      <c r="F259" s="814"/>
      <c r="G259" s="119"/>
      <c r="H259" s="814"/>
      <c r="I259" s="25"/>
      <c r="J259" s="781"/>
      <c r="K259" s="829"/>
      <c r="L259" s="829"/>
      <c r="M259" s="829"/>
      <c r="N259" s="781"/>
    </row>
    <row r="260" spans="1:14" s="26" customFormat="1" ht="21.75">
      <c r="A260" s="119"/>
      <c r="B260" s="214"/>
      <c r="C260" s="214"/>
      <c r="D260" s="199"/>
      <c r="E260" s="119"/>
      <c r="F260" s="814"/>
      <c r="G260" s="119"/>
      <c r="H260" s="814"/>
      <c r="I260" s="25"/>
      <c r="J260" s="781"/>
      <c r="K260" s="829"/>
      <c r="L260" s="829"/>
      <c r="M260" s="829"/>
      <c r="N260" s="781"/>
    </row>
    <row r="261" spans="1:14" s="26" customFormat="1" ht="21.75">
      <c r="A261" s="119"/>
      <c r="B261" s="214"/>
      <c r="C261" s="214"/>
      <c r="D261" s="199"/>
      <c r="E261" s="119"/>
      <c r="F261" s="814"/>
      <c r="G261" s="119"/>
      <c r="H261" s="814"/>
      <c r="I261" s="25"/>
      <c r="J261" s="781"/>
      <c r="K261" s="829"/>
      <c r="L261" s="829"/>
      <c r="M261" s="829"/>
      <c r="N261" s="781"/>
    </row>
    <row r="262" spans="1:14" s="26" customFormat="1" ht="21.75">
      <c r="A262" s="119"/>
      <c r="B262" s="214"/>
      <c r="C262" s="214"/>
      <c r="D262" s="199"/>
      <c r="E262" s="119"/>
      <c r="F262" s="814"/>
      <c r="G262" s="119"/>
      <c r="H262" s="814"/>
      <c r="I262" s="25"/>
      <c r="J262" s="781"/>
      <c r="K262" s="829"/>
      <c r="L262" s="829"/>
      <c r="M262" s="829"/>
      <c r="N262" s="781"/>
    </row>
    <row r="263" spans="1:14" s="26" customFormat="1" ht="21.75">
      <c r="A263" s="119"/>
      <c r="B263" s="214"/>
      <c r="C263" s="214"/>
      <c r="D263" s="199"/>
      <c r="E263" s="119"/>
      <c r="F263" s="814"/>
      <c r="G263" s="119"/>
      <c r="H263" s="814"/>
      <c r="I263" s="25"/>
      <c r="J263" s="781"/>
      <c r="K263" s="829"/>
      <c r="L263" s="829"/>
      <c r="M263" s="829"/>
      <c r="N263" s="781"/>
    </row>
  </sheetData>
  <sheetProtection/>
  <mergeCells count="7">
    <mergeCell ref="M2:N2"/>
    <mergeCell ref="L2:L3"/>
    <mergeCell ref="A2:A3"/>
    <mergeCell ref="E2:F2"/>
    <mergeCell ref="I2:J2"/>
    <mergeCell ref="K2:K3"/>
    <mergeCell ref="G2:H2"/>
  </mergeCells>
  <dataValidations count="1">
    <dataValidation type="list" allowBlank="1" showInputMessage="1" showErrorMessage="1" sqref="D26">
      <formula1>country</formula1>
    </dataValidation>
  </dataValidations>
  <printOptions/>
  <pageMargins left="0.18" right="0.16" top="0.29" bottom="0.36" header="0.25" footer="0.27"/>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theme="5" tint="0.39998000860214233"/>
  </sheetPr>
  <dimension ref="A1:AX1051"/>
  <sheetViews>
    <sheetView zoomScalePageLayoutView="0" workbookViewId="0" topLeftCell="A74">
      <selection activeCell="E40" sqref="E40"/>
    </sheetView>
  </sheetViews>
  <sheetFormatPr defaultColWidth="9.140625" defaultRowHeight="12.75"/>
  <cols>
    <col min="1" max="1" width="13.7109375" style="68" customWidth="1"/>
    <col min="2" max="2" width="4.421875" style="73" customWidth="1"/>
    <col min="3" max="3" width="9.28125" style="371" bestFit="1" customWidth="1"/>
    <col min="4" max="4" width="5.140625" style="58" customWidth="1"/>
    <col min="5" max="5" width="6.57421875" style="344" customWidth="1"/>
    <col min="6" max="6" width="4.7109375" style="138" customWidth="1"/>
    <col min="7" max="7" width="6.28125" style="344" customWidth="1"/>
    <col min="8" max="8" width="4.8515625" style="138" customWidth="1"/>
    <col min="9" max="9" width="6.57421875" style="344" customWidth="1"/>
    <col min="10" max="10" width="4.421875" style="138" customWidth="1"/>
    <col min="11" max="11" width="6.421875" style="344" customWidth="1"/>
    <col min="12" max="12" width="4.421875" style="138" customWidth="1"/>
    <col min="13" max="13" width="8.28125" style="762" bestFit="1" customWidth="1"/>
    <col min="14" max="14" width="5.00390625" style="138" customWidth="1"/>
    <col min="15" max="15" width="6.57421875" style="344" customWidth="1"/>
    <col min="16" max="16" width="4.8515625" style="138" customWidth="1"/>
    <col min="17" max="17" width="6.7109375" style="344" customWidth="1"/>
    <col min="18" max="18" width="5.00390625" style="138" customWidth="1"/>
    <col min="19" max="19" width="6.28125" style="344" customWidth="1"/>
    <col min="20" max="20" width="4.7109375" style="139" customWidth="1"/>
    <col min="21" max="21" width="8.421875" style="374" customWidth="1"/>
    <col min="22" max="22" width="5.421875" style="68" customWidth="1"/>
    <col min="23" max="23" width="8.28125" style="762" bestFit="1" customWidth="1"/>
    <col min="24" max="24" width="5.57421875" style="68" customWidth="1"/>
    <col min="25" max="25" width="6.7109375" style="374" customWidth="1"/>
    <col min="26" max="26" width="4.421875" style="68" customWidth="1"/>
    <col min="27" max="27" width="8.140625" style="374" customWidth="1"/>
    <col min="28" max="28" width="4.57421875" style="374" bestFit="1" customWidth="1"/>
    <col min="29" max="29" width="8.00390625" style="374" customWidth="1"/>
    <col min="30" max="30" width="5.00390625" style="139" customWidth="1"/>
    <col min="31" max="31" width="9.57421875" style="1173" customWidth="1"/>
    <col min="32" max="32" width="5.7109375" style="68" customWidth="1"/>
    <col min="33" max="33" width="8.8515625" style="68" customWidth="1"/>
    <col min="34" max="34" width="4.421875" style="139" customWidth="1"/>
    <col min="35" max="35" width="9.140625" style="138" customWidth="1"/>
    <col min="36" max="36" width="4.7109375" style="138" customWidth="1"/>
    <col min="37" max="37" width="8.421875" style="138" customWidth="1"/>
    <col min="38" max="38" width="4.140625" style="139" customWidth="1"/>
    <col min="39" max="39" width="7.421875" style="68" customWidth="1"/>
    <col min="40" max="40" width="4.00390625" style="68" customWidth="1"/>
    <col min="41" max="41" width="6.57421875" style="68" customWidth="1"/>
    <col min="42" max="42" width="4.140625" style="139" customWidth="1"/>
    <col min="43" max="43" width="6.8515625" style="68" customWidth="1"/>
    <col min="44" max="44" width="5.8515625" style="139" customWidth="1"/>
    <col min="45" max="45" width="8.421875" style="68" customWidth="1"/>
    <col min="46" max="46" width="5.28125" style="68" customWidth="1"/>
    <col min="47" max="47" width="9.7109375" style="86" customWidth="1"/>
    <col min="48" max="48" width="11.00390625" style="0" customWidth="1"/>
    <col min="49" max="49" width="10.8515625" style="139" customWidth="1"/>
    <col min="50" max="50" width="10.28125" style="68" customWidth="1"/>
    <col min="51" max="16384" width="9.140625" style="68" customWidth="1"/>
  </cols>
  <sheetData>
    <row r="1" spans="1:50" s="59" customFormat="1" ht="23.25" customHeight="1">
      <c r="A1" s="184" t="s">
        <v>623</v>
      </c>
      <c r="B1" s="203"/>
      <c r="C1" s="358"/>
      <c r="D1" s="58"/>
      <c r="E1" s="344"/>
      <c r="F1" s="138"/>
      <c r="G1" s="344"/>
      <c r="H1" s="138"/>
      <c r="I1" s="344"/>
      <c r="J1" s="138"/>
      <c r="K1" s="344"/>
      <c r="L1" s="138"/>
      <c r="M1" s="762"/>
      <c r="N1" s="138"/>
      <c r="O1" s="344"/>
      <c r="P1" s="138"/>
      <c r="Q1" s="344"/>
      <c r="R1" s="138"/>
      <c r="S1" s="344"/>
      <c r="T1" s="139"/>
      <c r="U1" s="344"/>
      <c r="V1" s="138"/>
      <c r="W1" s="762"/>
      <c r="X1" s="138"/>
      <c r="Y1" s="344"/>
      <c r="Z1" s="138"/>
      <c r="AA1" s="344"/>
      <c r="AB1" s="344"/>
      <c r="AC1" s="344"/>
      <c r="AD1" s="139"/>
      <c r="AE1" s="1173"/>
      <c r="AF1" s="138"/>
      <c r="AG1" s="138"/>
      <c r="AL1" s="139"/>
      <c r="AN1" s="74"/>
      <c r="AO1" s="74" t="s">
        <v>144</v>
      </c>
      <c r="AR1" s="139"/>
      <c r="AS1" s="68"/>
      <c r="AT1" s="68"/>
      <c r="AU1" s="72"/>
      <c r="AW1" s="139"/>
      <c r="AX1" s="68"/>
    </row>
    <row r="2" spans="1:50" s="59" customFormat="1" ht="34.5" customHeight="1" thickBot="1">
      <c r="A2" s="236" t="s">
        <v>180</v>
      </c>
      <c r="B2" s="204"/>
      <c r="C2" s="359"/>
      <c r="D2"/>
      <c r="E2" s="313"/>
      <c r="F2"/>
      <c r="G2" s="313"/>
      <c r="H2"/>
      <c r="I2" s="313"/>
      <c r="J2"/>
      <c r="K2" s="313"/>
      <c r="L2"/>
      <c r="M2" s="1159"/>
      <c r="N2"/>
      <c r="O2" s="313"/>
      <c r="P2"/>
      <c r="Q2" s="313"/>
      <c r="R2"/>
      <c r="S2" s="313"/>
      <c r="T2"/>
      <c r="U2" s="313"/>
      <c r="V2"/>
      <c r="W2" s="1159"/>
      <c r="X2"/>
      <c r="Y2" s="313"/>
      <c r="Z2"/>
      <c r="AA2" s="313"/>
      <c r="AB2" s="313"/>
      <c r="AC2" s="313"/>
      <c r="AD2"/>
      <c r="AE2" s="1174" t="s">
        <v>101</v>
      </c>
      <c r="AF2"/>
      <c r="AG2"/>
      <c r="AH2"/>
      <c r="AI2"/>
      <c r="AJ2"/>
      <c r="AK2"/>
      <c r="AL2"/>
      <c r="AM2"/>
      <c r="AN2"/>
      <c r="AO2"/>
      <c r="AP2"/>
      <c r="AQ2"/>
      <c r="AR2"/>
      <c r="AS2"/>
      <c r="AT2" s="68"/>
      <c r="AU2" s="72"/>
      <c r="AW2" s="139"/>
      <c r="AX2" s="68"/>
    </row>
    <row r="3" spans="1:37" s="59" customFormat="1" ht="71.25" customHeight="1">
      <c r="A3" s="1271" t="s">
        <v>1</v>
      </c>
      <c r="B3" s="1324" t="s">
        <v>70</v>
      </c>
      <c r="C3" s="1324"/>
      <c r="D3" s="1324" t="s">
        <v>83</v>
      </c>
      <c r="E3" s="1324"/>
      <c r="F3" s="1324" t="s">
        <v>72</v>
      </c>
      <c r="G3" s="1324"/>
      <c r="H3" s="1324" t="s">
        <v>84</v>
      </c>
      <c r="I3" s="1324"/>
      <c r="J3" s="1324" t="s">
        <v>154</v>
      </c>
      <c r="K3" s="1324"/>
      <c r="L3" s="1324" t="s">
        <v>74</v>
      </c>
      <c r="M3" s="1324"/>
      <c r="N3" s="1324" t="s">
        <v>159</v>
      </c>
      <c r="O3" s="1324"/>
      <c r="P3" s="258" t="s">
        <v>75</v>
      </c>
      <c r="Q3" s="373"/>
      <c r="R3" s="1323" t="s">
        <v>76</v>
      </c>
      <c r="S3" s="1323"/>
      <c r="T3" s="1323" t="s">
        <v>77</v>
      </c>
      <c r="U3" s="1323"/>
      <c r="V3" s="1324" t="s">
        <v>78</v>
      </c>
      <c r="W3" s="1324"/>
      <c r="X3" s="1323" t="s">
        <v>81</v>
      </c>
      <c r="Y3" s="1323"/>
      <c r="Z3" s="1323" t="s">
        <v>92</v>
      </c>
      <c r="AA3" s="1323"/>
      <c r="AB3" s="1324" t="s">
        <v>530</v>
      </c>
      <c r="AC3" s="1324"/>
      <c r="AD3" s="1325" t="s">
        <v>65</v>
      </c>
      <c r="AE3" s="1325"/>
      <c r="AF3" s="68"/>
      <c r="AG3" s="72"/>
      <c r="AH3"/>
      <c r="AI3"/>
      <c r="AJ3"/>
      <c r="AK3"/>
    </row>
    <row r="4" spans="1:37" s="217" customFormat="1" ht="19.5" customHeight="1" thickBot="1">
      <c r="A4" s="1272"/>
      <c r="B4" s="215" t="s">
        <v>10</v>
      </c>
      <c r="C4" s="360" t="s">
        <v>9</v>
      </c>
      <c r="D4" s="215" t="s">
        <v>10</v>
      </c>
      <c r="E4" s="360" t="s">
        <v>9</v>
      </c>
      <c r="F4" s="215" t="s">
        <v>10</v>
      </c>
      <c r="G4" s="360" t="s">
        <v>9</v>
      </c>
      <c r="H4" s="215" t="s">
        <v>10</v>
      </c>
      <c r="I4" s="360" t="s">
        <v>9</v>
      </c>
      <c r="J4" s="215" t="s">
        <v>10</v>
      </c>
      <c r="K4" s="360" t="s">
        <v>9</v>
      </c>
      <c r="L4" s="215" t="s">
        <v>10</v>
      </c>
      <c r="M4" s="1160" t="s">
        <v>9</v>
      </c>
      <c r="N4" s="216" t="s">
        <v>10</v>
      </c>
      <c r="O4" s="360" t="s">
        <v>9</v>
      </c>
      <c r="P4" s="216" t="s">
        <v>10</v>
      </c>
      <c r="Q4" s="360" t="s">
        <v>9</v>
      </c>
      <c r="R4" s="216" t="s">
        <v>10</v>
      </c>
      <c r="S4" s="360" t="s">
        <v>9</v>
      </c>
      <c r="T4" s="216" t="s">
        <v>10</v>
      </c>
      <c r="U4" s="360" t="s">
        <v>9</v>
      </c>
      <c r="V4" s="216" t="s">
        <v>10</v>
      </c>
      <c r="W4" s="1160" t="s">
        <v>9</v>
      </c>
      <c r="X4" s="216" t="s">
        <v>10</v>
      </c>
      <c r="Y4" s="360" t="s">
        <v>9</v>
      </c>
      <c r="Z4" s="216" t="s">
        <v>10</v>
      </c>
      <c r="AA4" s="360" t="s">
        <v>9</v>
      </c>
      <c r="AB4" s="216" t="s">
        <v>10</v>
      </c>
      <c r="AC4" s="360" t="s">
        <v>9</v>
      </c>
      <c r="AD4" s="216" t="s">
        <v>10</v>
      </c>
      <c r="AE4" s="1175" t="s">
        <v>9</v>
      </c>
      <c r="AG4" s="218"/>
      <c r="AH4"/>
      <c r="AI4"/>
      <c r="AJ4"/>
      <c r="AK4"/>
    </row>
    <row r="5" spans="1:37" s="59" customFormat="1" ht="22.5" customHeight="1">
      <c r="A5" s="75" t="s">
        <v>85</v>
      </c>
      <c r="B5" s="60"/>
      <c r="C5" s="361"/>
      <c r="D5" s="61"/>
      <c r="E5" s="337"/>
      <c r="F5" s="62"/>
      <c r="G5" s="337"/>
      <c r="H5" s="62"/>
      <c r="I5" s="337"/>
      <c r="J5" s="62"/>
      <c r="K5" s="337"/>
      <c r="L5" s="62"/>
      <c r="M5" s="1161"/>
      <c r="N5" s="62"/>
      <c r="O5" s="337"/>
      <c r="P5" s="62"/>
      <c r="Q5" s="337"/>
      <c r="R5" s="63"/>
      <c r="S5" s="337"/>
      <c r="T5" s="62"/>
      <c r="U5" s="337"/>
      <c r="V5" s="63"/>
      <c r="W5" s="1161"/>
      <c r="X5" s="62"/>
      <c r="Y5" s="337"/>
      <c r="Z5" s="63"/>
      <c r="AA5" s="337"/>
      <c r="AB5" s="337"/>
      <c r="AC5" s="337"/>
      <c r="AD5" s="63"/>
      <c r="AE5" s="1176"/>
      <c r="AF5" s="68"/>
      <c r="AG5" s="72"/>
      <c r="AH5"/>
      <c r="AI5"/>
      <c r="AJ5"/>
      <c r="AK5"/>
    </row>
    <row r="6" spans="1:37" s="140" customFormat="1" ht="21" customHeight="1">
      <c r="A6" s="109" t="s">
        <v>86</v>
      </c>
      <c r="B6" s="1139">
        <v>16</v>
      </c>
      <c r="C6" s="1157">
        <v>1334.6</v>
      </c>
      <c r="D6" s="1139"/>
      <c r="E6" s="1140"/>
      <c r="F6" s="1139"/>
      <c r="G6" s="1140">
        <f>6.8</f>
        <v>6.8</v>
      </c>
      <c r="H6" s="1139"/>
      <c r="I6" s="1140"/>
      <c r="J6" s="1139"/>
      <c r="K6" s="1140"/>
      <c r="L6" s="1139"/>
      <c r="M6" s="1157"/>
      <c r="N6" s="1139"/>
      <c r="O6" s="1140"/>
      <c r="P6" s="1139"/>
      <c r="Q6" s="1140"/>
      <c r="R6" s="1139"/>
      <c r="S6" s="1140"/>
      <c r="T6" s="1139"/>
      <c r="U6" s="1140">
        <v>6.2</v>
      </c>
      <c r="V6" s="1141">
        <v>3</v>
      </c>
      <c r="W6" s="1157">
        <v>420.5</v>
      </c>
      <c r="X6" s="1139"/>
      <c r="Y6" s="1140"/>
      <c r="Z6" s="1139"/>
      <c r="AA6" s="1140"/>
      <c r="AB6" s="1140"/>
      <c r="AC6" s="1140"/>
      <c r="AD6" s="430">
        <f aca="true" t="shared" si="0" ref="AD6:AE10">B6+D6+F6+H6+J6+L6+N6+P6+R6+T6+V6+X6+Z6+AB6</f>
        <v>19</v>
      </c>
      <c r="AE6" s="462">
        <f t="shared" si="0"/>
        <v>1768.1</v>
      </c>
      <c r="AH6"/>
      <c r="AI6"/>
      <c r="AJ6"/>
      <c r="AK6"/>
    </row>
    <row r="7" spans="1:37" s="140" customFormat="1" ht="21" customHeight="1">
      <c r="A7" s="109" t="s">
        <v>87</v>
      </c>
      <c r="B7" s="1141">
        <v>8</v>
      </c>
      <c r="C7" s="1157">
        <v>1378.6</v>
      </c>
      <c r="D7" s="1141"/>
      <c r="E7" s="1140">
        <v>20.9</v>
      </c>
      <c r="F7" s="1141"/>
      <c r="G7" s="1140">
        <f>205.5+6.9</f>
        <v>212.4</v>
      </c>
      <c r="H7" s="1139"/>
      <c r="I7" s="1140"/>
      <c r="J7" s="1139"/>
      <c r="K7" s="1140"/>
      <c r="L7" s="1139"/>
      <c r="M7" s="1157">
        <v>1850.9</v>
      </c>
      <c r="N7" s="1139"/>
      <c r="O7" s="1140">
        <v>342.1</v>
      </c>
      <c r="P7" s="1139"/>
      <c r="Q7" s="1140"/>
      <c r="R7" s="1139"/>
      <c r="S7" s="1140"/>
      <c r="T7" s="1141"/>
      <c r="U7" s="1140">
        <f>9+6.3</f>
        <v>15.3</v>
      </c>
      <c r="V7" s="1139">
        <v>3</v>
      </c>
      <c r="W7" s="1157">
        <v>247.6</v>
      </c>
      <c r="X7" s="1141"/>
      <c r="Y7" s="1140">
        <v>12.7</v>
      </c>
      <c r="Z7" s="1139"/>
      <c r="AA7" s="1140">
        <v>733</v>
      </c>
      <c r="AB7" s="1140"/>
      <c r="AC7" s="1140"/>
      <c r="AD7" s="430">
        <f t="shared" si="0"/>
        <v>11</v>
      </c>
      <c r="AE7" s="462">
        <f t="shared" si="0"/>
        <v>4813.5</v>
      </c>
      <c r="AH7"/>
      <c r="AI7"/>
      <c r="AJ7"/>
      <c r="AK7"/>
    </row>
    <row r="8" spans="1:37" s="140" customFormat="1" ht="21" customHeight="1">
      <c r="A8" s="109" t="s">
        <v>88</v>
      </c>
      <c r="B8" s="1139">
        <v>10</v>
      </c>
      <c r="C8" s="1157">
        <v>1921.8</v>
      </c>
      <c r="D8" s="1139"/>
      <c r="E8" s="1140"/>
      <c r="F8" s="1139"/>
      <c r="G8" s="1140">
        <f>6.9</f>
        <v>6.9</v>
      </c>
      <c r="H8" s="1141"/>
      <c r="I8" s="1140">
        <v>242.6</v>
      </c>
      <c r="J8" s="1139"/>
      <c r="K8" s="1140">
        <v>440.3</v>
      </c>
      <c r="L8" s="1139"/>
      <c r="M8" s="1157">
        <v>2650.2</v>
      </c>
      <c r="N8" s="1139"/>
      <c r="O8" s="1140"/>
      <c r="P8" s="1139"/>
      <c r="Q8" s="1140"/>
      <c r="R8" s="1139"/>
      <c r="S8" s="1140">
        <v>629</v>
      </c>
      <c r="T8" s="1139"/>
      <c r="U8" s="1140">
        <v>6.2</v>
      </c>
      <c r="V8" s="1139">
        <v>23</v>
      </c>
      <c r="W8" s="1157">
        <v>1815.2</v>
      </c>
      <c r="X8" s="1139"/>
      <c r="Y8" s="1140"/>
      <c r="Z8" s="1139"/>
      <c r="AA8" s="1140">
        <v>373.9</v>
      </c>
      <c r="AB8" s="1142">
        <v>15</v>
      </c>
      <c r="AC8" s="1140">
        <v>1795.5</v>
      </c>
      <c r="AD8" s="430">
        <f t="shared" si="0"/>
        <v>48</v>
      </c>
      <c r="AE8" s="462">
        <f t="shared" si="0"/>
        <v>9881.599999999999</v>
      </c>
      <c r="AH8"/>
      <c r="AI8"/>
      <c r="AJ8"/>
      <c r="AK8"/>
    </row>
    <row r="9" spans="1:37" s="239" customFormat="1" ht="21" customHeight="1">
      <c r="A9" s="170" t="s">
        <v>89</v>
      </c>
      <c r="B9" s="1143">
        <v>10</v>
      </c>
      <c r="C9" s="1158">
        <v>1414.6</v>
      </c>
      <c r="D9" s="1143"/>
      <c r="E9" s="1144"/>
      <c r="F9" s="1143"/>
      <c r="G9" s="1144">
        <f>6.8</f>
        <v>6.8</v>
      </c>
      <c r="H9" s="1143"/>
      <c r="I9" s="1144">
        <v>565.7</v>
      </c>
      <c r="J9" s="1143"/>
      <c r="K9" s="1144"/>
      <c r="L9" s="1143"/>
      <c r="M9" s="1158">
        <v>1578.6</v>
      </c>
      <c r="N9" s="1143"/>
      <c r="O9" s="1144"/>
      <c r="P9" s="1143"/>
      <c r="Q9" s="1144"/>
      <c r="R9" s="1143"/>
      <c r="S9" s="1144"/>
      <c r="T9" s="1143"/>
      <c r="U9" s="1144">
        <v>6.2</v>
      </c>
      <c r="V9" s="1143">
        <v>1</v>
      </c>
      <c r="W9" s="1158">
        <v>86.3</v>
      </c>
      <c r="X9" s="1143"/>
      <c r="Y9" s="1144"/>
      <c r="Z9" s="1143"/>
      <c r="AA9" s="1144"/>
      <c r="AB9" s="1144"/>
      <c r="AC9" s="1144"/>
      <c r="AD9" s="567">
        <f t="shared" si="0"/>
        <v>11</v>
      </c>
      <c r="AE9" s="463">
        <f t="shared" si="0"/>
        <v>3658.2</v>
      </c>
      <c r="AH9" s="253"/>
      <c r="AI9" s="253"/>
      <c r="AJ9" s="253"/>
      <c r="AK9" s="253"/>
    </row>
    <row r="10" spans="1:37" s="59" customFormat="1" ht="22.5" customHeight="1" thickBot="1">
      <c r="A10" s="150" t="s">
        <v>143</v>
      </c>
      <c r="B10" s="1145"/>
      <c r="C10" s="1146"/>
      <c r="D10" s="1145"/>
      <c r="E10" s="1147"/>
      <c r="F10" s="1145"/>
      <c r="G10" s="1146"/>
      <c r="H10" s="1145"/>
      <c r="I10" s="1146"/>
      <c r="J10" s="1145"/>
      <c r="K10" s="1146"/>
      <c r="L10" s="1145"/>
      <c r="M10" s="1162"/>
      <c r="N10" s="1145"/>
      <c r="O10" s="1146"/>
      <c r="P10" s="1145"/>
      <c r="Q10" s="1146"/>
      <c r="R10" s="1145"/>
      <c r="S10" s="1146"/>
      <c r="T10" s="1145"/>
      <c r="U10" s="1146"/>
      <c r="V10" s="1145">
        <v>3</v>
      </c>
      <c r="W10" s="1162">
        <v>213.3</v>
      </c>
      <c r="X10" s="1145"/>
      <c r="Y10" s="1146"/>
      <c r="Z10" s="1145"/>
      <c r="AA10" s="1146"/>
      <c r="AB10" s="1146"/>
      <c r="AC10" s="1146"/>
      <c r="AD10" s="380">
        <f t="shared" si="0"/>
        <v>3</v>
      </c>
      <c r="AE10" s="1177">
        <f t="shared" si="0"/>
        <v>213.3</v>
      </c>
      <c r="AF10" s="68"/>
      <c r="AG10" s="72"/>
      <c r="AH10"/>
      <c r="AI10"/>
      <c r="AJ10"/>
      <c r="AK10"/>
    </row>
    <row r="11" spans="1:37" s="59" customFormat="1" ht="23.25" customHeight="1" thickBot="1">
      <c r="A11" s="90" t="s">
        <v>65</v>
      </c>
      <c r="B11" s="150">
        <f aca="true" t="shared" si="1" ref="B11:AE11">SUM(B6:B10)</f>
        <v>44</v>
      </c>
      <c r="C11" s="1163">
        <f t="shared" si="1"/>
        <v>6049.6</v>
      </c>
      <c r="D11" s="150">
        <f t="shared" si="1"/>
        <v>0</v>
      </c>
      <c r="E11" s="362">
        <f t="shared" si="1"/>
        <v>20.9</v>
      </c>
      <c r="F11" s="150">
        <f t="shared" si="1"/>
        <v>0</v>
      </c>
      <c r="G11" s="362">
        <f t="shared" si="1"/>
        <v>232.90000000000003</v>
      </c>
      <c r="H11" s="150">
        <f t="shared" si="1"/>
        <v>0</v>
      </c>
      <c r="I11" s="362">
        <f t="shared" si="1"/>
        <v>808.3000000000001</v>
      </c>
      <c r="J11" s="150">
        <f t="shared" si="1"/>
        <v>0</v>
      </c>
      <c r="K11" s="362">
        <f t="shared" si="1"/>
        <v>440.3</v>
      </c>
      <c r="L11" s="150">
        <f t="shared" si="1"/>
        <v>0</v>
      </c>
      <c r="M11" s="1163">
        <f t="shared" si="1"/>
        <v>6079.700000000001</v>
      </c>
      <c r="N11" s="150">
        <f t="shared" si="1"/>
        <v>0</v>
      </c>
      <c r="O11" s="362">
        <f t="shared" si="1"/>
        <v>342.1</v>
      </c>
      <c r="P11" s="150"/>
      <c r="Q11" s="362"/>
      <c r="R11" s="150">
        <f t="shared" si="1"/>
        <v>0</v>
      </c>
      <c r="S11" s="362">
        <f t="shared" si="1"/>
        <v>629</v>
      </c>
      <c r="T11" s="150">
        <f t="shared" si="1"/>
        <v>0</v>
      </c>
      <c r="U11" s="362">
        <f t="shared" si="1"/>
        <v>33.9</v>
      </c>
      <c r="V11" s="150">
        <f t="shared" si="1"/>
        <v>33</v>
      </c>
      <c r="W11" s="1163">
        <f t="shared" si="1"/>
        <v>2782.9000000000005</v>
      </c>
      <c r="X11" s="150">
        <f t="shared" si="1"/>
        <v>0</v>
      </c>
      <c r="Y11" s="362">
        <f t="shared" si="1"/>
        <v>12.7</v>
      </c>
      <c r="Z11" s="150">
        <f t="shared" si="1"/>
        <v>0</v>
      </c>
      <c r="AA11" s="1163">
        <f t="shared" si="1"/>
        <v>1106.9</v>
      </c>
      <c r="AB11" s="150">
        <f t="shared" si="1"/>
        <v>15</v>
      </c>
      <c r="AC11" s="1163">
        <f t="shared" si="1"/>
        <v>1795.5</v>
      </c>
      <c r="AD11" s="150">
        <f t="shared" si="1"/>
        <v>92</v>
      </c>
      <c r="AE11" s="1178">
        <f t="shared" si="1"/>
        <v>20334.699999999997</v>
      </c>
      <c r="AF11" s="68"/>
      <c r="AG11" s="72"/>
      <c r="AH11"/>
      <c r="AI11"/>
      <c r="AJ11"/>
      <c r="AK11"/>
    </row>
    <row r="12" spans="1:37" s="59" customFormat="1" ht="23.25" customHeight="1">
      <c r="A12" s="88"/>
      <c r="B12" s="109"/>
      <c r="C12" s="713"/>
      <c r="D12" s="109"/>
      <c r="E12" s="713"/>
      <c r="F12" s="109"/>
      <c r="G12" s="713"/>
      <c r="H12" s="109"/>
      <c r="I12" s="713"/>
      <c r="J12" s="109"/>
      <c r="K12" s="713"/>
      <c r="L12" s="109"/>
      <c r="M12" s="1164"/>
      <c r="N12" s="109"/>
      <c r="O12" s="713"/>
      <c r="P12" s="109"/>
      <c r="Q12" s="713"/>
      <c r="R12" s="109"/>
      <c r="S12" s="713"/>
      <c r="T12" s="109"/>
      <c r="U12" s="713"/>
      <c r="V12" s="109"/>
      <c r="W12" s="1164"/>
      <c r="X12" s="109"/>
      <c r="Y12" s="713"/>
      <c r="Z12" s="109"/>
      <c r="AA12" s="713"/>
      <c r="AB12" s="713"/>
      <c r="AC12" s="713"/>
      <c r="AD12" s="109"/>
      <c r="AE12" s="462"/>
      <c r="AF12" s="68"/>
      <c r="AG12" s="72"/>
      <c r="AH12"/>
      <c r="AI12"/>
      <c r="AJ12"/>
      <c r="AK12"/>
    </row>
    <row r="13" spans="1:36" s="59" customFormat="1" ht="18.75" customHeight="1">
      <c r="A13" s="109"/>
      <c r="B13" s="67"/>
      <c r="C13" s="363"/>
      <c r="D13" s="88"/>
      <c r="E13" s="372"/>
      <c r="F13" s="88"/>
      <c r="G13" s="372"/>
      <c r="H13" s="153"/>
      <c r="I13" s="372"/>
      <c r="J13" s="153"/>
      <c r="K13" s="372"/>
      <c r="L13" s="153"/>
      <c r="M13" s="1165"/>
      <c r="N13" s="88"/>
      <c r="O13" s="372"/>
      <c r="P13" s="153"/>
      <c r="Q13" s="372"/>
      <c r="R13" s="154"/>
      <c r="S13" s="345"/>
      <c r="T13" s="154"/>
      <c r="U13" s="345"/>
      <c r="V13" s="154"/>
      <c r="W13" s="1165"/>
      <c r="X13" s="154"/>
      <c r="Y13" s="345"/>
      <c r="Z13" s="154"/>
      <c r="AA13" s="345"/>
      <c r="AB13" s="345"/>
      <c r="AC13" s="345"/>
      <c r="AD13" s="154"/>
      <c r="AE13" s="462"/>
      <c r="AF13" s="68"/>
      <c r="AG13" s="72"/>
      <c r="AI13" s="139"/>
      <c r="AJ13" s="68"/>
    </row>
    <row r="14" spans="1:50" s="59" customFormat="1" ht="21.75" customHeight="1" thickBot="1">
      <c r="A14" s="236" t="s">
        <v>318</v>
      </c>
      <c r="B14" s="204"/>
      <c r="C14" s="359"/>
      <c r="D14"/>
      <c r="E14" s="313"/>
      <c r="F14"/>
      <c r="G14" s="313"/>
      <c r="H14"/>
      <c r="I14" s="313"/>
      <c r="J14"/>
      <c r="K14" s="313"/>
      <c r="L14"/>
      <c r="M14" s="1159"/>
      <c r="N14"/>
      <c r="O14" s="313"/>
      <c r="P14"/>
      <c r="Q14" s="313"/>
      <c r="R14"/>
      <c r="S14" s="313"/>
      <c r="T14"/>
      <c r="U14" s="313"/>
      <c r="V14"/>
      <c r="W14" s="1159"/>
      <c r="X14"/>
      <c r="Y14" s="313"/>
      <c r="Z14"/>
      <c r="AA14" s="313"/>
      <c r="AB14" s="313"/>
      <c r="AC14" s="313"/>
      <c r="AD14"/>
      <c r="AE14" s="1174" t="s">
        <v>101</v>
      </c>
      <c r="AF14"/>
      <c r="AG14"/>
      <c r="AH14"/>
      <c r="AI14"/>
      <c r="AJ14"/>
      <c r="AK14"/>
      <c r="AL14"/>
      <c r="AM14"/>
      <c r="AN14"/>
      <c r="AO14"/>
      <c r="AP14"/>
      <c r="AQ14"/>
      <c r="AR14"/>
      <c r="AS14"/>
      <c r="AT14" s="68"/>
      <c r="AU14" s="72"/>
      <c r="AW14" s="139"/>
      <c r="AX14" s="68"/>
    </row>
    <row r="15" spans="1:37" s="59" customFormat="1" ht="71.25" customHeight="1">
      <c r="A15" s="1271" t="s">
        <v>1</v>
      </c>
      <c r="B15" s="1324" t="s">
        <v>70</v>
      </c>
      <c r="C15" s="1324"/>
      <c r="D15" s="1324" t="s">
        <v>83</v>
      </c>
      <c r="E15" s="1324"/>
      <c r="F15" s="1324" t="s">
        <v>72</v>
      </c>
      <c r="G15" s="1324"/>
      <c r="H15" s="1324" t="s">
        <v>84</v>
      </c>
      <c r="I15" s="1324"/>
      <c r="J15" s="1324" t="s">
        <v>154</v>
      </c>
      <c r="K15" s="1324"/>
      <c r="L15" s="1324" t="s">
        <v>74</v>
      </c>
      <c r="M15" s="1324"/>
      <c r="N15" s="1324" t="s">
        <v>159</v>
      </c>
      <c r="O15" s="1324"/>
      <c r="P15" s="258" t="s">
        <v>75</v>
      </c>
      <c r="Q15" s="373"/>
      <c r="R15" s="1323" t="s">
        <v>76</v>
      </c>
      <c r="S15" s="1323"/>
      <c r="T15" s="1323" t="s">
        <v>77</v>
      </c>
      <c r="U15" s="1323"/>
      <c r="V15" s="1324" t="s">
        <v>78</v>
      </c>
      <c r="W15" s="1324"/>
      <c r="X15" s="1323" t="s">
        <v>81</v>
      </c>
      <c r="Y15" s="1323"/>
      <c r="Z15" s="1323" t="s">
        <v>92</v>
      </c>
      <c r="AA15" s="1323"/>
      <c r="AB15" s="1324" t="s">
        <v>530</v>
      </c>
      <c r="AC15" s="1324"/>
      <c r="AD15" s="1325" t="s">
        <v>65</v>
      </c>
      <c r="AE15" s="1325"/>
      <c r="AF15" s="68"/>
      <c r="AG15" s="72"/>
      <c r="AH15"/>
      <c r="AI15"/>
      <c r="AJ15"/>
      <c r="AK15"/>
    </row>
    <row r="16" spans="1:37" s="217" customFormat="1" ht="19.5" customHeight="1" thickBot="1">
      <c r="A16" s="1272"/>
      <c r="B16" s="215" t="s">
        <v>10</v>
      </c>
      <c r="C16" s="360" t="s">
        <v>9</v>
      </c>
      <c r="D16" s="215" t="s">
        <v>10</v>
      </c>
      <c r="E16" s="360" t="s">
        <v>9</v>
      </c>
      <c r="F16" s="215" t="s">
        <v>10</v>
      </c>
      <c r="G16" s="360" t="s">
        <v>9</v>
      </c>
      <c r="H16" s="215" t="s">
        <v>10</v>
      </c>
      <c r="I16" s="360" t="s">
        <v>9</v>
      </c>
      <c r="J16" s="215" t="s">
        <v>10</v>
      </c>
      <c r="K16" s="360" t="s">
        <v>9</v>
      </c>
      <c r="L16" s="215" t="s">
        <v>10</v>
      </c>
      <c r="M16" s="1160" t="s">
        <v>9</v>
      </c>
      <c r="N16" s="216" t="s">
        <v>10</v>
      </c>
      <c r="O16" s="360" t="s">
        <v>9</v>
      </c>
      <c r="P16" s="216" t="s">
        <v>10</v>
      </c>
      <c r="Q16" s="360" t="s">
        <v>9</v>
      </c>
      <c r="R16" s="216" t="s">
        <v>10</v>
      </c>
      <c r="S16" s="360" t="s">
        <v>9</v>
      </c>
      <c r="T16" s="216" t="s">
        <v>10</v>
      </c>
      <c r="U16" s="360" t="s">
        <v>9</v>
      </c>
      <c r="V16" s="216" t="s">
        <v>10</v>
      </c>
      <c r="W16" s="1160" t="s">
        <v>9</v>
      </c>
      <c r="X16" s="216" t="s">
        <v>10</v>
      </c>
      <c r="Y16" s="360" t="s">
        <v>9</v>
      </c>
      <c r="Z16" s="216" t="s">
        <v>10</v>
      </c>
      <c r="AA16" s="360" t="s">
        <v>9</v>
      </c>
      <c r="AB16" s="216" t="s">
        <v>10</v>
      </c>
      <c r="AC16" s="360" t="s">
        <v>9</v>
      </c>
      <c r="AD16" s="216" t="s">
        <v>10</v>
      </c>
      <c r="AE16" s="1175" t="s">
        <v>9</v>
      </c>
      <c r="AG16" s="218"/>
      <c r="AH16"/>
      <c r="AI16"/>
      <c r="AJ16"/>
      <c r="AK16"/>
    </row>
    <row r="17" spans="1:37" s="59" customFormat="1" ht="22.5" customHeight="1">
      <c r="A17" s="75" t="s">
        <v>85</v>
      </c>
      <c r="B17" s="60"/>
      <c r="C17" s="361"/>
      <c r="D17" s="61"/>
      <c r="E17" s="337"/>
      <c r="F17" s="62"/>
      <c r="G17" s="337"/>
      <c r="H17" s="62"/>
      <c r="I17" s="337"/>
      <c r="J17" s="62"/>
      <c r="K17" s="337"/>
      <c r="L17" s="62"/>
      <c r="M17" s="1161"/>
      <c r="N17" s="62"/>
      <c r="O17" s="337"/>
      <c r="P17" s="62"/>
      <c r="Q17" s="337"/>
      <c r="R17" s="63"/>
      <c r="S17" s="337"/>
      <c r="T17" s="62"/>
      <c r="U17" s="337"/>
      <c r="V17" s="63"/>
      <c r="W17" s="1161"/>
      <c r="X17" s="62"/>
      <c r="Y17" s="337"/>
      <c r="Z17" s="63"/>
      <c r="AA17" s="337"/>
      <c r="AB17" s="337"/>
      <c r="AC17" s="337"/>
      <c r="AD17" s="63"/>
      <c r="AE17" s="1176"/>
      <c r="AF17" s="68"/>
      <c r="AG17" s="72"/>
      <c r="AH17"/>
      <c r="AI17"/>
      <c r="AJ17"/>
      <c r="AK17"/>
    </row>
    <row r="18" spans="1:37" s="140" customFormat="1" ht="21" customHeight="1">
      <c r="A18" s="109" t="s">
        <v>86</v>
      </c>
      <c r="B18" s="378"/>
      <c r="C18" s="1140"/>
      <c r="D18" s="1139"/>
      <c r="E18" s="1140"/>
      <c r="F18" s="1139"/>
      <c r="G18" s="1140"/>
      <c r="H18" s="1139"/>
      <c r="I18" s="1140"/>
      <c r="J18" s="1139"/>
      <c r="K18" s="1140"/>
      <c r="L18" s="1139"/>
      <c r="M18" s="1157"/>
      <c r="N18" s="1139"/>
      <c r="O18" s="1140"/>
      <c r="P18" s="1139"/>
      <c r="Q18" s="1140"/>
      <c r="R18" s="1139"/>
      <c r="S18" s="1140"/>
      <c r="T18" s="1139">
        <v>10</v>
      </c>
      <c r="U18" s="1140">
        <v>425.1</v>
      </c>
      <c r="V18" s="1139"/>
      <c r="W18" s="1157"/>
      <c r="X18" s="1139"/>
      <c r="Y18" s="1140"/>
      <c r="Z18" s="1139"/>
      <c r="AA18" s="1140"/>
      <c r="AB18" s="1140"/>
      <c r="AC18" s="1140"/>
      <c r="AD18" s="430">
        <f aca="true" t="shared" si="2" ref="AD18:AE21">B18+D18+F18+H18+J18+L18+N18+P18+R18+T18+V18+X18+Z18+AB18</f>
        <v>10</v>
      </c>
      <c r="AE18" s="462">
        <f t="shared" si="2"/>
        <v>425.1</v>
      </c>
      <c r="AH18"/>
      <c r="AI18"/>
      <c r="AJ18"/>
      <c r="AK18"/>
    </row>
    <row r="19" spans="1:37" s="140" customFormat="1" ht="21" customHeight="1">
      <c r="A19" s="109" t="s">
        <v>87</v>
      </c>
      <c r="B19" s="378"/>
      <c r="C19" s="1140"/>
      <c r="D19" s="1139"/>
      <c r="E19" s="1140"/>
      <c r="F19" s="1139"/>
      <c r="G19" s="1140"/>
      <c r="H19" s="1139"/>
      <c r="I19" s="1140"/>
      <c r="J19" s="1139"/>
      <c r="K19" s="1140"/>
      <c r="L19" s="1139"/>
      <c r="M19" s="1157"/>
      <c r="N19" s="1139"/>
      <c r="O19" s="1140"/>
      <c r="P19" s="1139"/>
      <c r="Q19" s="1140"/>
      <c r="R19" s="1139"/>
      <c r="S19" s="1140"/>
      <c r="T19" s="1139">
        <v>10</v>
      </c>
      <c r="U19" s="1140">
        <v>425.1</v>
      </c>
      <c r="V19" s="1139"/>
      <c r="W19" s="1157"/>
      <c r="X19" s="1139"/>
      <c r="Y19" s="1140"/>
      <c r="Z19" s="1139"/>
      <c r="AA19" s="1140"/>
      <c r="AB19" s="1140"/>
      <c r="AC19" s="1140"/>
      <c r="AD19" s="430">
        <f t="shared" si="2"/>
        <v>10</v>
      </c>
      <c r="AE19" s="462">
        <f t="shared" si="2"/>
        <v>425.1</v>
      </c>
      <c r="AH19"/>
      <c r="AI19"/>
      <c r="AJ19"/>
      <c r="AK19"/>
    </row>
    <row r="20" spans="1:37" s="140" customFormat="1" ht="21" customHeight="1">
      <c r="A20" s="109" t="s">
        <v>88</v>
      </c>
      <c r="B20" s="378"/>
      <c r="C20" s="1140"/>
      <c r="D20" s="1139"/>
      <c r="E20" s="1140"/>
      <c r="F20" s="1139"/>
      <c r="G20" s="1140"/>
      <c r="H20" s="1139"/>
      <c r="I20" s="1140"/>
      <c r="J20" s="1139"/>
      <c r="K20" s="1140"/>
      <c r="L20" s="1139"/>
      <c r="M20" s="1157"/>
      <c r="N20" s="1139"/>
      <c r="O20" s="1140"/>
      <c r="P20" s="1139"/>
      <c r="Q20" s="1140"/>
      <c r="R20" s="1139"/>
      <c r="S20" s="1140"/>
      <c r="T20" s="1139">
        <v>10</v>
      </c>
      <c r="U20" s="1140">
        <v>424.9</v>
      </c>
      <c r="V20" s="1139"/>
      <c r="W20" s="1157"/>
      <c r="X20" s="1139"/>
      <c r="Y20" s="1140"/>
      <c r="Z20" s="1139"/>
      <c r="AA20" s="1140"/>
      <c r="AB20" s="1140"/>
      <c r="AC20" s="1140"/>
      <c r="AD20" s="430">
        <f t="shared" si="2"/>
        <v>10</v>
      </c>
      <c r="AE20" s="462">
        <f t="shared" si="2"/>
        <v>424.9</v>
      </c>
      <c r="AH20"/>
      <c r="AI20"/>
      <c r="AJ20"/>
      <c r="AK20"/>
    </row>
    <row r="21" spans="1:37" s="239" customFormat="1" ht="21" customHeight="1">
      <c r="A21" s="170" t="s">
        <v>89</v>
      </c>
      <c r="B21" s="565"/>
      <c r="C21" s="1144"/>
      <c r="D21" s="1143"/>
      <c r="E21" s="1144"/>
      <c r="F21" s="1143"/>
      <c r="G21" s="1144"/>
      <c r="H21" s="1143"/>
      <c r="I21" s="1144"/>
      <c r="J21" s="1143"/>
      <c r="K21" s="1144"/>
      <c r="L21" s="1143"/>
      <c r="M21" s="1158"/>
      <c r="N21" s="1143"/>
      <c r="O21" s="1144"/>
      <c r="P21" s="1143"/>
      <c r="Q21" s="1144"/>
      <c r="R21" s="1143"/>
      <c r="S21" s="1144"/>
      <c r="T21" s="1143">
        <v>4</v>
      </c>
      <c r="U21" s="1144">
        <v>191.6</v>
      </c>
      <c r="V21" s="1143"/>
      <c r="W21" s="1158"/>
      <c r="X21" s="1143"/>
      <c r="Y21" s="1144"/>
      <c r="Z21" s="1143"/>
      <c r="AA21" s="1144"/>
      <c r="AB21" s="1144"/>
      <c r="AC21" s="1144"/>
      <c r="AD21" s="567">
        <f t="shared" si="2"/>
        <v>4</v>
      </c>
      <c r="AE21" s="463">
        <f t="shared" si="2"/>
        <v>191.6</v>
      </c>
      <c r="AH21" s="253"/>
      <c r="AI21" s="253"/>
      <c r="AJ21" s="253"/>
      <c r="AK21" s="253"/>
    </row>
    <row r="22" spans="1:37" s="76" customFormat="1" ht="21" customHeight="1">
      <c r="A22" s="109" t="s">
        <v>16</v>
      </c>
      <c r="B22" s="378"/>
      <c r="C22" s="1140"/>
      <c r="D22" s="1139"/>
      <c r="E22" s="1140"/>
      <c r="F22" s="1139"/>
      <c r="G22" s="1140"/>
      <c r="H22" s="1139"/>
      <c r="I22" s="1140"/>
      <c r="J22" s="1139"/>
      <c r="K22" s="1140"/>
      <c r="L22" s="1139"/>
      <c r="M22" s="1157"/>
      <c r="N22" s="1139"/>
      <c r="O22" s="1140"/>
      <c r="P22" s="1139"/>
      <c r="Q22" s="1140"/>
      <c r="R22" s="1139"/>
      <c r="S22" s="1140"/>
      <c r="T22" s="1139"/>
      <c r="U22" s="1140"/>
      <c r="V22" s="1139"/>
      <c r="W22" s="1157"/>
      <c r="X22" s="1139"/>
      <c r="Y22" s="1140"/>
      <c r="Z22" s="1139"/>
      <c r="AA22" s="1140"/>
      <c r="AB22" s="1140"/>
      <c r="AC22" s="1140"/>
      <c r="AD22" s="430"/>
      <c r="AE22" s="462"/>
      <c r="AH22" s="182"/>
      <c r="AI22" s="182"/>
      <c r="AJ22" s="182"/>
      <c r="AK22" s="182"/>
    </row>
    <row r="23" spans="1:37" s="76" customFormat="1" ht="21" customHeight="1">
      <c r="A23" s="109" t="s">
        <v>95</v>
      </c>
      <c r="B23" s="378"/>
      <c r="C23" s="1140"/>
      <c r="D23" s="1139"/>
      <c r="E23" s="1140"/>
      <c r="F23" s="1139"/>
      <c r="G23" s="1140"/>
      <c r="H23" s="1139"/>
      <c r="I23" s="1140"/>
      <c r="J23" s="1139"/>
      <c r="K23" s="1140"/>
      <c r="L23" s="1139"/>
      <c r="M23" s="1157"/>
      <c r="N23" s="1139"/>
      <c r="O23" s="1140"/>
      <c r="P23" s="1139"/>
      <c r="Q23" s="1140"/>
      <c r="R23" s="1139"/>
      <c r="S23" s="1140"/>
      <c r="T23" s="1139"/>
      <c r="U23" s="1140"/>
      <c r="V23" s="1139"/>
      <c r="W23" s="1157"/>
      <c r="X23" s="1139">
        <v>3</v>
      </c>
      <c r="Y23" s="1140">
        <v>17.8</v>
      </c>
      <c r="Z23" s="1139"/>
      <c r="AA23" s="1140"/>
      <c r="AB23" s="1140"/>
      <c r="AC23" s="1140"/>
      <c r="AD23" s="430">
        <f aca="true" t="shared" si="3" ref="AD23:AE25">B23+D23+F23+H23+J23+L23+N23+P23+R23+T23+V23+X23+Z23+AB23</f>
        <v>3</v>
      </c>
      <c r="AE23" s="462">
        <f t="shared" si="3"/>
        <v>17.8</v>
      </c>
      <c r="AH23" s="182"/>
      <c r="AI23" s="182"/>
      <c r="AJ23" s="182"/>
      <c r="AK23" s="182"/>
    </row>
    <row r="24" spans="1:37" s="76" customFormat="1" ht="21" customHeight="1">
      <c r="A24" s="170" t="s">
        <v>121</v>
      </c>
      <c r="B24" s="565"/>
      <c r="C24" s="1144"/>
      <c r="D24" s="1143"/>
      <c r="E24" s="1144"/>
      <c r="F24" s="1143"/>
      <c r="G24" s="1144"/>
      <c r="H24" s="1143"/>
      <c r="I24" s="1144"/>
      <c r="J24" s="1143"/>
      <c r="K24" s="1144"/>
      <c r="L24" s="1143"/>
      <c r="M24" s="1158"/>
      <c r="N24" s="1143"/>
      <c r="O24" s="1144"/>
      <c r="P24" s="1143"/>
      <c r="Q24" s="1144"/>
      <c r="R24" s="1143"/>
      <c r="S24" s="1144"/>
      <c r="T24" s="1143"/>
      <c r="U24" s="1144"/>
      <c r="V24" s="1143"/>
      <c r="W24" s="1158"/>
      <c r="X24" s="1143">
        <v>9</v>
      </c>
      <c r="Y24" s="1144">
        <v>53.3</v>
      </c>
      <c r="Z24" s="1143"/>
      <c r="AA24" s="1144"/>
      <c r="AB24" s="1144"/>
      <c r="AC24" s="1144"/>
      <c r="AD24" s="567">
        <f t="shared" si="3"/>
        <v>9</v>
      </c>
      <c r="AE24" s="463">
        <f t="shared" si="3"/>
        <v>53.3</v>
      </c>
      <c r="AH24" s="182"/>
      <c r="AI24" s="182"/>
      <c r="AJ24" s="182"/>
      <c r="AK24" s="182"/>
    </row>
    <row r="25" spans="1:37" s="59" customFormat="1" ht="22.5" customHeight="1" thickBot="1">
      <c r="A25" s="150" t="s">
        <v>171</v>
      </c>
      <c r="B25" s="563"/>
      <c r="C25" s="1146"/>
      <c r="D25" s="1145"/>
      <c r="E25" s="1147"/>
      <c r="F25" s="1145"/>
      <c r="G25" s="1146"/>
      <c r="H25" s="1145"/>
      <c r="I25" s="1146"/>
      <c r="J25" s="1145"/>
      <c r="K25" s="1146"/>
      <c r="L25" s="1145"/>
      <c r="M25" s="1162"/>
      <c r="N25" s="1145"/>
      <c r="O25" s="1146"/>
      <c r="P25" s="1145"/>
      <c r="Q25" s="1146"/>
      <c r="R25" s="1145"/>
      <c r="S25" s="1146"/>
      <c r="T25" s="1145"/>
      <c r="U25" s="1146"/>
      <c r="V25" s="1145"/>
      <c r="W25" s="1162"/>
      <c r="X25" s="1145">
        <v>13</v>
      </c>
      <c r="Y25" s="1146">
        <v>76.9</v>
      </c>
      <c r="Z25" s="1145"/>
      <c r="AA25" s="1146"/>
      <c r="AB25" s="1146"/>
      <c r="AC25" s="1146"/>
      <c r="AD25" s="380">
        <f t="shared" si="3"/>
        <v>13</v>
      </c>
      <c r="AE25" s="1177">
        <f t="shared" si="3"/>
        <v>76.9</v>
      </c>
      <c r="AF25" s="68"/>
      <c r="AG25" s="72"/>
      <c r="AH25"/>
      <c r="AI25"/>
      <c r="AJ25"/>
      <c r="AK25"/>
    </row>
    <row r="26" spans="1:37" s="59" customFormat="1" ht="23.25" customHeight="1" thickBot="1">
      <c r="A26" s="90" t="s">
        <v>65</v>
      </c>
      <c r="B26" s="150"/>
      <c r="C26" s="362"/>
      <c r="D26" s="150"/>
      <c r="E26" s="362"/>
      <c r="F26" s="150"/>
      <c r="G26" s="362"/>
      <c r="H26" s="150"/>
      <c r="I26" s="362"/>
      <c r="J26" s="150"/>
      <c r="K26" s="362"/>
      <c r="L26" s="150"/>
      <c r="M26" s="1163"/>
      <c r="N26" s="150"/>
      <c r="O26" s="362"/>
      <c r="P26" s="150"/>
      <c r="Q26" s="362"/>
      <c r="R26" s="150"/>
      <c r="S26" s="362"/>
      <c r="T26" s="150">
        <f>SUM(T18:T25)</f>
        <v>34</v>
      </c>
      <c r="U26" s="1163">
        <f>SUM(U18:U25)</f>
        <v>1466.6999999999998</v>
      </c>
      <c r="V26" s="150"/>
      <c r="W26" s="1163"/>
      <c r="X26" s="150">
        <f>SUM(X18:X25)</f>
        <v>25</v>
      </c>
      <c r="Y26" s="150">
        <f>SUM(Y18:Y25)</f>
        <v>148</v>
      </c>
      <c r="Z26" s="150"/>
      <c r="AA26" s="362"/>
      <c r="AB26" s="362"/>
      <c r="AC26" s="362"/>
      <c r="AD26" s="150">
        <f>SUM(AD18:AD25)</f>
        <v>59</v>
      </c>
      <c r="AE26" s="1163">
        <f>SUM(AE18:AE25)</f>
        <v>1614.6999999999998</v>
      </c>
      <c r="AF26" s="68"/>
      <c r="AG26" s="72"/>
      <c r="AH26"/>
      <c r="AI26"/>
      <c r="AJ26"/>
      <c r="AK26"/>
    </row>
    <row r="27" spans="1:37" s="59" customFormat="1" ht="23.25" customHeight="1">
      <c r="A27" s="88"/>
      <c r="B27" s="109"/>
      <c r="C27" s="713"/>
      <c r="D27" s="109"/>
      <c r="E27" s="713"/>
      <c r="F27" s="109"/>
      <c r="G27" s="713"/>
      <c r="H27" s="109"/>
      <c r="I27" s="713"/>
      <c r="J27" s="109"/>
      <c r="K27" s="713"/>
      <c r="L27" s="109"/>
      <c r="M27" s="1164"/>
      <c r="N27" s="109"/>
      <c r="O27" s="713"/>
      <c r="P27" s="109"/>
      <c r="Q27" s="713"/>
      <c r="R27" s="109"/>
      <c r="S27" s="713"/>
      <c r="T27" s="109"/>
      <c r="U27" s="713"/>
      <c r="V27" s="109"/>
      <c r="W27" s="1164"/>
      <c r="X27" s="109"/>
      <c r="Y27" s="713"/>
      <c r="Z27" s="109"/>
      <c r="AA27" s="713"/>
      <c r="AB27" s="713"/>
      <c r="AC27" s="713"/>
      <c r="AD27" s="109"/>
      <c r="AE27" s="462"/>
      <c r="AF27" s="68"/>
      <c r="AG27" s="72"/>
      <c r="AH27"/>
      <c r="AI27"/>
      <c r="AJ27"/>
      <c r="AK27"/>
    </row>
    <row r="28" spans="1:37" s="59" customFormat="1" ht="23.25" customHeight="1">
      <c r="A28" s="88"/>
      <c r="B28" s="109"/>
      <c r="C28" s="713"/>
      <c r="D28" s="109"/>
      <c r="E28" s="713"/>
      <c r="F28" s="109"/>
      <c r="G28" s="713"/>
      <c r="H28" s="109"/>
      <c r="I28" s="713"/>
      <c r="J28" s="109"/>
      <c r="K28" s="713"/>
      <c r="L28" s="109"/>
      <c r="M28" s="1164"/>
      <c r="N28" s="109"/>
      <c r="O28" s="713"/>
      <c r="P28" s="109"/>
      <c r="Q28" s="713"/>
      <c r="R28" s="109"/>
      <c r="S28" s="713"/>
      <c r="T28" s="109"/>
      <c r="U28" s="713"/>
      <c r="V28" s="109"/>
      <c r="W28" s="1164"/>
      <c r="X28" s="109"/>
      <c r="Y28" s="713"/>
      <c r="Z28" s="109"/>
      <c r="AA28" s="713"/>
      <c r="AB28" s="713"/>
      <c r="AC28" s="713"/>
      <c r="AD28" s="109"/>
      <c r="AE28" s="462"/>
      <c r="AF28" s="68"/>
      <c r="AG28" s="72"/>
      <c r="AH28"/>
      <c r="AI28"/>
      <c r="AJ28"/>
      <c r="AK28"/>
    </row>
    <row r="29" spans="1:50" s="59" customFormat="1" ht="81" customHeight="1" thickBot="1">
      <c r="A29" s="236" t="s">
        <v>538</v>
      </c>
      <c r="B29" s="204"/>
      <c r="C29" s="359"/>
      <c r="D29"/>
      <c r="E29" s="313"/>
      <c r="F29"/>
      <c r="G29" s="313"/>
      <c r="H29"/>
      <c r="I29" s="313"/>
      <c r="J29"/>
      <c r="K29" s="313"/>
      <c r="L29"/>
      <c r="M29" s="1159"/>
      <c r="N29"/>
      <c r="O29" s="313"/>
      <c r="P29"/>
      <c r="Q29" s="313"/>
      <c r="R29"/>
      <c r="S29" s="313"/>
      <c r="T29"/>
      <c r="U29" s="313"/>
      <c r="V29"/>
      <c r="W29" s="1159"/>
      <c r="X29"/>
      <c r="Y29" s="313"/>
      <c r="Z29"/>
      <c r="AA29" s="313"/>
      <c r="AB29" s="313"/>
      <c r="AC29" s="313"/>
      <c r="AD29"/>
      <c r="AE29" s="1174" t="s">
        <v>101</v>
      </c>
      <c r="AF29"/>
      <c r="AG29"/>
      <c r="AH29"/>
      <c r="AI29"/>
      <c r="AJ29"/>
      <c r="AK29"/>
      <c r="AL29"/>
      <c r="AM29"/>
      <c r="AN29"/>
      <c r="AO29"/>
      <c r="AP29"/>
      <c r="AQ29"/>
      <c r="AR29"/>
      <c r="AS29"/>
      <c r="AT29" s="68"/>
      <c r="AU29" s="72"/>
      <c r="AW29" s="139"/>
      <c r="AX29" s="68"/>
    </row>
    <row r="30" spans="1:37" s="59" customFormat="1" ht="71.25" customHeight="1">
      <c r="A30" s="1271" t="s">
        <v>1</v>
      </c>
      <c r="B30" s="1324" t="s">
        <v>70</v>
      </c>
      <c r="C30" s="1324"/>
      <c r="D30" s="1324" t="s">
        <v>83</v>
      </c>
      <c r="E30" s="1324"/>
      <c r="F30" s="1324" t="s">
        <v>72</v>
      </c>
      <c r="G30" s="1324"/>
      <c r="H30" s="1324" t="s">
        <v>84</v>
      </c>
      <c r="I30" s="1324"/>
      <c r="J30" s="1324" t="s">
        <v>154</v>
      </c>
      <c r="K30" s="1324"/>
      <c r="L30" s="1324" t="s">
        <v>74</v>
      </c>
      <c r="M30" s="1324"/>
      <c r="N30" s="1324" t="s">
        <v>159</v>
      </c>
      <c r="O30" s="1324"/>
      <c r="P30" s="258" t="s">
        <v>75</v>
      </c>
      <c r="Q30" s="373"/>
      <c r="R30" s="1323" t="s">
        <v>76</v>
      </c>
      <c r="S30" s="1323"/>
      <c r="T30" s="1323" t="s">
        <v>77</v>
      </c>
      <c r="U30" s="1323"/>
      <c r="V30" s="1324" t="s">
        <v>78</v>
      </c>
      <c r="W30" s="1324"/>
      <c r="X30" s="1323" t="s">
        <v>81</v>
      </c>
      <c r="Y30" s="1323"/>
      <c r="Z30" s="1323" t="s">
        <v>92</v>
      </c>
      <c r="AA30" s="1323"/>
      <c r="AB30" s="1324" t="s">
        <v>530</v>
      </c>
      <c r="AC30" s="1324"/>
      <c r="AD30" s="1325" t="s">
        <v>65</v>
      </c>
      <c r="AE30" s="1325"/>
      <c r="AF30" s="68"/>
      <c r="AG30" s="72"/>
      <c r="AH30"/>
      <c r="AI30"/>
      <c r="AJ30"/>
      <c r="AK30"/>
    </row>
    <row r="31" spans="1:37" s="217" customFormat="1" ht="19.5" customHeight="1" thickBot="1">
      <c r="A31" s="1272"/>
      <c r="B31" s="215" t="s">
        <v>10</v>
      </c>
      <c r="C31" s="360" t="s">
        <v>9</v>
      </c>
      <c r="D31" s="215" t="s">
        <v>10</v>
      </c>
      <c r="E31" s="360" t="s">
        <v>9</v>
      </c>
      <c r="F31" s="215" t="s">
        <v>10</v>
      </c>
      <c r="G31" s="360" t="s">
        <v>9</v>
      </c>
      <c r="H31" s="215" t="s">
        <v>10</v>
      </c>
      <c r="I31" s="360" t="s">
        <v>9</v>
      </c>
      <c r="J31" s="215" t="s">
        <v>10</v>
      </c>
      <c r="K31" s="360" t="s">
        <v>9</v>
      </c>
      <c r="L31" s="215" t="s">
        <v>10</v>
      </c>
      <c r="M31" s="1160" t="s">
        <v>9</v>
      </c>
      <c r="N31" s="216" t="s">
        <v>10</v>
      </c>
      <c r="O31" s="360" t="s">
        <v>9</v>
      </c>
      <c r="P31" s="216" t="s">
        <v>10</v>
      </c>
      <c r="Q31" s="360" t="s">
        <v>9</v>
      </c>
      <c r="R31" s="216" t="s">
        <v>10</v>
      </c>
      <c r="S31" s="360" t="s">
        <v>9</v>
      </c>
      <c r="T31" s="216" t="s">
        <v>10</v>
      </c>
      <c r="U31" s="360" t="s">
        <v>9</v>
      </c>
      <c r="V31" s="216" t="s">
        <v>10</v>
      </c>
      <c r="W31" s="1160" t="s">
        <v>9</v>
      </c>
      <c r="X31" s="216" t="s">
        <v>10</v>
      </c>
      <c r="Y31" s="360" t="s">
        <v>9</v>
      </c>
      <c r="Z31" s="216" t="s">
        <v>10</v>
      </c>
      <c r="AA31" s="360" t="s">
        <v>9</v>
      </c>
      <c r="AB31" s="216" t="s">
        <v>10</v>
      </c>
      <c r="AC31" s="360" t="s">
        <v>9</v>
      </c>
      <c r="AD31" s="216" t="s">
        <v>10</v>
      </c>
      <c r="AE31" s="1175" t="s">
        <v>9</v>
      </c>
      <c r="AG31" s="218"/>
      <c r="AH31"/>
      <c r="AI31"/>
      <c r="AJ31"/>
      <c r="AK31"/>
    </row>
    <row r="32" spans="1:37" s="59" customFormat="1" ht="22.5" customHeight="1">
      <c r="A32" s="75" t="s">
        <v>85</v>
      </c>
      <c r="B32" s="60"/>
      <c r="C32" s="361"/>
      <c r="D32" s="61"/>
      <c r="E32" s="337"/>
      <c r="F32" s="62"/>
      <c r="G32" s="337"/>
      <c r="H32" s="62"/>
      <c r="I32" s="337"/>
      <c r="J32" s="62"/>
      <c r="K32" s="337"/>
      <c r="L32" s="62"/>
      <c r="M32" s="1161"/>
      <c r="N32" s="62"/>
      <c r="O32" s="337"/>
      <c r="P32" s="62"/>
      <c r="Q32" s="337"/>
      <c r="R32" s="63"/>
      <c r="S32" s="337"/>
      <c r="T32" s="62"/>
      <c r="U32" s="337"/>
      <c r="V32" s="63"/>
      <c r="W32" s="1161"/>
      <c r="X32" s="62"/>
      <c r="Y32" s="337"/>
      <c r="Z32" s="63"/>
      <c r="AA32" s="337"/>
      <c r="AB32" s="337"/>
      <c r="AC32" s="337"/>
      <c r="AD32" s="63"/>
      <c r="AE32" s="1176"/>
      <c r="AF32" s="68"/>
      <c r="AG32" s="72"/>
      <c r="AH32"/>
      <c r="AI32"/>
      <c r="AJ32"/>
      <c r="AK32"/>
    </row>
    <row r="33" spans="1:37" s="140" customFormat="1" ht="21" customHeight="1">
      <c r="A33" s="109" t="s">
        <v>86</v>
      </c>
      <c r="B33" s="378"/>
      <c r="C33" s="1140"/>
      <c r="D33" s="1139">
        <v>2</v>
      </c>
      <c r="E33" s="1140">
        <v>4.8</v>
      </c>
      <c r="F33" s="1139"/>
      <c r="G33" s="1140"/>
      <c r="H33" s="1139"/>
      <c r="I33" s="1140"/>
      <c r="J33" s="1139"/>
      <c r="K33" s="1140"/>
      <c r="L33" s="1139"/>
      <c r="M33" s="1157"/>
      <c r="N33" s="1139"/>
      <c r="O33" s="1140"/>
      <c r="P33" s="1139"/>
      <c r="Q33" s="1140"/>
      <c r="R33" s="1139"/>
      <c r="S33" s="1140"/>
      <c r="T33" s="1139">
        <v>7</v>
      </c>
      <c r="U33" s="1140">
        <v>469</v>
      </c>
      <c r="V33" s="1141"/>
      <c r="W33" s="1157"/>
      <c r="X33" s="1139"/>
      <c r="Y33" s="1140"/>
      <c r="Z33" s="1139">
        <v>13</v>
      </c>
      <c r="AA33" s="1140">
        <v>423.2</v>
      </c>
      <c r="AB33" s="1140"/>
      <c r="AC33" s="379"/>
      <c r="AD33" s="430">
        <f aca="true" t="shared" si="4" ref="AD33:AE36">B33+D33+F33+H33+J33+L33+N33+P33+R33+T33+V33+X33+Z33+AB33</f>
        <v>22</v>
      </c>
      <c r="AE33" s="462">
        <f t="shared" si="4"/>
        <v>897</v>
      </c>
      <c r="AH33"/>
      <c r="AI33"/>
      <c r="AJ33"/>
      <c r="AK33"/>
    </row>
    <row r="34" spans="1:37" s="140" customFormat="1" ht="21" customHeight="1">
      <c r="A34" s="109" t="s">
        <v>87</v>
      </c>
      <c r="B34" s="574"/>
      <c r="C34" s="1140"/>
      <c r="D34" s="1141">
        <v>2</v>
      </c>
      <c r="E34" s="1140">
        <v>4.8</v>
      </c>
      <c r="F34" s="1141"/>
      <c r="G34" s="1140"/>
      <c r="H34" s="1139"/>
      <c r="I34" s="1140"/>
      <c r="J34" s="1139"/>
      <c r="K34" s="1140"/>
      <c r="L34" s="1139"/>
      <c r="M34" s="1157"/>
      <c r="N34" s="1139"/>
      <c r="O34" s="1140"/>
      <c r="P34" s="1139"/>
      <c r="Q34" s="1140"/>
      <c r="R34" s="1139"/>
      <c r="S34" s="1140"/>
      <c r="T34" s="1141">
        <v>7</v>
      </c>
      <c r="U34" s="1140">
        <v>333.4</v>
      </c>
      <c r="V34" s="1139"/>
      <c r="W34" s="1157"/>
      <c r="X34" s="1141"/>
      <c r="Y34" s="1140"/>
      <c r="Z34" s="1139">
        <v>13</v>
      </c>
      <c r="AA34" s="1140">
        <v>423.9</v>
      </c>
      <c r="AB34" s="1140"/>
      <c r="AC34" s="379"/>
      <c r="AD34" s="430">
        <f t="shared" si="4"/>
        <v>22</v>
      </c>
      <c r="AE34" s="462">
        <f t="shared" si="4"/>
        <v>762.0999999999999</v>
      </c>
      <c r="AH34"/>
      <c r="AI34"/>
      <c r="AJ34"/>
      <c r="AK34"/>
    </row>
    <row r="35" spans="1:37" s="140" customFormat="1" ht="21" customHeight="1">
      <c r="A35" s="109" t="s">
        <v>88</v>
      </c>
      <c r="B35" s="378"/>
      <c r="C35" s="1140"/>
      <c r="D35" s="1139">
        <v>2</v>
      </c>
      <c r="E35" s="1140">
        <v>4.8</v>
      </c>
      <c r="F35" s="1139"/>
      <c r="G35" s="1140"/>
      <c r="H35" s="1141"/>
      <c r="I35" s="1140"/>
      <c r="J35" s="1139"/>
      <c r="K35" s="1140"/>
      <c r="L35" s="1139"/>
      <c r="M35" s="1157"/>
      <c r="N35" s="1139"/>
      <c r="O35" s="1140"/>
      <c r="P35" s="1139"/>
      <c r="Q35" s="1140"/>
      <c r="R35" s="1139"/>
      <c r="S35" s="1140"/>
      <c r="T35" s="1139">
        <v>5</v>
      </c>
      <c r="U35" s="1140">
        <v>320.5</v>
      </c>
      <c r="V35" s="1139"/>
      <c r="W35" s="1157"/>
      <c r="X35" s="1139"/>
      <c r="Y35" s="1140"/>
      <c r="Z35" s="1139">
        <v>9</v>
      </c>
      <c r="AA35" s="1140">
        <v>240.7</v>
      </c>
      <c r="AB35" s="1142"/>
      <c r="AC35" s="379"/>
      <c r="AD35" s="430">
        <f t="shared" si="4"/>
        <v>16</v>
      </c>
      <c r="AE35" s="462">
        <f t="shared" si="4"/>
        <v>566</v>
      </c>
      <c r="AH35"/>
      <c r="AI35"/>
      <c r="AJ35"/>
      <c r="AK35"/>
    </row>
    <row r="36" spans="1:37" s="239" customFormat="1" ht="21" customHeight="1">
      <c r="A36" s="170" t="s">
        <v>89</v>
      </c>
      <c r="B36" s="565"/>
      <c r="C36" s="1144"/>
      <c r="D36" s="1143">
        <v>2</v>
      </c>
      <c r="E36" s="1144">
        <v>4.8</v>
      </c>
      <c r="F36" s="1143"/>
      <c r="G36" s="1144"/>
      <c r="H36" s="1143"/>
      <c r="I36" s="1144"/>
      <c r="J36" s="1143"/>
      <c r="K36" s="1144"/>
      <c r="L36" s="1143"/>
      <c r="M36" s="1158"/>
      <c r="N36" s="1143"/>
      <c r="O36" s="1144"/>
      <c r="P36" s="1143"/>
      <c r="Q36" s="1144"/>
      <c r="R36" s="1143"/>
      <c r="S36" s="1144"/>
      <c r="T36" s="1143">
        <v>6</v>
      </c>
      <c r="U36" s="1144">
        <v>399.7</v>
      </c>
      <c r="V36" s="1143"/>
      <c r="W36" s="1158"/>
      <c r="X36" s="1143"/>
      <c r="Y36" s="1144"/>
      <c r="Z36" s="1143">
        <v>6</v>
      </c>
      <c r="AA36" s="1144">
        <v>3.2</v>
      </c>
      <c r="AB36" s="1144"/>
      <c r="AC36" s="566"/>
      <c r="AD36" s="567">
        <f t="shared" si="4"/>
        <v>14</v>
      </c>
      <c r="AE36" s="463">
        <f t="shared" si="4"/>
        <v>407.7</v>
      </c>
      <c r="AH36" s="253"/>
      <c r="AI36" s="253"/>
      <c r="AJ36" s="253"/>
      <c r="AK36" s="253"/>
    </row>
    <row r="37" spans="1:37" s="76" customFormat="1" ht="21" customHeight="1">
      <c r="A37" s="109" t="s">
        <v>16</v>
      </c>
      <c r="B37" s="378"/>
      <c r="C37" s="1140"/>
      <c r="D37" s="1139"/>
      <c r="E37" s="1140"/>
      <c r="F37" s="1139"/>
      <c r="G37" s="1140"/>
      <c r="H37" s="1139"/>
      <c r="I37" s="1140"/>
      <c r="J37" s="1139"/>
      <c r="K37" s="1140"/>
      <c r="L37" s="1139"/>
      <c r="M37" s="1157"/>
      <c r="N37" s="1139"/>
      <c r="O37" s="1140"/>
      <c r="P37" s="1139"/>
      <c r="Q37" s="1140"/>
      <c r="R37" s="1139"/>
      <c r="S37" s="1140"/>
      <c r="T37" s="1139"/>
      <c r="U37" s="1140"/>
      <c r="V37" s="1139"/>
      <c r="W37" s="1157"/>
      <c r="X37" s="1139"/>
      <c r="Y37" s="1140"/>
      <c r="Z37" s="1139"/>
      <c r="AA37" s="1140"/>
      <c r="AB37" s="1140"/>
      <c r="AC37" s="379"/>
      <c r="AD37" s="430"/>
      <c r="AE37" s="462"/>
      <c r="AH37" s="182"/>
      <c r="AI37" s="182"/>
      <c r="AJ37" s="182"/>
      <c r="AK37" s="182"/>
    </row>
    <row r="38" spans="1:37" s="76" customFormat="1" ht="21" customHeight="1">
      <c r="A38" s="1137" t="s">
        <v>605</v>
      </c>
      <c r="B38" s="378"/>
      <c r="C38" s="1140"/>
      <c r="D38" s="1139">
        <v>2</v>
      </c>
      <c r="E38" s="1140">
        <v>4.8</v>
      </c>
      <c r="F38" s="1139"/>
      <c r="G38" s="1140"/>
      <c r="H38" s="1139"/>
      <c r="I38" s="1140"/>
      <c r="J38" s="1139"/>
      <c r="K38" s="1140"/>
      <c r="L38" s="1139"/>
      <c r="M38" s="1157"/>
      <c r="N38" s="1139"/>
      <c r="O38" s="1140"/>
      <c r="P38" s="1139"/>
      <c r="Q38" s="1140"/>
      <c r="R38" s="1139"/>
      <c r="S38" s="1140"/>
      <c r="T38" s="1139"/>
      <c r="U38" s="1140"/>
      <c r="V38" s="1139"/>
      <c r="W38" s="1157"/>
      <c r="X38" s="1139"/>
      <c r="Y38" s="1140"/>
      <c r="Z38" s="1139"/>
      <c r="AA38" s="1140"/>
      <c r="AB38" s="1140"/>
      <c r="AC38" s="379"/>
      <c r="AD38" s="430">
        <f aca="true" t="shared" si="5" ref="AD38:AE42">B38+D38+F38+H38+J38+L38+N38+P38+R38+T38+V38+X38+Z38+AB38</f>
        <v>2</v>
      </c>
      <c r="AE38" s="462">
        <f t="shared" si="5"/>
        <v>4.8</v>
      </c>
      <c r="AH38" s="182"/>
      <c r="AI38" s="182"/>
      <c r="AJ38" s="182"/>
      <c r="AK38" s="182"/>
    </row>
    <row r="39" spans="1:37" s="76" customFormat="1" ht="21" customHeight="1">
      <c r="A39" s="1137" t="s">
        <v>18</v>
      </c>
      <c r="B39" s="378"/>
      <c r="C39" s="1140"/>
      <c r="D39" s="1139">
        <v>1</v>
      </c>
      <c r="E39" s="1140">
        <v>2.4</v>
      </c>
      <c r="F39" s="1139"/>
      <c r="G39" s="1140"/>
      <c r="H39" s="1139"/>
      <c r="I39" s="1140"/>
      <c r="J39" s="1139"/>
      <c r="K39" s="1140"/>
      <c r="L39" s="1139"/>
      <c r="M39" s="1157"/>
      <c r="N39" s="1139"/>
      <c r="O39" s="1140"/>
      <c r="P39" s="1139"/>
      <c r="Q39" s="1140"/>
      <c r="R39" s="1139"/>
      <c r="S39" s="1140"/>
      <c r="T39" s="1139"/>
      <c r="U39" s="1140"/>
      <c r="V39" s="1139"/>
      <c r="W39" s="1157"/>
      <c r="X39" s="1139"/>
      <c r="Y39" s="1140"/>
      <c r="Z39" s="1139"/>
      <c r="AA39" s="1140"/>
      <c r="AB39" s="1140"/>
      <c r="AC39" s="379"/>
      <c r="AD39" s="430">
        <f t="shared" si="5"/>
        <v>1</v>
      </c>
      <c r="AE39" s="462">
        <f t="shared" si="5"/>
        <v>2.4</v>
      </c>
      <c r="AH39" s="182"/>
      <c r="AI39" s="182"/>
      <c r="AJ39" s="182"/>
      <c r="AK39" s="182"/>
    </row>
    <row r="40" spans="1:37" s="76" customFormat="1" ht="21" customHeight="1">
      <c r="A40" s="1137" t="s">
        <v>19</v>
      </c>
      <c r="B40" s="378"/>
      <c r="C40" s="1140"/>
      <c r="D40" s="1139">
        <v>2</v>
      </c>
      <c r="E40" s="1140">
        <v>4.8</v>
      </c>
      <c r="F40" s="1139"/>
      <c r="G40" s="1140"/>
      <c r="H40" s="1139"/>
      <c r="I40" s="1140"/>
      <c r="J40" s="1139"/>
      <c r="K40" s="1140"/>
      <c r="L40" s="1139"/>
      <c r="M40" s="1157"/>
      <c r="N40" s="1139"/>
      <c r="O40" s="1140"/>
      <c r="P40" s="1139"/>
      <c r="Q40" s="1140"/>
      <c r="R40" s="1139"/>
      <c r="S40" s="1140"/>
      <c r="T40" s="1139"/>
      <c r="U40" s="1140"/>
      <c r="V40" s="1139"/>
      <c r="W40" s="1157"/>
      <c r="X40" s="1139"/>
      <c r="Y40" s="1140"/>
      <c r="Z40" s="1139"/>
      <c r="AA40" s="1140"/>
      <c r="AB40" s="1140"/>
      <c r="AC40" s="379"/>
      <c r="AD40" s="430">
        <f t="shared" si="5"/>
        <v>2</v>
      </c>
      <c r="AE40" s="462">
        <f t="shared" si="5"/>
        <v>4.8</v>
      </c>
      <c r="AH40" s="182"/>
      <c r="AI40" s="182"/>
      <c r="AJ40" s="182"/>
      <c r="AK40" s="182"/>
    </row>
    <row r="41" spans="1:37" s="76" customFormat="1" ht="21" customHeight="1">
      <c r="A41" s="170" t="s">
        <v>20</v>
      </c>
      <c r="B41" s="565"/>
      <c r="C41" s="1144"/>
      <c r="D41" s="1143">
        <v>2</v>
      </c>
      <c r="E41" s="1144">
        <v>4.8</v>
      </c>
      <c r="F41" s="1143"/>
      <c r="G41" s="1144"/>
      <c r="H41" s="1143"/>
      <c r="I41" s="1144"/>
      <c r="J41" s="1143"/>
      <c r="K41" s="1144"/>
      <c r="L41" s="1143"/>
      <c r="M41" s="1158"/>
      <c r="N41" s="1143"/>
      <c r="O41" s="1144"/>
      <c r="P41" s="1143"/>
      <c r="Q41" s="1144"/>
      <c r="R41" s="1143"/>
      <c r="S41" s="1144"/>
      <c r="T41" s="1143"/>
      <c r="U41" s="1144"/>
      <c r="V41" s="1143"/>
      <c r="W41" s="1158"/>
      <c r="X41" s="1143"/>
      <c r="Y41" s="1144"/>
      <c r="Z41" s="1143"/>
      <c r="AA41" s="1144"/>
      <c r="AB41" s="1144"/>
      <c r="AC41" s="566"/>
      <c r="AD41" s="567">
        <f t="shared" si="5"/>
        <v>2</v>
      </c>
      <c r="AE41" s="463">
        <f t="shared" si="5"/>
        <v>4.8</v>
      </c>
      <c r="AH41" s="182"/>
      <c r="AI41" s="182"/>
      <c r="AJ41" s="182"/>
      <c r="AK41" s="182"/>
    </row>
    <row r="42" spans="1:37" s="59" customFormat="1" ht="22.5" customHeight="1" thickBot="1">
      <c r="A42" s="150" t="s">
        <v>171</v>
      </c>
      <c r="B42" s="563"/>
      <c r="C42" s="1146"/>
      <c r="D42" s="1145">
        <v>2</v>
      </c>
      <c r="E42" s="1148">
        <f>4.8</f>
        <v>4.8</v>
      </c>
      <c r="F42" s="1145"/>
      <c r="G42" s="1146"/>
      <c r="H42" s="1145"/>
      <c r="I42" s="1146"/>
      <c r="J42" s="1145"/>
      <c r="K42" s="1146"/>
      <c r="L42" s="1145"/>
      <c r="M42" s="1162"/>
      <c r="N42" s="1145"/>
      <c r="O42" s="1146"/>
      <c r="P42" s="1145"/>
      <c r="Q42" s="1146"/>
      <c r="R42" s="1145"/>
      <c r="S42" s="1146"/>
      <c r="T42" s="1145">
        <v>15</v>
      </c>
      <c r="U42" s="1146">
        <v>60.6</v>
      </c>
      <c r="V42" s="1145"/>
      <c r="W42" s="1162"/>
      <c r="X42" s="1145"/>
      <c r="Y42" s="1146"/>
      <c r="Z42" s="1145"/>
      <c r="AA42" s="1148"/>
      <c r="AB42" s="1146"/>
      <c r="AC42" s="564"/>
      <c r="AD42" s="430">
        <f t="shared" si="5"/>
        <v>17</v>
      </c>
      <c r="AE42" s="462">
        <f t="shared" si="5"/>
        <v>65.4</v>
      </c>
      <c r="AF42" s="68"/>
      <c r="AG42" s="72"/>
      <c r="AH42"/>
      <c r="AI42"/>
      <c r="AJ42"/>
      <c r="AK42"/>
    </row>
    <row r="43" spans="1:37" s="59" customFormat="1" ht="23.25" customHeight="1" thickBot="1">
      <c r="A43" s="90" t="s">
        <v>65</v>
      </c>
      <c r="B43" s="150"/>
      <c r="C43" s="362"/>
      <c r="D43" s="150">
        <f>SUM(D33:D42)</f>
        <v>17</v>
      </c>
      <c r="E43" s="362">
        <f>SUM(E33:E42)</f>
        <v>40.8</v>
      </c>
      <c r="F43" s="150"/>
      <c r="G43" s="362"/>
      <c r="H43" s="150"/>
      <c r="I43" s="362"/>
      <c r="J43" s="150"/>
      <c r="K43" s="362"/>
      <c r="L43" s="150"/>
      <c r="M43" s="1163"/>
      <c r="N43" s="150"/>
      <c r="O43" s="362"/>
      <c r="P43" s="150"/>
      <c r="Q43" s="362"/>
      <c r="R43" s="150"/>
      <c r="S43" s="362"/>
      <c r="T43" s="150">
        <f>SUM(T33:T42)</f>
        <v>40</v>
      </c>
      <c r="U43" s="1163">
        <f>SUM(U33:U42)</f>
        <v>1583.2</v>
      </c>
      <c r="V43" s="150"/>
      <c r="W43" s="1163"/>
      <c r="X43" s="150"/>
      <c r="Y43" s="362"/>
      <c r="Z43" s="150">
        <f>SUM(Z33:Z42)</f>
        <v>41</v>
      </c>
      <c r="AA43" s="1163">
        <f>SUM(AA33:AA42)</f>
        <v>1091</v>
      </c>
      <c r="AB43" s="150"/>
      <c r="AC43" s="362"/>
      <c r="AD43" s="1138">
        <f>SUM(AD33:AD42)</f>
        <v>98</v>
      </c>
      <c r="AE43" s="1170">
        <f>SUM(AE33:AE42)</f>
        <v>2715.0000000000005</v>
      </c>
      <c r="AF43" s="68"/>
      <c r="AG43" s="72"/>
      <c r="AH43"/>
      <c r="AI43"/>
      <c r="AJ43"/>
      <c r="AK43"/>
    </row>
    <row r="44" spans="1:37" s="59" customFormat="1" ht="15" customHeight="1">
      <c r="A44" s="88"/>
      <c r="B44" s="109"/>
      <c r="C44" s="713"/>
      <c r="D44" s="109"/>
      <c r="E44" s="713"/>
      <c r="F44" s="109"/>
      <c r="G44" s="713"/>
      <c r="H44" s="109"/>
      <c r="I44" s="713"/>
      <c r="J44" s="109"/>
      <c r="K44" s="713"/>
      <c r="L44" s="109"/>
      <c r="M44" s="1164"/>
      <c r="N44" s="109"/>
      <c r="O44" s="713"/>
      <c r="P44" s="109"/>
      <c r="Q44" s="713"/>
      <c r="R44" s="109"/>
      <c r="S44" s="713"/>
      <c r="T44" s="109"/>
      <c r="U44" s="713"/>
      <c r="V44" s="109"/>
      <c r="W44" s="1164"/>
      <c r="X44" s="109"/>
      <c r="Y44" s="713"/>
      <c r="Z44" s="109"/>
      <c r="AA44" s="713"/>
      <c r="AB44" s="713"/>
      <c r="AC44" s="713"/>
      <c r="AD44" s="109"/>
      <c r="AE44" s="462"/>
      <c r="AF44" s="68"/>
      <c r="AG44" s="72"/>
      <c r="AH44"/>
      <c r="AI44"/>
      <c r="AJ44"/>
      <c r="AK44"/>
    </row>
    <row r="45" spans="1:46" s="59" customFormat="1" ht="27" customHeight="1" thickBot="1">
      <c r="A45" s="237" t="s">
        <v>181</v>
      </c>
      <c r="B45" s="98"/>
      <c r="C45" s="364"/>
      <c r="D45" s="58"/>
      <c r="E45" s="344"/>
      <c r="F45" s="138"/>
      <c r="G45" s="344"/>
      <c r="H45" s="138"/>
      <c r="I45" s="344"/>
      <c r="J45" s="138"/>
      <c r="K45" s="344"/>
      <c r="L45" s="138"/>
      <c r="M45" s="762"/>
      <c r="N45" s="58"/>
      <c r="O45" s="344"/>
      <c r="P45" s="138"/>
      <c r="Q45" s="344"/>
      <c r="R45" s="68"/>
      <c r="S45" s="374"/>
      <c r="T45" s="68"/>
      <c r="U45" s="374"/>
      <c r="V45" s="68"/>
      <c r="W45" s="762"/>
      <c r="X45" s="68"/>
      <c r="Y45" s="374"/>
      <c r="Z45" s="139"/>
      <c r="AA45"/>
      <c r="AB45"/>
      <c r="AC45"/>
      <c r="AD45" s="139"/>
      <c r="AE45" s="1174" t="s">
        <v>101</v>
      </c>
      <c r="AF45" s="138"/>
      <c r="AG45" s="138"/>
      <c r="AH45" s="139"/>
      <c r="AI45" s="68"/>
      <c r="AJ45" s="68"/>
      <c r="AK45" s="68"/>
      <c r="AL45" s="139"/>
      <c r="AM45" s="68"/>
      <c r="AN45" s="139"/>
      <c r="AO45" s="68"/>
      <c r="AP45" s="68"/>
      <c r="AQ45" s="72"/>
      <c r="AS45" s="139"/>
      <c r="AT45" s="68"/>
    </row>
    <row r="46" spans="1:36" s="59" customFormat="1" ht="67.5" customHeight="1">
      <c r="A46" s="1271" t="s">
        <v>1</v>
      </c>
      <c r="B46" s="1324" t="s">
        <v>70</v>
      </c>
      <c r="C46" s="1324"/>
      <c r="D46" s="1324" t="s">
        <v>83</v>
      </c>
      <c r="E46" s="1324"/>
      <c r="F46" s="1324" t="s">
        <v>72</v>
      </c>
      <c r="G46" s="1324"/>
      <c r="H46" s="1324" t="s">
        <v>84</v>
      </c>
      <c r="I46" s="1324"/>
      <c r="J46" s="1324" t="s">
        <v>154</v>
      </c>
      <c r="K46" s="1324"/>
      <c r="L46" s="1324" t="s">
        <v>74</v>
      </c>
      <c r="M46" s="1324"/>
      <c r="N46" s="1324" t="s">
        <v>159</v>
      </c>
      <c r="O46" s="1324"/>
      <c r="P46" s="258" t="s">
        <v>75</v>
      </c>
      <c r="Q46" s="373"/>
      <c r="R46" s="1323" t="s">
        <v>76</v>
      </c>
      <c r="S46" s="1323"/>
      <c r="T46" s="1324" t="s">
        <v>77</v>
      </c>
      <c r="U46" s="1324"/>
      <c r="V46" s="1324" t="s">
        <v>78</v>
      </c>
      <c r="W46" s="1324"/>
      <c r="X46" s="1324" t="s">
        <v>81</v>
      </c>
      <c r="Y46" s="1324"/>
      <c r="Z46" s="1323" t="s">
        <v>92</v>
      </c>
      <c r="AA46" s="1323"/>
      <c r="AB46" s="1324" t="s">
        <v>530</v>
      </c>
      <c r="AC46" s="1324"/>
      <c r="AD46" s="1325" t="s">
        <v>65</v>
      </c>
      <c r="AE46" s="1325"/>
      <c r="AF46" s="68"/>
      <c r="AG46" s="72"/>
      <c r="AI46" s="139"/>
      <c r="AJ46" s="68"/>
    </row>
    <row r="47" spans="1:35" s="217" customFormat="1" ht="27" customHeight="1" thickBot="1">
      <c r="A47" s="1272"/>
      <c r="B47" s="215" t="s">
        <v>10</v>
      </c>
      <c r="C47" s="360" t="s">
        <v>9</v>
      </c>
      <c r="D47" s="215" t="s">
        <v>10</v>
      </c>
      <c r="E47" s="360" t="s">
        <v>9</v>
      </c>
      <c r="F47" s="215" t="s">
        <v>10</v>
      </c>
      <c r="G47" s="360" t="s">
        <v>9</v>
      </c>
      <c r="H47" s="215" t="s">
        <v>10</v>
      </c>
      <c r="I47" s="360" t="s">
        <v>9</v>
      </c>
      <c r="J47" s="215" t="s">
        <v>10</v>
      </c>
      <c r="K47" s="360" t="s">
        <v>9</v>
      </c>
      <c r="L47" s="215" t="s">
        <v>10</v>
      </c>
      <c r="M47" s="1160" t="s">
        <v>9</v>
      </c>
      <c r="N47" s="215" t="s">
        <v>10</v>
      </c>
      <c r="O47" s="360" t="s">
        <v>9</v>
      </c>
      <c r="P47" s="215" t="s">
        <v>10</v>
      </c>
      <c r="Q47" s="360" t="s">
        <v>9</v>
      </c>
      <c r="R47" s="215" t="s">
        <v>10</v>
      </c>
      <c r="S47" s="360" t="s">
        <v>9</v>
      </c>
      <c r="T47" s="216" t="s">
        <v>10</v>
      </c>
      <c r="U47" s="360" t="s">
        <v>9</v>
      </c>
      <c r="V47" s="216" t="s">
        <v>10</v>
      </c>
      <c r="W47" s="1160" t="s">
        <v>9</v>
      </c>
      <c r="X47" s="216" t="s">
        <v>10</v>
      </c>
      <c r="Y47" s="360" t="s">
        <v>9</v>
      </c>
      <c r="Z47" s="216" t="s">
        <v>10</v>
      </c>
      <c r="AA47" s="360" t="s">
        <v>9</v>
      </c>
      <c r="AB47" s="216" t="s">
        <v>10</v>
      </c>
      <c r="AC47" s="360" t="s">
        <v>9</v>
      </c>
      <c r="AD47" s="216" t="s">
        <v>10</v>
      </c>
      <c r="AE47" s="1175" t="s">
        <v>9</v>
      </c>
      <c r="AG47" s="218"/>
      <c r="AI47" s="219"/>
    </row>
    <row r="48" spans="1:34" s="59" customFormat="1" ht="21" customHeight="1">
      <c r="A48" s="75" t="s">
        <v>85</v>
      </c>
      <c r="B48" s="60"/>
      <c r="C48" s="361"/>
      <c r="D48" s="61"/>
      <c r="E48" s="337"/>
      <c r="F48" s="62"/>
      <c r="G48" s="337"/>
      <c r="H48" s="62"/>
      <c r="I48" s="337"/>
      <c r="J48" s="62"/>
      <c r="K48" s="337"/>
      <c r="L48" s="62"/>
      <c r="M48" s="1161"/>
      <c r="N48" s="62"/>
      <c r="O48" s="337"/>
      <c r="P48" s="62"/>
      <c r="Q48" s="337"/>
      <c r="R48" s="62"/>
      <c r="S48" s="337"/>
      <c r="T48" s="63"/>
      <c r="U48" s="337"/>
      <c r="V48" s="63"/>
      <c r="W48" s="1161"/>
      <c r="X48" s="62"/>
      <c r="Y48" s="337"/>
      <c r="Z48" s="63"/>
      <c r="AA48" s="337"/>
      <c r="AB48" s="337"/>
      <c r="AC48" s="337"/>
      <c r="AD48" s="68"/>
      <c r="AE48" s="461"/>
      <c r="AG48" s="139"/>
      <c r="AH48" s="68"/>
    </row>
    <row r="49" spans="1:35" s="59" customFormat="1" ht="19.5" customHeight="1">
      <c r="A49" s="75" t="s">
        <v>86</v>
      </c>
      <c r="B49" s="1149"/>
      <c r="C49" s="1150"/>
      <c r="D49" s="1149"/>
      <c r="E49" s="1150"/>
      <c r="F49" s="1149"/>
      <c r="G49" s="1150"/>
      <c r="H49" s="1149"/>
      <c r="I49" s="1150"/>
      <c r="J49" s="1149"/>
      <c r="K49" s="1150"/>
      <c r="L49" s="1149"/>
      <c r="M49" s="1166"/>
      <c r="N49" s="1149"/>
      <c r="O49" s="1150"/>
      <c r="P49" s="1149"/>
      <c r="Q49" s="1150"/>
      <c r="R49" s="1149"/>
      <c r="S49" s="1150"/>
      <c r="T49" s="1149"/>
      <c r="U49" s="1150"/>
      <c r="V49" s="1151">
        <v>6</v>
      </c>
      <c r="W49" s="1168">
        <v>89.4</v>
      </c>
      <c r="X49" s="1149"/>
      <c r="Y49" s="1150"/>
      <c r="Z49" s="1149"/>
      <c r="AA49" s="1150"/>
      <c r="AB49" s="1150"/>
      <c r="AC49" s="366"/>
      <c r="AD49" s="430">
        <f aca="true" t="shared" si="6" ref="AD49:AE51">B49+D49+F49+H49+J49+L49+N49+P49+R49+T49+V49+X49+Z49+AB49</f>
        <v>6</v>
      </c>
      <c r="AE49" s="462">
        <f t="shared" si="6"/>
        <v>89.4</v>
      </c>
      <c r="AF49" s="93"/>
      <c r="AG49" s="222"/>
      <c r="AH49" s="157"/>
      <c r="AI49" s="158"/>
    </row>
    <row r="50" spans="1:35" s="59" customFormat="1" ht="19.5" customHeight="1">
      <c r="A50" s="75" t="s">
        <v>87</v>
      </c>
      <c r="B50" s="1149"/>
      <c r="C50" s="1150"/>
      <c r="D50" s="1149"/>
      <c r="E50" s="1150"/>
      <c r="F50" s="1149"/>
      <c r="G50" s="1150"/>
      <c r="H50" s="1149"/>
      <c r="I50" s="1150"/>
      <c r="J50" s="1149"/>
      <c r="K50" s="1150"/>
      <c r="L50" s="1149"/>
      <c r="M50" s="1166"/>
      <c r="N50" s="1149"/>
      <c r="O50" s="1150"/>
      <c r="P50" s="1149"/>
      <c r="Q50" s="1150"/>
      <c r="R50" s="1149"/>
      <c r="S50" s="1150"/>
      <c r="T50" s="1149"/>
      <c r="U50" s="1150"/>
      <c r="V50" s="1151">
        <v>9</v>
      </c>
      <c r="W50" s="1168">
        <v>118.2</v>
      </c>
      <c r="X50" s="1149"/>
      <c r="Y50" s="1150"/>
      <c r="Z50" s="1149"/>
      <c r="AA50" s="1150"/>
      <c r="AB50" s="1150"/>
      <c r="AC50" s="366"/>
      <c r="AD50" s="430">
        <f t="shared" si="6"/>
        <v>9</v>
      </c>
      <c r="AE50" s="462">
        <f t="shared" si="6"/>
        <v>118.2</v>
      </c>
      <c r="AF50" s="93"/>
      <c r="AG50" s="222"/>
      <c r="AH50" s="157"/>
      <c r="AI50" s="158"/>
    </row>
    <row r="51" spans="1:35" s="59" customFormat="1" ht="19.5" customHeight="1">
      <c r="A51" s="75" t="s">
        <v>88</v>
      </c>
      <c r="B51" s="1149"/>
      <c r="C51" s="1150"/>
      <c r="D51" s="1149"/>
      <c r="E51" s="1150"/>
      <c r="F51" s="1149"/>
      <c r="G51" s="1150"/>
      <c r="H51" s="1149"/>
      <c r="I51" s="1150"/>
      <c r="J51" s="1149"/>
      <c r="K51" s="1150"/>
      <c r="L51" s="1149"/>
      <c r="M51" s="1166"/>
      <c r="N51" s="1149"/>
      <c r="O51" s="1150"/>
      <c r="P51" s="1149"/>
      <c r="Q51" s="1150"/>
      <c r="R51" s="1149"/>
      <c r="S51" s="1150"/>
      <c r="T51" s="1149"/>
      <c r="U51" s="1150"/>
      <c r="V51" s="1151">
        <v>9</v>
      </c>
      <c r="W51" s="1168">
        <v>107.7</v>
      </c>
      <c r="X51" s="1149"/>
      <c r="Y51" s="1150"/>
      <c r="Z51" s="1149"/>
      <c r="AA51" s="1150"/>
      <c r="AB51" s="1150"/>
      <c r="AC51" s="366"/>
      <c r="AD51" s="430">
        <f t="shared" si="6"/>
        <v>9</v>
      </c>
      <c r="AE51" s="462">
        <f t="shared" si="6"/>
        <v>107.7</v>
      </c>
      <c r="AF51" s="93"/>
      <c r="AG51" s="222"/>
      <c r="AH51" s="157"/>
      <c r="AI51" s="158"/>
    </row>
    <row r="52" spans="1:33" s="239" customFormat="1" ht="19.5" customHeight="1">
      <c r="A52" s="170" t="s">
        <v>89</v>
      </c>
      <c r="B52" s="1153"/>
      <c r="C52" s="1154"/>
      <c r="D52" s="1153"/>
      <c r="E52" s="1154"/>
      <c r="F52" s="1153"/>
      <c r="G52" s="1154"/>
      <c r="H52" s="1153"/>
      <c r="I52" s="1154"/>
      <c r="J52" s="1153"/>
      <c r="K52" s="1154"/>
      <c r="L52" s="1153"/>
      <c r="M52" s="1167"/>
      <c r="N52" s="1153"/>
      <c r="O52" s="1154"/>
      <c r="P52" s="1153"/>
      <c r="Q52" s="1154"/>
      <c r="R52" s="1153"/>
      <c r="S52" s="1154"/>
      <c r="T52" s="1153"/>
      <c r="U52" s="1154"/>
      <c r="V52" s="1155"/>
      <c r="W52" s="1171"/>
      <c r="X52" s="1153"/>
      <c r="Y52" s="1154"/>
      <c r="Z52" s="1153"/>
      <c r="AA52" s="1154"/>
      <c r="AB52" s="1154"/>
      <c r="AC52" s="367"/>
      <c r="AD52" s="567"/>
      <c r="AE52" s="463"/>
      <c r="AG52" s="18"/>
    </row>
    <row r="53" spans="1:37" s="76" customFormat="1" ht="21" customHeight="1">
      <c r="A53" s="109" t="s">
        <v>315</v>
      </c>
      <c r="B53" s="1151"/>
      <c r="C53" s="1152"/>
      <c r="D53" s="1151"/>
      <c r="E53" s="1152"/>
      <c r="F53" s="1151"/>
      <c r="G53" s="1152"/>
      <c r="H53" s="1151"/>
      <c r="I53" s="1152"/>
      <c r="J53" s="1151"/>
      <c r="K53" s="1152"/>
      <c r="L53" s="1151"/>
      <c r="M53" s="1168"/>
      <c r="N53" s="1151"/>
      <c r="O53" s="1152"/>
      <c r="P53" s="1151"/>
      <c r="Q53" s="1152"/>
      <c r="R53" s="1151"/>
      <c r="S53" s="1152"/>
      <c r="T53" s="1151"/>
      <c r="U53" s="1152"/>
      <c r="V53" s="1151"/>
      <c r="W53" s="1168"/>
      <c r="X53" s="1151"/>
      <c r="Y53" s="1152"/>
      <c r="Z53" s="1151"/>
      <c r="AA53" s="1152"/>
      <c r="AB53" s="1152"/>
      <c r="AC53" s="379"/>
      <c r="AD53" s="430"/>
      <c r="AE53" s="462"/>
      <c r="AH53" s="182"/>
      <c r="AI53" s="182"/>
      <c r="AJ53" s="182"/>
      <c r="AK53" s="182"/>
    </row>
    <row r="54" spans="1:37" s="76" customFormat="1" ht="21" customHeight="1">
      <c r="A54" s="109" t="s">
        <v>94</v>
      </c>
      <c r="B54" s="1151"/>
      <c r="C54" s="1152"/>
      <c r="D54" s="1151"/>
      <c r="E54" s="1152"/>
      <c r="F54" s="1151"/>
      <c r="G54" s="1152"/>
      <c r="H54" s="1151"/>
      <c r="I54" s="1152"/>
      <c r="J54" s="1151"/>
      <c r="K54" s="1152"/>
      <c r="L54" s="1151"/>
      <c r="M54" s="1168"/>
      <c r="N54" s="1151"/>
      <c r="O54" s="1152"/>
      <c r="P54" s="1151"/>
      <c r="Q54" s="1152"/>
      <c r="R54" s="1151"/>
      <c r="S54" s="1152"/>
      <c r="T54" s="1151"/>
      <c r="U54" s="1152"/>
      <c r="V54" s="1156">
        <v>4</v>
      </c>
      <c r="W54" s="1172">
        <v>4.4</v>
      </c>
      <c r="X54" s="1151"/>
      <c r="Y54" s="1152"/>
      <c r="Z54" s="1151"/>
      <c r="AA54" s="1152"/>
      <c r="AB54" s="1152"/>
      <c r="AC54" s="379"/>
      <c r="AD54" s="567">
        <f>B54+D54+F54+H54+J54+L54+N54+P54+R54+T54+V54+X54+Z54+AB54</f>
        <v>4</v>
      </c>
      <c r="AE54" s="463">
        <f>C54+E54+G54+I54+K54+M54+O54+Q54+S54+U54+W54+Y54+AA54+AC54</f>
        <v>4.4</v>
      </c>
      <c r="AH54" s="182"/>
      <c r="AI54" s="182"/>
      <c r="AJ54" s="182"/>
      <c r="AK54" s="182"/>
    </row>
    <row r="55" spans="1:37" s="59" customFormat="1" ht="22.5" customHeight="1" thickBot="1">
      <c r="A55" s="152" t="s">
        <v>171</v>
      </c>
      <c r="B55" s="221"/>
      <c r="C55" s="365"/>
      <c r="D55" s="221"/>
      <c r="E55" s="365"/>
      <c r="F55" s="221"/>
      <c r="G55" s="365"/>
      <c r="H55" s="221"/>
      <c r="I55" s="365"/>
      <c r="J55" s="221"/>
      <c r="K55" s="365"/>
      <c r="L55" s="221"/>
      <c r="M55" s="1169"/>
      <c r="N55" s="221"/>
      <c r="O55" s="365"/>
      <c r="P55" s="221"/>
      <c r="Q55" s="365"/>
      <c r="R55" s="221"/>
      <c r="S55" s="365"/>
      <c r="T55" s="221"/>
      <c r="U55" s="365"/>
      <c r="V55" s="221"/>
      <c r="W55" s="1169"/>
      <c r="X55" s="221"/>
      <c r="Y55" s="365"/>
      <c r="Z55" s="221"/>
      <c r="AA55" s="365"/>
      <c r="AB55" s="365"/>
      <c r="AC55" s="365"/>
      <c r="AD55" s="430"/>
      <c r="AE55" s="462"/>
      <c r="AF55" s="68"/>
      <c r="AG55" s="72"/>
      <c r="AH55"/>
      <c r="AI55"/>
      <c r="AJ55"/>
      <c r="AK55"/>
    </row>
    <row r="56" spans="1:34" s="166" customFormat="1" ht="23.25" customHeight="1" thickBot="1">
      <c r="A56" s="220" t="s">
        <v>65</v>
      </c>
      <c r="B56" s="242">
        <f aca="true" t="shared" si="7" ref="B56:AA56">SUM(B48:B55)</f>
        <v>0</v>
      </c>
      <c r="C56" s="242">
        <f t="shared" si="7"/>
        <v>0</v>
      </c>
      <c r="D56" s="242">
        <f t="shared" si="7"/>
        <v>0</v>
      </c>
      <c r="E56" s="242">
        <f t="shared" si="7"/>
        <v>0</v>
      </c>
      <c r="F56" s="242">
        <f t="shared" si="7"/>
        <v>0</v>
      </c>
      <c r="G56" s="242">
        <f t="shared" si="7"/>
        <v>0</v>
      </c>
      <c r="H56" s="242">
        <f t="shared" si="7"/>
        <v>0</v>
      </c>
      <c r="I56" s="242">
        <f t="shared" si="7"/>
        <v>0</v>
      </c>
      <c r="J56" s="242">
        <f t="shared" si="7"/>
        <v>0</v>
      </c>
      <c r="K56" s="242">
        <f t="shared" si="7"/>
        <v>0</v>
      </c>
      <c r="L56" s="242">
        <f t="shared" si="7"/>
        <v>0</v>
      </c>
      <c r="M56" s="1170">
        <f t="shared" si="7"/>
        <v>0</v>
      </c>
      <c r="N56" s="242">
        <f t="shared" si="7"/>
        <v>0</v>
      </c>
      <c r="O56" s="242">
        <f t="shared" si="7"/>
        <v>0</v>
      </c>
      <c r="P56" s="242">
        <f t="shared" si="7"/>
        <v>0</v>
      </c>
      <c r="Q56" s="242">
        <f t="shared" si="7"/>
        <v>0</v>
      </c>
      <c r="R56" s="242">
        <f t="shared" si="7"/>
        <v>0</v>
      </c>
      <c r="S56" s="242">
        <f t="shared" si="7"/>
        <v>0</v>
      </c>
      <c r="T56" s="242">
        <f t="shared" si="7"/>
        <v>0</v>
      </c>
      <c r="U56" s="242">
        <f t="shared" si="7"/>
        <v>0</v>
      </c>
      <c r="V56" s="242">
        <f t="shared" si="7"/>
        <v>28</v>
      </c>
      <c r="W56" s="1170">
        <f t="shared" si="7"/>
        <v>319.7</v>
      </c>
      <c r="X56" s="242">
        <f t="shared" si="7"/>
        <v>0</v>
      </c>
      <c r="Y56" s="242">
        <f t="shared" si="7"/>
        <v>0</v>
      </c>
      <c r="Z56" s="242">
        <f t="shared" si="7"/>
        <v>0</v>
      </c>
      <c r="AA56" s="242">
        <f t="shared" si="7"/>
        <v>0</v>
      </c>
      <c r="AB56" s="368"/>
      <c r="AC56" s="368"/>
      <c r="AD56" s="242">
        <f>SUM(AD49:AD54)</f>
        <v>28</v>
      </c>
      <c r="AE56" s="1170">
        <f>SUM(AE49:AE54)</f>
        <v>319.7</v>
      </c>
      <c r="AF56" s="42"/>
      <c r="AG56" s="42"/>
      <c r="AH56" s="42"/>
    </row>
    <row r="57" spans="1:46" s="59" customFormat="1" ht="48.75" customHeight="1" thickBot="1">
      <c r="A57" s="237" t="s">
        <v>610</v>
      </c>
      <c r="B57" s="98"/>
      <c r="C57" s="364"/>
      <c r="D57" s="58"/>
      <c r="E57" s="344"/>
      <c r="F57" s="138"/>
      <c r="G57" s="344"/>
      <c r="H57" s="138"/>
      <c r="I57" s="344"/>
      <c r="J57" s="138"/>
      <c r="K57" s="344"/>
      <c r="L57" s="138"/>
      <c r="M57" s="762"/>
      <c r="N57" s="58"/>
      <c r="O57" s="344"/>
      <c r="P57" s="138"/>
      <c r="Q57" s="344"/>
      <c r="R57" s="68"/>
      <c r="S57" s="374"/>
      <c r="T57" s="68"/>
      <c r="U57" s="374"/>
      <c r="V57" s="68"/>
      <c r="W57" s="762"/>
      <c r="X57" s="68"/>
      <c r="Y57" s="374"/>
      <c r="Z57" s="139"/>
      <c r="AA57"/>
      <c r="AB57"/>
      <c r="AC57"/>
      <c r="AD57" s="139"/>
      <c r="AE57" s="1174" t="s">
        <v>101</v>
      </c>
      <c r="AF57" s="138"/>
      <c r="AG57" s="138"/>
      <c r="AH57" s="139"/>
      <c r="AI57" s="68"/>
      <c r="AJ57" s="68"/>
      <c r="AK57" s="68"/>
      <c r="AL57" s="139"/>
      <c r="AM57" s="68"/>
      <c r="AN57" s="139"/>
      <c r="AO57" s="68"/>
      <c r="AP57" s="68"/>
      <c r="AQ57" s="72"/>
      <c r="AS57" s="139"/>
      <c r="AT57" s="68"/>
    </row>
    <row r="58" spans="1:36" s="59" customFormat="1" ht="67.5" customHeight="1">
      <c r="A58" s="1271" t="s">
        <v>1</v>
      </c>
      <c r="B58" s="1324" t="s">
        <v>70</v>
      </c>
      <c r="C58" s="1324"/>
      <c r="D58" s="1324" t="s">
        <v>83</v>
      </c>
      <c r="E58" s="1324"/>
      <c r="F58" s="1324" t="s">
        <v>72</v>
      </c>
      <c r="G58" s="1324"/>
      <c r="H58" s="1324" t="s">
        <v>84</v>
      </c>
      <c r="I58" s="1324"/>
      <c r="J58" s="1324" t="s">
        <v>154</v>
      </c>
      <c r="K58" s="1324"/>
      <c r="L58" s="1324" t="s">
        <v>74</v>
      </c>
      <c r="M58" s="1324"/>
      <c r="N58" s="1324" t="s">
        <v>159</v>
      </c>
      <c r="O58" s="1324"/>
      <c r="P58" s="258" t="s">
        <v>75</v>
      </c>
      <c r="Q58" s="373"/>
      <c r="R58" s="1323" t="s">
        <v>76</v>
      </c>
      <c r="S58" s="1323"/>
      <c r="T58" s="1324" t="s">
        <v>77</v>
      </c>
      <c r="U58" s="1324"/>
      <c r="V58" s="1324" t="s">
        <v>78</v>
      </c>
      <c r="W58" s="1324"/>
      <c r="X58" s="1324" t="s">
        <v>81</v>
      </c>
      <c r="Y58" s="1324"/>
      <c r="Z58" s="1323" t="s">
        <v>92</v>
      </c>
      <c r="AA58" s="1323"/>
      <c r="AB58" s="1324" t="s">
        <v>530</v>
      </c>
      <c r="AC58" s="1324"/>
      <c r="AD58" s="1325" t="s">
        <v>65</v>
      </c>
      <c r="AE58" s="1325"/>
      <c r="AF58" s="68"/>
      <c r="AG58" s="72"/>
      <c r="AI58" s="139"/>
      <c r="AJ58" s="68"/>
    </row>
    <row r="59" spans="1:35" s="217" customFormat="1" ht="27" customHeight="1" thickBot="1">
      <c r="A59" s="1272"/>
      <c r="B59" s="215" t="s">
        <v>10</v>
      </c>
      <c r="C59" s="360" t="s">
        <v>9</v>
      </c>
      <c r="D59" s="215" t="s">
        <v>10</v>
      </c>
      <c r="E59" s="360" t="s">
        <v>9</v>
      </c>
      <c r="F59" s="215" t="s">
        <v>10</v>
      </c>
      <c r="G59" s="360" t="s">
        <v>9</v>
      </c>
      <c r="H59" s="215" t="s">
        <v>10</v>
      </c>
      <c r="I59" s="360" t="s">
        <v>9</v>
      </c>
      <c r="J59" s="215" t="s">
        <v>10</v>
      </c>
      <c r="K59" s="360" t="s">
        <v>9</v>
      </c>
      <c r="L59" s="215" t="s">
        <v>10</v>
      </c>
      <c r="M59" s="1160" t="s">
        <v>9</v>
      </c>
      <c r="N59" s="215" t="s">
        <v>10</v>
      </c>
      <c r="O59" s="360" t="s">
        <v>9</v>
      </c>
      <c r="P59" s="215" t="s">
        <v>10</v>
      </c>
      <c r="Q59" s="360" t="s">
        <v>9</v>
      </c>
      <c r="R59" s="215" t="s">
        <v>10</v>
      </c>
      <c r="S59" s="360" t="s">
        <v>9</v>
      </c>
      <c r="T59" s="216" t="s">
        <v>10</v>
      </c>
      <c r="U59" s="360" t="s">
        <v>9</v>
      </c>
      <c r="V59" s="216" t="s">
        <v>10</v>
      </c>
      <c r="W59" s="1160" t="s">
        <v>9</v>
      </c>
      <c r="X59" s="216" t="s">
        <v>10</v>
      </c>
      <c r="Y59" s="360" t="s">
        <v>9</v>
      </c>
      <c r="Z59" s="216" t="s">
        <v>10</v>
      </c>
      <c r="AA59" s="360" t="s">
        <v>9</v>
      </c>
      <c r="AB59" s="216" t="s">
        <v>10</v>
      </c>
      <c r="AC59" s="360" t="s">
        <v>9</v>
      </c>
      <c r="AD59" s="216" t="s">
        <v>10</v>
      </c>
      <c r="AE59" s="1175" t="s">
        <v>9</v>
      </c>
      <c r="AG59" s="218"/>
      <c r="AI59" s="219"/>
    </row>
    <row r="60" spans="1:34" s="59" customFormat="1" ht="21" customHeight="1">
      <c r="A60" s="75" t="s">
        <v>85</v>
      </c>
      <c r="B60" s="60"/>
      <c r="C60" s="361"/>
      <c r="D60" s="61"/>
      <c r="E60" s="337"/>
      <c r="F60" s="62"/>
      <c r="G60" s="337"/>
      <c r="H60" s="62"/>
      <c r="I60" s="337"/>
      <c r="J60" s="62"/>
      <c r="K60" s="337"/>
      <c r="L60" s="62"/>
      <c r="M60" s="1161"/>
      <c r="N60" s="62"/>
      <c r="O60" s="337"/>
      <c r="P60" s="62"/>
      <c r="Q60" s="337"/>
      <c r="R60" s="62"/>
      <c r="S60" s="337"/>
      <c r="T60" s="63"/>
      <c r="U60" s="337"/>
      <c r="V60" s="63"/>
      <c r="W60" s="1161"/>
      <c r="X60" s="62"/>
      <c r="Y60" s="337"/>
      <c r="Z60" s="63"/>
      <c r="AA60" s="337"/>
      <c r="AB60" s="337"/>
      <c r="AC60" s="337"/>
      <c r="AD60" s="68"/>
      <c r="AE60" s="461"/>
      <c r="AG60" s="139"/>
      <c r="AH60" s="68"/>
    </row>
    <row r="61" spans="1:35" s="59" customFormat="1" ht="19.5" customHeight="1">
      <c r="A61" s="75" t="s">
        <v>86</v>
      </c>
      <c r="B61" s="1149"/>
      <c r="C61" s="1150"/>
      <c r="D61" s="1149"/>
      <c r="E61" s="1150"/>
      <c r="F61" s="1149"/>
      <c r="G61" s="1150"/>
      <c r="H61" s="1149"/>
      <c r="I61" s="1150"/>
      <c r="J61" s="1149"/>
      <c r="K61" s="1150"/>
      <c r="L61" s="1149"/>
      <c r="M61" s="1166"/>
      <c r="N61" s="1149">
        <v>2</v>
      </c>
      <c r="O61" s="1150">
        <f>39.9+32.5</f>
        <v>72.4</v>
      </c>
      <c r="P61" s="1149"/>
      <c r="Q61" s="1150"/>
      <c r="R61" s="1149"/>
      <c r="S61" s="1150"/>
      <c r="T61" s="1149"/>
      <c r="U61" s="1150"/>
      <c r="V61" s="1151"/>
      <c r="W61" s="1168"/>
      <c r="X61" s="1149"/>
      <c r="Y61" s="1150"/>
      <c r="Z61" s="1149"/>
      <c r="AA61" s="1150"/>
      <c r="AB61" s="1150"/>
      <c r="AC61" s="366"/>
      <c r="AD61" s="430">
        <f aca="true" t="shared" si="8" ref="AD61:AE64">B61+D61+F61+H61+J61+L61+N61+P61+R61+T61+V61+X61+Z61+AB61</f>
        <v>2</v>
      </c>
      <c r="AE61" s="462">
        <f t="shared" si="8"/>
        <v>72.4</v>
      </c>
      <c r="AF61" s="93"/>
      <c r="AG61" s="222"/>
      <c r="AH61" s="157"/>
      <c r="AI61" s="158"/>
    </row>
    <row r="62" spans="1:35" s="59" customFormat="1" ht="19.5" customHeight="1">
      <c r="A62" s="75" t="s">
        <v>87</v>
      </c>
      <c r="B62" s="1149"/>
      <c r="C62" s="1150"/>
      <c r="D62" s="1149"/>
      <c r="E62" s="1150"/>
      <c r="F62" s="1149"/>
      <c r="G62" s="1150"/>
      <c r="H62" s="1149"/>
      <c r="I62" s="1150"/>
      <c r="J62" s="1149"/>
      <c r="K62" s="1150"/>
      <c r="L62" s="1149"/>
      <c r="M62" s="1166"/>
      <c r="N62" s="1149">
        <v>2</v>
      </c>
      <c r="O62" s="1150">
        <v>65.2</v>
      </c>
      <c r="P62" s="1149"/>
      <c r="Q62" s="1150"/>
      <c r="R62" s="1149"/>
      <c r="S62" s="1150"/>
      <c r="T62" s="1149"/>
      <c r="U62" s="1150"/>
      <c r="V62" s="1151"/>
      <c r="W62" s="1168"/>
      <c r="X62" s="1149"/>
      <c r="Y62" s="1150"/>
      <c r="Z62" s="1149"/>
      <c r="AA62" s="1150"/>
      <c r="AB62" s="1150"/>
      <c r="AC62" s="366"/>
      <c r="AD62" s="430">
        <f t="shared" si="8"/>
        <v>2</v>
      </c>
      <c r="AE62" s="462">
        <f t="shared" si="8"/>
        <v>65.2</v>
      </c>
      <c r="AF62" s="93"/>
      <c r="AG62" s="222"/>
      <c r="AH62" s="157"/>
      <c r="AI62" s="158"/>
    </row>
    <row r="63" spans="1:35" s="59" customFormat="1" ht="19.5" customHeight="1">
      <c r="A63" s="75" t="s">
        <v>88</v>
      </c>
      <c r="B63" s="1149"/>
      <c r="C63" s="1150"/>
      <c r="D63" s="1149"/>
      <c r="E63" s="1150"/>
      <c r="F63" s="1149"/>
      <c r="G63" s="1150"/>
      <c r="H63" s="1149"/>
      <c r="I63" s="1150"/>
      <c r="J63" s="1149"/>
      <c r="K63" s="1150"/>
      <c r="L63" s="1149"/>
      <c r="M63" s="1166"/>
      <c r="N63" s="1149">
        <v>2</v>
      </c>
      <c r="O63" s="1150">
        <v>63.6</v>
      </c>
      <c r="P63" s="1149"/>
      <c r="Q63" s="1150"/>
      <c r="R63" s="1149"/>
      <c r="S63" s="1150"/>
      <c r="T63" s="1149"/>
      <c r="U63" s="1150"/>
      <c r="V63" s="1151"/>
      <c r="W63" s="1168"/>
      <c r="X63" s="1149"/>
      <c r="Y63" s="1150"/>
      <c r="Z63" s="1149"/>
      <c r="AA63" s="1150"/>
      <c r="AB63" s="1150"/>
      <c r="AC63" s="366"/>
      <c r="AD63" s="430">
        <f t="shared" si="8"/>
        <v>2</v>
      </c>
      <c r="AE63" s="462">
        <f t="shared" si="8"/>
        <v>63.6</v>
      </c>
      <c r="AF63" s="93"/>
      <c r="AG63" s="222"/>
      <c r="AH63" s="157"/>
      <c r="AI63" s="158"/>
    </row>
    <row r="64" spans="1:33" s="239" customFormat="1" ht="19.5" customHeight="1">
      <c r="A64" s="170" t="s">
        <v>89</v>
      </c>
      <c r="B64" s="1153"/>
      <c r="C64" s="1154"/>
      <c r="D64" s="1153"/>
      <c r="E64" s="1154"/>
      <c r="F64" s="1153"/>
      <c r="G64" s="1154"/>
      <c r="H64" s="1153"/>
      <c r="I64" s="1154"/>
      <c r="J64" s="1153"/>
      <c r="K64" s="1154"/>
      <c r="L64" s="1153"/>
      <c r="M64" s="1167"/>
      <c r="N64" s="1153">
        <v>2</v>
      </c>
      <c r="O64" s="1154">
        <v>68.6</v>
      </c>
      <c r="P64" s="1153"/>
      <c r="Q64" s="1154"/>
      <c r="R64" s="1153"/>
      <c r="S64" s="1154"/>
      <c r="T64" s="1153"/>
      <c r="U64" s="1154"/>
      <c r="V64" s="1155"/>
      <c r="W64" s="1171"/>
      <c r="X64" s="1153"/>
      <c r="Y64" s="1154"/>
      <c r="Z64" s="1153"/>
      <c r="AA64" s="1154"/>
      <c r="AB64" s="1154"/>
      <c r="AC64" s="367"/>
      <c r="AD64" s="567">
        <f t="shared" si="8"/>
        <v>2</v>
      </c>
      <c r="AE64" s="463">
        <f t="shared" si="8"/>
        <v>68.6</v>
      </c>
      <c r="AG64" s="18"/>
    </row>
    <row r="65" spans="1:37" s="76" customFormat="1" ht="21" customHeight="1">
      <c r="A65" s="109" t="s">
        <v>16</v>
      </c>
      <c r="B65" s="1151"/>
      <c r="C65" s="1152"/>
      <c r="D65" s="1151"/>
      <c r="E65" s="1152"/>
      <c r="F65" s="1151"/>
      <c r="G65" s="1152"/>
      <c r="H65" s="1151"/>
      <c r="I65" s="1152"/>
      <c r="J65" s="1151"/>
      <c r="K65" s="1152"/>
      <c r="L65" s="1151"/>
      <c r="M65" s="1168"/>
      <c r="N65" s="1151"/>
      <c r="O65" s="1152"/>
      <c r="P65" s="1151"/>
      <c r="Q65" s="1152"/>
      <c r="R65" s="1151"/>
      <c r="S65" s="1152"/>
      <c r="T65" s="1151"/>
      <c r="U65" s="1152"/>
      <c r="V65" s="1151"/>
      <c r="W65" s="1168"/>
      <c r="X65" s="1151"/>
      <c r="Y65" s="1152"/>
      <c r="Z65" s="1151"/>
      <c r="AA65" s="1152"/>
      <c r="AB65" s="1152"/>
      <c r="AC65" s="379"/>
      <c r="AD65" s="430"/>
      <c r="AE65" s="462"/>
      <c r="AH65" s="182"/>
      <c r="AI65" s="182"/>
      <c r="AJ65" s="182"/>
      <c r="AK65" s="182"/>
    </row>
    <row r="66" spans="1:37" s="76" customFormat="1" ht="21" customHeight="1">
      <c r="A66" s="109" t="s">
        <v>95</v>
      </c>
      <c r="B66" s="1151"/>
      <c r="C66" s="1152"/>
      <c r="D66" s="1151"/>
      <c r="E66" s="1152"/>
      <c r="F66" s="1151"/>
      <c r="G66" s="1152"/>
      <c r="H66" s="1151"/>
      <c r="I66" s="1152"/>
      <c r="J66" s="1151"/>
      <c r="K66" s="1152"/>
      <c r="L66" s="1151"/>
      <c r="M66" s="1168"/>
      <c r="N66" s="1151">
        <v>1</v>
      </c>
      <c r="O66" s="1152">
        <v>21</v>
      </c>
      <c r="P66" s="1151"/>
      <c r="Q66" s="1152"/>
      <c r="R66" s="1151"/>
      <c r="S66" s="1152"/>
      <c r="T66" s="1151"/>
      <c r="U66" s="1152"/>
      <c r="V66" s="1151"/>
      <c r="W66" s="1168"/>
      <c r="X66" s="1151"/>
      <c r="Y66" s="1152"/>
      <c r="Z66" s="1151"/>
      <c r="AA66" s="1152"/>
      <c r="AB66" s="1152"/>
      <c r="AC66" s="379"/>
      <c r="AD66" s="430">
        <f aca="true" t="shared" si="9" ref="AD66:AE68">B66+D66+F66+H66+J66+L66+N66+P66+R66+T66+V66+X66+Z66+AB66</f>
        <v>1</v>
      </c>
      <c r="AE66" s="462">
        <f t="shared" si="9"/>
        <v>21</v>
      </c>
      <c r="AH66" s="182"/>
      <c r="AI66" s="182"/>
      <c r="AJ66" s="182"/>
      <c r="AK66" s="182"/>
    </row>
    <row r="67" spans="1:37" s="76" customFormat="1" ht="21" customHeight="1">
      <c r="A67" s="109" t="s">
        <v>96</v>
      </c>
      <c r="B67" s="1151"/>
      <c r="C67" s="1152"/>
      <c r="D67" s="1151"/>
      <c r="E67" s="1152"/>
      <c r="F67" s="1151"/>
      <c r="G67" s="1152"/>
      <c r="H67" s="1151"/>
      <c r="I67" s="1152"/>
      <c r="J67" s="1151"/>
      <c r="K67" s="1152"/>
      <c r="L67" s="1151"/>
      <c r="M67" s="1168"/>
      <c r="N67" s="1151">
        <v>1</v>
      </c>
      <c r="O67" s="1152">
        <v>21</v>
      </c>
      <c r="P67" s="1151"/>
      <c r="Q67" s="1152"/>
      <c r="R67" s="1151"/>
      <c r="S67" s="1152"/>
      <c r="T67" s="1151"/>
      <c r="U67" s="1152"/>
      <c r="V67" s="1151"/>
      <c r="W67" s="1168"/>
      <c r="X67" s="1151"/>
      <c r="Y67" s="1152"/>
      <c r="Z67" s="1151"/>
      <c r="AA67" s="1152"/>
      <c r="AB67" s="1152"/>
      <c r="AC67" s="379"/>
      <c r="AD67" s="430">
        <f t="shared" si="9"/>
        <v>1</v>
      </c>
      <c r="AE67" s="462">
        <f t="shared" si="9"/>
        <v>21</v>
      </c>
      <c r="AH67" s="182"/>
      <c r="AI67" s="182"/>
      <c r="AJ67" s="182"/>
      <c r="AK67" s="182"/>
    </row>
    <row r="68" spans="1:37" s="76" customFormat="1" ht="21" customHeight="1">
      <c r="A68" s="170" t="s">
        <v>576</v>
      </c>
      <c r="B68" s="1155"/>
      <c r="C68" s="1216"/>
      <c r="D68" s="1155"/>
      <c r="E68" s="1216"/>
      <c r="F68" s="1155"/>
      <c r="G68" s="1216"/>
      <c r="H68" s="1155"/>
      <c r="I68" s="1216"/>
      <c r="J68" s="1155"/>
      <c r="K68" s="1216"/>
      <c r="L68" s="1155"/>
      <c r="M68" s="1171"/>
      <c r="N68" s="1155">
        <v>2</v>
      </c>
      <c r="O68" s="1216">
        <v>42</v>
      </c>
      <c r="P68" s="1155"/>
      <c r="Q68" s="1216"/>
      <c r="R68" s="1155"/>
      <c r="S68" s="1216"/>
      <c r="T68" s="1155"/>
      <c r="U68" s="1216"/>
      <c r="V68" s="1217"/>
      <c r="W68" s="1218"/>
      <c r="X68" s="1155"/>
      <c r="Y68" s="1216"/>
      <c r="Z68" s="1155"/>
      <c r="AA68" s="1216"/>
      <c r="AB68" s="1216"/>
      <c r="AC68" s="566"/>
      <c r="AD68" s="567">
        <f t="shared" si="9"/>
        <v>2</v>
      </c>
      <c r="AE68" s="463">
        <f t="shared" si="9"/>
        <v>42</v>
      </c>
      <c r="AH68" s="182"/>
      <c r="AI68" s="182"/>
      <c r="AJ68" s="182"/>
      <c r="AK68" s="182"/>
    </row>
    <row r="69" spans="1:37" s="76" customFormat="1" ht="21" customHeight="1">
      <c r="A69" s="109" t="s">
        <v>21</v>
      </c>
      <c r="B69" s="1151"/>
      <c r="C69" s="1152"/>
      <c r="D69" s="1151"/>
      <c r="E69" s="1152"/>
      <c r="F69" s="1151"/>
      <c r="G69" s="1152"/>
      <c r="H69" s="1151"/>
      <c r="I69" s="1152"/>
      <c r="J69" s="1151"/>
      <c r="K69" s="1152"/>
      <c r="L69" s="1151"/>
      <c r="M69" s="1168"/>
      <c r="N69" s="1151"/>
      <c r="O69" s="1152"/>
      <c r="P69" s="1151"/>
      <c r="Q69" s="1152"/>
      <c r="R69" s="1151"/>
      <c r="S69" s="1152"/>
      <c r="T69" s="1151"/>
      <c r="U69" s="1152"/>
      <c r="V69" s="1156"/>
      <c r="W69" s="1172"/>
      <c r="X69" s="1151"/>
      <c r="Y69" s="1152"/>
      <c r="Z69" s="1151"/>
      <c r="AA69" s="1152"/>
      <c r="AB69" s="1152"/>
      <c r="AC69" s="379"/>
      <c r="AD69" s="430"/>
      <c r="AE69" s="462"/>
      <c r="AH69" s="182"/>
      <c r="AI69" s="182"/>
      <c r="AJ69" s="182"/>
      <c r="AK69" s="182"/>
    </row>
    <row r="70" spans="1:37" s="76" customFormat="1" ht="21" customHeight="1">
      <c r="A70" s="170" t="s">
        <v>303</v>
      </c>
      <c r="B70" s="1155"/>
      <c r="C70" s="1216"/>
      <c r="D70" s="1155"/>
      <c r="E70" s="1216"/>
      <c r="F70" s="1155"/>
      <c r="G70" s="1216"/>
      <c r="H70" s="1155"/>
      <c r="I70" s="1216"/>
      <c r="J70" s="1155"/>
      <c r="K70" s="1216"/>
      <c r="L70" s="1155"/>
      <c r="M70" s="1171"/>
      <c r="N70" s="1155">
        <v>2</v>
      </c>
      <c r="O70" s="1216">
        <v>42</v>
      </c>
      <c r="P70" s="1155"/>
      <c r="Q70" s="1216"/>
      <c r="R70" s="1155"/>
      <c r="S70" s="1216"/>
      <c r="T70" s="1155"/>
      <c r="U70" s="1216"/>
      <c r="V70" s="1217"/>
      <c r="W70" s="1218"/>
      <c r="X70" s="1155"/>
      <c r="Y70" s="1216"/>
      <c r="Z70" s="1155"/>
      <c r="AA70" s="1216"/>
      <c r="AB70" s="1216"/>
      <c r="AC70" s="566"/>
      <c r="AD70" s="567">
        <f>B70+D70+F70+H70+J70+L70+N70+P70+R70+T70+V70+X70+Z70+AB70</f>
        <v>2</v>
      </c>
      <c r="AE70" s="463">
        <f>C70+E70+G70+I70+K70+M70+O70+Q70+S70+U70+W70+Y70+AA70+AC70</f>
        <v>42</v>
      </c>
      <c r="AH70" s="182"/>
      <c r="AI70" s="182"/>
      <c r="AJ70" s="182"/>
      <c r="AK70" s="182"/>
    </row>
    <row r="71" spans="1:37" s="76" customFormat="1" ht="21" customHeight="1">
      <c r="A71" s="109" t="s">
        <v>612</v>
      </c>
      <c r="B71" s="1151"/>
      <c r="C71" s="1152"/>
      <c r="D71" s="1151"/>
      <c r="E71" s="1152"/>
      <c r="F71" s="1151"/>
      <c r="G71" s="1152"/>
      <c r="H71" s="1151"/>
      <c r="I71" s="1152"/>
      <c r="J71" s="1151"/>
      <c r="K71" s="1152"/>
      <c r="L71" s="1151"/>
      <c r="M71" s="1168"/>
      <c r="N71" s="1151"/>
      <c r="O71" s="1152"/>
      <c r="P71" s="1151"/>
      <c r="Q71" s="1152"/>
      <c r="R71" s="1151"/>
      <c r="S71" s="1152"/>
      <c r="T71" s="1151"/>
      <c r="U71" s="1152"/>
      <c r="V71" s="1156"/>
      <c r="W71" s="1172"/>
      <c r="X71" s="1151"/>
      <c r="Y71" s="1152"/>
      <c r="Z71" s="1151"/>
      <c r="AA71" s="1152"/>
      <c r="AB71" s="1152"/>
      <c r="AC71" s="379"/>
      <c r="AD71" s="430"/>
      <c r="AE71" s="462"/>
      <c r="AH71" s="182"/>
      <c r="AI71" s="182"/>
      <c r="AJ71" s="182"/>
      <c r="AK71" s="182"/>
    </row>
    <row r="72" spans="1:37" s="76" customFormat="1" ht="21" customHeight="1">
      <c r="A72" s="109" t="s">
        <v>613</v>
      </c>
      <c r="B72" s="1151"/>
      <c r="C72" s="1152"/>
      <c r="D72" s="1151"/>
      <c r="E72" s="1152"/>
      <c r="F72" s="1151"/>
      <c r="G72" s="1152"/>
      <c r="H72" s="1151"/>
      <c r="I72" s="1152"/>
      <c r="J72" s="1151"/>
      <c r="K72" s="1152"/>
      <c r="L72" s="1151"/>
      <c r="M72" s="1168"/>
      <c r="N72" s="1151">
        <v>2</v>
      </c>
      <c r="O72" s="1152">
        <v>42</v>
      </c>
      <c r="P72" s="1151"/>
      <c r="Q72" s="1152"/>
      <c r="R72" s="1151"/>
      <c r="S72" s="1152"/>
      <c r="T72" s="1151"/>
      <c r="U72" s="1152"/>
      <c r="V72" s="1156"/>
      <c r="W72" s="1172"/>
      <c r="X72" s="1151"/>
      <c r="Y72" s="1152"/>
      <c r="Z72" s="1151"/>
      <c r="AA72" s="1152"/>
      <c r="AB72" s="1152"/>
      <c r="AC72" s="379"/>
      <c r="AD72" s="430">
        <f aca="true" t="shared" si="10" ref="AD72:AE77">B72+D72+F72+H72+J72+L72+N72+P72+R72+T72+V72+X72+Z72+AB72</f>
        <v>2</v>
      </c>
      <c r="AE72" s="462">
        <f t="shared" si="10"/>
        <v>42</v>
      </c>
      <c r="AH72" s="182"/>
      <c r="AI72" s="182"/>
      <c r="AJ72" s="182"/>
      <c r="AK72" s="182"/>
    </row>
    <row r="73" spans="1:37" s="76" customFormat="1" ht="21" customHeight="1">
      <c r="A73" s="109" t="s">
        <v>365</v>
      </c>
      <c r="B73" s="1151"/>
      <c r="C73" s="1152"/>
      <c r="D73" s="1151"/>
      <c r="E73" s="1152"/>
      <c r="F73" s="1151"/>
      <c r="G73" s="1152"/>
      <c r="H73" s="1151"/>
      <c r="I73" s="1152"/>
      <c r="J73" s="1151"/>
      <c r="K73" s="1152"/>
      <c r="L73" s="1151"/>
      <c r="M73" s="1168"/>
      <c r="N73" s="1151">
        <v>1</v>
      </c>
      <c r="O73" s="1152">
        <v>128.6</v>
      </c>
      <c r="P73" s="1151"/>
      <c r="Q73" s="1152"/>
      <c r="R73" s="1151"/>
      <c r="S73" s="1152"/>
      <c r="T73" s="1151"/>
      <c r="U73" s="1152"/>
      <c r="V73" s="1156"/>
      <c r="W73" s="1172"/>
      <c r="X73" s="1151"/>
      <c r="Y73" s="1152"/>
      <c r="Z73" s="1151"/>
      <c r="AA73" s="1152"/>
      <c r="AB73" s="1152"/>
      <c r="AC73" s="379"/>
      <c r="AD73" s="430">
        <f t="shared" si="10"/>
        <v>1</v>
      </c>
      <c r="AE73" s="462">
        <f t="shared" si="10"/>
        <v>128.6</v>
      </c>
      <c r="AH73" s="182"/>
      <c r="AI73" s="182"/>
      <c r="AJ73" s="182"/>
      <c r="AK73" s="182"/>
    </row>
    <row r="74" spans="1:37" s="76" customFormat="1" ht="21" customHeight="1">
      <c r="A74" s="109" t="s">
        <v>190</v>
      </c>
      <c r="B74" s="1151"/>
      <c r="C74" s="1152"/>
      <c r="D74" s="1151"/>
      <c r="E74" s="1152"/>
      <c r="F74" s="1151"/>
      <c r="G74" s="1152"/>
      <c r="H74" s="1151"/>
      <c r="I74" s="1152"/>
      <c r="J74" s="1151"/>
      <c r="K74" s="1152"/>
      <c r="L74" s="1151"/>
      <c r="M74" s="1168"/>
      <c r="N74" s="1151">
        <v>1</v>
      </c>
      <c r="O74" s="1152">
        <v>21</v>
      </c>
      <c r="P74" s="1151"/>
      <c r="Q74" s="1152"/>
      <c r="R74" s="1151"/>
      <c r="S74" s="1152"/>
      <c r="T74" s="1151"/>
      <c r="U74" s="1152"/>
      <c r="V74" s="1156"/>
      <c r="W74" s="1172"/>
      <c r="X74" s="1151"/>
      <c r="Y74" s="1152"/>
      <c r="Z74" s="1151"/>
      <c r="AA74" s="1152"/>
      <c r="AB74" s="1152"/>
      <c r="AC74" s="379"/>
      <c r="AD74" s="430">
        <f t="shared" si="10"/>
        <v>1</v>
      </c>
      <c r="AE74" s="462">
        <f t="shared" si="10"/>
        <v>21</v>
      </c>
      <c r="AH74" s="182"/>
      <c r="AI74" s="182"/>
      <c r="AJ74" s="182"/>
      <c r="AK74" s="182"/>
    </row>
    <row r="75" spans="1:37" s="76" customFormat="1" ht="21" customHeight="1">
      <c r="A75" s="109" t="s">
        <v>614</v>
      </c>
      <c r="B75" s="1151"/>
      <c r="C75" s="1152"/>
      <c r="D75" s="1151"/>
      <c r="E75" s="1152"/>
      <c r="F75" s="1151"/>
      <c r="G75" s="1152"/>
      <c r="H75" s="1151"/>
      <c r="I75" s="1152"/>
      <c r="J75" s="1151"/>
      <c r="K75" s="1152"/>
      <c r="L75" s="1151"/>
      <c r="M75" s="1168"/>
      <c r="N75" s="1151">
        <v>1</v>
      </c>
      <c r="O75" s="1152">
        <v>21</v>
      </c>
      <c r="P75" s="1151"/>
      <c r="Q75" s="1152"/>
      <c r="R75" s="1151"/>
      <c r="S75" s="1152"/>
      <c r="T75" s="1151"/>
      <c r="U75" s="1152"/>
      <c r="V75" s="1156"/>
      <c r="W75" s="1172"/>
      <c r="X75" s="1151"/>
      <c r="Y75" s="1152"/>
      <c r="Z75" s="1151"/>
      <c r="AA75" s="1152"/>
      <c r="AB75" s="1152"/>
      <c r="AC75" s="379"/>
      <c r="AD75" s="430">
        <f t="shared" si="10"/>
        <v>1</v>
      </c>
      <c r="AE75" s="462">
        <f t="shared" si="10"/>
        <v>21</v>
      </c>
      <c r="AH75" s="182"/>
      <c r="AI75" s="182"/>
      <c r="AJ75" s="182"/>
      <c r="AK75" s="182"/>
    </row>
    <row r="76" spans="1:37" s="76" customFormat="1" ht="21" customHeight="1">
      <c r="A76" s="109" t="s">
        <v>615</v>
      </c>
      <c r="B76" s="1151"/>
      <c r="C76" s="1152"/>
      <c r="D76" s="1151"/>
      <c r="E76" s="1152"/>
      <c r="F76" s="1151"/>
      <c r="G76" s="1152"/>
      <c r="H76" s="1151"/>
      <c r="I76" s="1152"/>
      <c r="J76" s="1151"/>
      <c r="K76" s="1152"/>
      <c r="L76" s="1151"/>
      <c r="M76" s="1168"/>
      <c r="N76" s="1151">
        <v>2</v>
      </c>
      <c r="O76" s="1152">
        <f>242.3*2</f>
        <v>484.6</v>
      </c>
      <c r="P76" s="1151"/>
      <c r="Q76" s="1152"/>
      <c r="R76" s="1151"/>
      <c r="S76" s="1152"/>
      <c r="T76" s="1151"/>
      <c r="U76" s="1152"/>
      <c r="V76" s="1156"/>
      <c r="W76" s="1172"/>
      <c r="X76" s="1151"/>
      <c r="Y76" s="1152"/>
      <c r="Z76" s="1151"/>
      <c r="AA76" s="1152"/>
      <c r="AB76" s="1152"/>
      <c r="AC76" s="379"/>
      <c r="AD76" s="567">
        <f t="shared" si="10"/>
        <v>2</v>
      </c>
      <c r="AE76" s="463">
        <f t="shared" si="10"/>
        <v>484.6</v>
      </c>
      <c r="AH76" s="182"/>
      <c r="AI76" s="182"/>
      <c r="AJ76" s="182"/>
      <c r="AK76" s="182"/>
    </row>
    <row r="77" spans="1:37" s="59" customFormat="1" ht="22.5" customHeight="1" thickBot="1">
      <c r="A77" s="152" t="s">
        <v>616</v>
      </c>
      <c r="B77" s="221"/>
      <c r="C77" s="365"/>
      <c r="D77" s="221"/>
      <c r="E77" s="365"/>
      <c r="F77" s="221"/>
      <c r="G77" s="365"/>
      <c r="H77" s="221"/>
      <c r="I77" s="365"/>
      <c r="J77" s="221"/>
      <c r="K77" s="365"/>
      <c r="L77" s="221"/>
      <c r="M77" s="1169"/>
      <c r="N77" s="221">
        <v>2</v>
      </c>
      <c r="O77" s="365">
        <v>42</v>
      </c>
      <c r="P77" s="221"/>
      <c r="Q77" s="365"/>
      <c r="R77" s="221"/>
      <c r="S77" s="365"/>
      <c r="T77" s="221"/>
      <c r="U77" s="365"/>
      <c r="V77" s="221"/>
      <c r="W77" s="1169"/>
      <c r="X77" s="221"/>
      <c r="Y77" s="365"/>
      <c r="Z77" s="221"/>
      <c r="AA77" s="365"/>
      <c r="AB77" s="365"/>
      <c r="AC77" s="365"/>
      <c r="AD77" s="567">
        <f t="shared" si="10"/>
        <v>2</v>
      </c>
      <c r="AE77" s="463">
        <f t="shared" si="10"/>
        <v>42</v>
      </c>
      <c r="AF77" s="68"/>
      <c r="AG77" s="72"/>
      <c r="AH77"/>
      <c r="AI77"/>
      <c r="AJ77"/>
      <c r="AK77"/>
    </row>
    <row r="78" spans="1:34" s="166" customFormat="1" ht="23.25" customHeight="1" thickBot="1">
      <c r="A78" s="220" t="s">
        <v>65</v>
      </c>
      <c r="B78" s="242">
        <f aca="true" t="shared" si="11" ref="B78:AA78">SUM(B60:B77)</f>
        <v>0</v>
      </c>
      <c r="C78" s="242">
        <f t="shared" si="11"/>
        <v>0</v>
      </c>
      <c r="D78" s="242">
        <f t="shared" si="11"/>
        <v>0</v>
      </c>
      <c r="E78" s="242">
        <f t="shared" si="11"/>
        <v>0</v>
      </c>
      <c r="F78" s="242">
        <f t="shared" si="11"/>
        <v>0</v>
      </c>
      <c r="G78" s="242">
        <f t="shared" si="11"/>
        <v>0</v>
      </c>
      <c r="H78" s="242">
        <f t="shared" si="11"/>
        <v>0</v>
      </c>
      <c r="I78" s="242">
        <f t="shared" si="11"/>
        <v>0</v>
      </c>
      <c r="J78" s="242">
        <f t="shared" si="11"/>
        <v>0</v>
      </c>
      <c r="K78" s="242">
        <f t="shared" si="11"/>
        <v>0</v>
      </c>
      <c r="L78" s="242">
        <f t="shared" si="11"/>
        <v>0</v>
      </c>
      <c r="M78" s="1170">
        <f t="shared" si="11"/>
        <v>0</v>
      </c>
      <c r="N78" s="242">
        <f t="shared" si="11"/>
        <v>23</v>
      </c>
      <c r="O78" s="242">
        <f t="shared" si="11"/>
        <v>1135</v>
      </c>
      <c r="P78" s="242">
        <f t="shared" si="11"/>
        <v>0</v>
      </c>
      <c r="Q78" s="242">
        <f t="shared" si="11"/>
        <v>0</v>
      </c>
      <c r="R78" s="242">
        <f t="shared" si="11"/>
        <v>0</v>
      </c>
      <c r="S78" s="242">
        <f t="shared" si="11"/>
        <v>0</v>
      </c>
      <c r="T78" s="242">
        <f t="shared" si="11"/>
        <v>0</v>
      </c>
      <c r="U78" s="242">
        <f t="shared" si="11"/>
        <v>0</v>
      </c>
      <c r="V78" s="242">
        <f t="shared" si="11"/>
        <v>0</v>
      </c>
      <c r="W78" s="1170">
        <f t="shared" si="11"/>
        <v>0</v>
      </c>
      <c r="X78" s="242">
        <f t="shared" si="11"/>
        <v>0</v>
      </c>
      <c r="Y78" s="242">
        <f t="shared" si="11"/>
        <v>0</v>
      </c>
      <c r="Z78" s="242">
        <f t="shared" si="11"/>
        <v>0</v>
      </c>
      <c r="AA78" s="242">
        <f t="shared" si="11"/>
        <v>0</v>
      </c>
      <c r="AB78" s="368"/>
      <c r="AC78" s="368"/>
      <c r="AD78" s="242">
        <f>SUM(AD61:AD77)</f>
        <v>23</v>
      </c>
      <c r="AE78" s="1170">
        <f>SUM(AE61:AE77)</f>
        <v>1135</v>
      </c>
      <c r="AF78" s="42"/>
      <c r="AG78" s="42"/>
      <c r="AH78" s="42"/>
    </row>
    <row r="79" spans="1:37" s="59" customFormat="1" ht="23.25" customHeight="1">
      <c r="A79" s="88"/>
      <c r="B79" s="109"/>
      <c r="C79" s="713"/>
      <c r="D79" s="109"/>
      <c r="E79" s="713"/>
      <c r="F79" s="109"/>
      <c r="G79" s="713"/>
      <c r="H79" s="109"/>
      <c r="I79" s="713"/>
      <c r="J79" s="109"/>
      <c r="K79" s="713"/>
      <c r="L79" s="109"/>
      <c r="M79" s="1164"/>
      <c r="N79" s="109"/>
      <c r="O79" s="713"/>
      <c r="P79" s="109"/>
      <c r="Q79" s="713"/>
      <c r="R79" s="109"/>
      <c r="S79" s="713"/>
      <c r="T79" s="109"/>
      <c r="U79" s="713"/>
      <c r="V79" s="109"/>
      <c r="W79" s="1164"/>
      <c r="X79" s="109"/>
      <c r="Y79" s="713"/>
      <c r="Z79" s="109"/>
      <c r="AA79" s="713"/>
      <c r="AB79" s="713"/>
      <c r="AC79" s="713"/>
      <c r="AD79" s="109"/>
      <c r="AE79" s="462"/>
      <c r="AF79" s="68"/>
      <c r="AG79" s="72"/>
      <c r="AH79"/>
      <c r="AI79"/>
      <c r="AJ79"/>
      <c r="AK79"/>
    </row>
    <row r="80" spans="1:37" s="59" customFormat="1" ht="23.25" customHeight="1">
      <c r="A80" s="88"/>
      <c r="B80" s="109"/>
      <c r="C80" s="713"/>
      <c r="D80" s="109"/>
      <c r="E80" s="713"/>
      <c r="F80" s="109"/>
      <c r="G80" s="713"/>
      <c r="H80" s="109"/>
      <c r="I80" s="713"/>
      <c r="J80" s="109"/>
      <c r="K80" s="713"/>
      <c r="L80" s="109"/>
      <c r="M80" s="1164"/>
      <c r="N80" s="109"/>
      <c r="O80" s="713"/>
      <c r="P80" s="109"/>
      <c r="Q80" s="713"/>
      <c r="R80" s="109"/>
      <c r="S80" s="713"/>
      <c r="T80" s="109"/>
      <c r="U80" s="713"/>
      <c r="V80" s="109"/>
      <c r="W80" s="1164"/>
      <c r="X80" s="109"/>
      <c r="Y80" s="713"/>
      <c r="Z80" s="109"/>
      <c r="AA80" s="713"/>
      <c r="AB80" s="713"/>
      <c r="AC80" s="713"/>
      <c r="AD80" s="109"/>
      <c r="AE80" s="462"/>
      <c r="AF80" s="68"/>
      <c r="AG80" s="72"/>
      <c r="AH80"/>
      <c r="AI80"/>
      <c r="AJ80"/>
      <c r="AK80"/>
    </row>
    <row r="84" spans="1:34" s="166" customFormat="1" ht="12.75" customHeight="1">
      <c r="A84" s="88"/>
      <c r="B84" s="241"/>
      <c r="C84" s="369"/>
      <c r="D84" s="241"/>
      <c r="E84" s="369"/>
      <c r="F84" s="241"/>
      <c r="G84" s="369"/>
      <c r="H84" s="241"/>
      <c r="I84" s="369"/>
      <c r="J84" s="241"/>
      <c r="K84" s="369"/>
      <c r="L84" s="241"/>
      <c r="M84" s="462"/>
      <c r="N84" s="241"/>
      <c r="O84" s="369"/>
      <c r="P84" s="241"/>
      <c r="Q84" s="369"/>
      <c r="R84" s="241"/>
      <c r="S84" s="369"/>
      <c r="T84" s="241"/>
      <c r="U84" s="369"/>
      <c r="V84" s="241"/>
      <c r="W84" s="462"/>
      <c r="X84" s="241"/>
      <c r="Y84" s="369"/>
      <c r="Z84" s="241"/>
      <c r="AA84" s="369"/>
      <c r="AB84" s="369"/>
      <c r="AC84" s="369"/>
      <c r="AD84" s="241"/>
      <c r="AE84" s="462"/>
      <c r="AF84" s="42"/>
      <c r="AG84" s="42"/>
      <c r="AH84" s="42"/>
    </row>
    <row r="85" spans="2:31" ht="25.5" customHeight="1">
      <c r="B85" s="86"/>
      <c r="C85" s="370"/>
      <c r="E85" s="313"/>
      <c r="G85" s="313"/>
      <c r="I85" s="313"/>
      <c r="K85" s="313"/>
      <c r="M85" s="1159"/>
      <c r="O85" s="313"/>
      <c r="Q85" s="313"/>
      <c r="S85" s="313"/>
      <c r="U85" s="313"/>
      <c r="W85" s="1159"/>
      <c r="Y85" s="313"/>
      <c r="AA85" s="313"/>
      <c r="AB85" s="313"/>
      <c r="AC85" s="313"/>
      <c r="AD85" s="226"/>
      <c r="AE85" s="1179"/>
    </row>
    <row r="86" spans="2:31" ht="25.5" customHeight="1">
      <c r="B86" s="86"/>
      <c r="C86" s="370"/>
      <c r="E86" s="313"/>
      <c r="G86" s="313"/>
      <c r="I86" s="313"/>
      <c r="K86" s="313"/>
      <c r="M86" s="1159"/>
      <c r="O86" s="313"/>
      <c r="Q86" s="313"/>
      <c r="S86" s="313"/>
      <c r="U86" s="313"/>
      <c r="W86" s="1159"/>
      <c r="Y86" s="313"/>
      <c r="AA86" s="313"/>
      <c r="AB86" s="313"/>
      <c r="AC86" s="313"/>
      <c r="AE86" s="1179"/>
    </row>
    <row r="87" spans="2:31" ht="25.5" customHeight="1">
      <c r="B87" s="86"/>
      <c r="C87" s="370"/>
      <c r="E87" s="313"/>
      <c r="G87" s="313"/>
      <c r="I87" s="313"/>
      <c r="K87" s="313"/>
      <c r="M87" s="1159"/>
      <c r="O87" s="313"/>
      <c r="Q87" s="313"/>
      <c r="S87" s="313"/>
      <c r="U87" s="313"/>
      <c r="W87" s="1159"/>
      <c r="Y87" s="313"/>
      <c r="AA87" s="313"/>
      <c r="AB87" s="313"/>
      <c r="AC87" s="313"/>
      <c r="AE87" s="1179"/>
    </row>
    <row r="88" spans="2:31" ht="25.5" customHeight="1">
      <c r="B88" s="86"/>
      <c r="C88" s="370"/>
      <c r="E88" s="313"/>
      <c r="G88" s="313"/>
      <c r="I88" s="313"/>
      <c r="K88" s="313"/>
      <c r="M88" s="1159"/>
      <c r="O88" s="313"/>
      <c r="Q88" s="313"/>
      <c r="S88" s="313"/>
      <c r="U88" s="313"/>
      <c r="W88" s="1159"/>
      <c r="Y88" s="313"/>
      <c r="AA88" s="313"/>
      <c r="AB88" s="313"/>
      <c r="AC88" s="313"/>
      <c r="AE88" s="1179"/>
    </row>
    <row r="89" spans="2:31" ht="20.25" customHeight="1">
      <c r="B89" s="86"/>
      <c r="C89" s="370"/>
      <c r="E89" s="313"/>
      <c r="G89" s="313"/>
      <c r="I89" s="313"/>
      <c r="K89" s="313"/>
      <c r="M89" s="1159"/>
      <c r="O89" s="313"/>
      <c r="Q89" s="313"/>
      <c r="S89" s="313"/>
      <c r="U89" s="313"/>
      <c r="W89" s="1159"/>
      <c r="Y89" s="313"/>
      <c r="AA89" s="313"/>
      <c r="AB89" s="313"/>
      <c r="AC89" s="313"/>
      <c r="AE89" s="1179"/>
    </row>
    <row r="90" spans="2:31" ht="20.25" customHeight="1">
      <c r="B90" s="86"/>
      <c r="C90" s="370"/>
      <c r="E90" s="313"/>
      <c r="G90" s="313"/>
      <c r="I90" s="313"/>
      <c r="K90" s="313"/>
      <c r="M90" s="1159"/>
      <c r="O90" s="313"/>
      <c r="Q90" s="313"/>
      <c r="S90" s="313"/>
      <c r="U90" s="313"/>
      <c r="W90" s="1159"/>
      <c r="Y90" s="313"/>
      <c r="AA90" s="313"/>
      <c r="AB90" s="313"/>
      <c r="AC90" s="313"/>
      <c r="AE90" s="1179"/>
    </row>
    <row r="91" spans="2:31" ht="20.25" customHeight="1">
      <c r="B91" s="86"/>
      <c r="C91" s="370"/>
      <c r="E91" s="313"/>
      <c r="G91" s="313"/>
      <c r="I91" s="313"/>
      <c r="K91" s="313"/>
      <c r="M91" s="1159"/>
      <c r="O91" s="313"/>
      <c r="Q91" s="313"/>
      <c r="S91" s="313"/>
      <c r="U91" s="313"/>
      <c r="W91" s="1159"/>
      <c r="Y91" s="313"/>
      <c r="AA91" s="313"/>
      <c r="AB91" s="313"/>
      <c r="AC91" s="313"/>
      <c r="AE91" s="1179"/>
    </row>
    <row r="92" spans="2:31" ht="20.25" customHeight="1">
      <c r="B92" s="86"/>
      <c r="C92" s="370"/>
      <c r="E92" s="313"/>
      <c r="G92" s="313"/>
      <c r="I92" s="313"/>
      <c r="K92" s="313"/>
      <c r="M92" s="1159"/>
      <c r="O92" s="313"/>
      <c r="Q92" s="313"/>
      <c r="S92" s="313"/>
      <c r="U92" s="313"/>
      <c r="W92" s="1159"/>
      <c r="Y92" s="313"/>
      <c r="AA92" s="313"/>
      <c r="AB92" s="313"/>
      <c r="AC92" s="313"/>
      <c r="AE92" s="1179"/>
    </row>
    <row r="93" spans="2:31" ht="24" customHeight="1">
      <c r="B93" s="86"/>
      <c r="C93" s="370"/>
      <c r="E93" s="313"/>
      <c r="G93" s="313"/>
      <c r="I93" s="313"/>
      <c r="K93" s="313"/>
      <c r="M93" s="1159"/>
      <c r="O93" s="313"/>
      <c r="Q93" s="313"/>
      <c r="S93" s="313"/>
      <c r="U93" s="313"/>
      <c r="W93" s="1159"/>
      <c r="Y93" s="313"/>
      <c r="AA93" s="313"/>
      <c r="AB93" s="313"/>
      <c r="AC93" s="313"/>
      <c r="AE93" s="1179"/>
    </row>
    <row r="94" spans="2:31" ht="15">
      <c r="B94" s="86"/>
      <c r="C94" s="370"/>
      <c r="E94" s="313"/>
      <c r="G94" s="313"/>
      <c r="I94" s="313"/>
      <c r="K94" s="313"/>
      <c r="M94" s="1159"/>
      <c r="O94" s="313"/>
      <c r="Q94" s="313"/>
      <c r="S94" s="313"/>
      <c r="U94" s="313"/>
      <c r="W94" s="1159"/>
      <c r="Y94" s="313"/>
      <c r="AA94" s="313"/>
      <c r="AB94" s="313"/>
      <c r="AC94" s="313"/>
      <c r="AE94" s="1179"/>
    </row>
    <row r="95" spans="2:31" ht="15">
      <c r="B95" s="86"/>
      <c r="C95" s="370"/>
      <c r="E95" s="313"/>
      <c r="G95" s="313"/>
      <c r="I95" s="313"/>
      <c r="K95" s="313"/>
      <c r="M95" s="1159"/>
      <c r="O95" s="313"/>
      <c r="Q95" s="313"/>
      <c r="S95" s="313"/>
      <c r="U95" s="313"/>
      <c r="W95" s="1159"/>
      <c r="Y95" s="313"/>
      <c r="AA95" s="313"/>
      <c r="AB95" s="313"/>
      <c r="AC95" s="313"/>
      <c r="AE95" s="1179"/>
    </row>
    <row r="96" spans="2:31" ht="69" customHeight="1">
      <c r="B96" s="86"/>
      <c r="C96" s="370"/>
      <c r="E96" s="313"/>
      <c r="G96" s="313"/>
      <c r="I96" s="313"/>
      <c r="K96" s="313"/>
      <c r="M96" s="1159"/>
      <c r="O96" s="313"/>
      <c r="Q96" s="313"/>
      <c r="S96" s="313"/>
      <c r="U96" s="313"/>
      <c r="W96" s="1159"/>
      <c r="Y96" s="313"/>
      <c r="AA96" s="313"/>
      <c r="AB96" s="313"/>
      <c r="AC96" s="313"/>
      <c r="AE96" s="1179"/>
    </row>
    <row r="97" spans="2:31" ht="21.75" customHeight="1">
      <c r="B97" s="86"/>
      <c r="C97" s="370"/>
      <c r="E97" s="313"/>
      <c r="G97" s="313"/>
      <c r="I97" s="313"/>
      <c r="K97" s="313"/>
      <c r="M97" s="1159"/>
      <c r="O97" s="313"/>
      <c r="Q97" s="313"/>
      <c r="S97" s="313"/>
      <c r="U97" s="313"/>
      <c r="W97" s="1159"/>
      <c r="Y97" s="313"/>
      <c r="AA97" s="313"/>
      <c r="AB97" s="313"/>
      <c r="AC97" s="313"/>
      <c r="AE97" s="1179"/>
    </row>
    <row r="98" spans="2:31" ht="27" customHeight="1">
      <c r="B98" s="86"/>
      <c r="C98" s="370"/>
      <c r="E98" s="313"/>
      <c r="G98" s="313"/>
      <c r="I98" s="313"/>
      <c r="K98" s="313"/>
      <c r="M98" s="1159"/>
      <c r="O98" s="313"/>
      <c r="Q98" s="313"/>
      <c r="S98" s="313"/>
      <c r="U98" s="313"/>
      <c r="W98" s="1159"/>
      <c r="Y98" s="313"/>
      <c r="AA98" s="313"/>
      <c r="AB98" s="313"/>
      <c r="AC98" s="313"/>
      <c r="AE98" s="1179"/>
    </row>
    <row r="99" spans="2:31" ht="21" customHeight="1">
      <c r="B99" s="86"/>
      <c r="C99" s="370"/>
      <c r="E99" s="313"/>
      <c r="G99" s="313"/>
      <c r="I99" s="313"/>
      <c r="K99" s="313"/>
      <c r="M99" s="1159"/>
      <c r="O99" s="313"/>
      <c r="Q99" s="313"/>
      <c r="S99" s="313"/>
      <c r="U99" s="313"/>
      <c r="W99" s="1159"/>
      <c r="Y99" s="313"/>
      <c r="AA99" s="313"/>
      <c r="AB99" s="313"/>
      <c r="AC99" s="313"/>
      <c r="AE99" s="1179"/>
    </row>
    <row r="100" spans="2:31" ht="20.25" customHeight="1">
      <c r="B100" s="86"/>
      <c r="C100" s="370"/>
      <c r="E100" s="313"/>
      <c r="G100" s="313"/>
      <c r="I100" s="313"/>
      <c r="K100" s="313"/>
      <c r="M100" s="1159"/>
      <c r="O100" s="313"/>
      <c r="Q100" s="313"/>
      <c r="S100" s="313"/>
      <c r="U100" s="313"/>
      <c r="W100" s="1159"/>
      <c r="Y100" s="313"/>
      <c r="AA100" s="313"/>
      <c r="AB100" s="313"/>
      <c r="AC100" s="313"/>
      <c r="AE100" s="1179"/>
    </row>
    <row r="101" spans="2:31" ht="20.25" customHeight="1">
      <c r="B101" s="86"/>
      <c r="C101" s="370"/>
      <c r="E101" s="313"/>
      <c r="G101" s="313"/>
      <c r="I101" s="313"/>
      <c r="K101" s="313"/>
      <c r="M101" s="1159"/>
      <c r="O101" s="313"/>
      <c r="Q101" s="313"/>
      <c r="S101" s="313"/>
      <c r="U101" s="313"/>
      <c r="W101" s="1159"/>
      <c r="Y101" s="313"/>
      <c r="AA101" s="313"/>
      <c r="AB101" s="313"/>
      <c r="AC101" s="313"/>
      <c r="AE101" s="1179"/>
    </row>
    <row r="102" spans="2:31" ht="20.25" customHeight="1">
      <c r="B102" s="86"/>
      <c r="C102" s="370"/>
      <c r="E102" s="313"/>
      <c r="G102" s="313"/>
      <c r="I102" s="313"/>
      <c r="K102" s="313"/>
      <c r="M102" s="1159"/>
      <c r="O102" s="313"/>
      <c r="Q102" s="313"/>
      <c r="S102" s="313"/>
      <c r="U102" s="313"/>
      <c r="W102" s="1159"/>
      <c r="Y102" s="313"/>
      <c r="AA102" s="313"/>
      <c r="AB102" s="313"/>
      <c r="AC102" s="313"/>
      <c r="AE102" s="1179"/>
    </row>
    <row r="103" spans="2:31" ht="20.25" customHeight="1">
      <c r="B103" s="86"/>
      <c r="C103" s="370"/>
      <c r="E103" s="313"/>
      <c r="G103" s="313"/>
      <c r="I103" s="313"/>
      <c r="K103" s="313"/>
      <c r="M103" s="1159"/>
      <c r="O103" s="313"/>
      <c r="Q103" s="313"/>
      <c r="S103" s="313"/>
      <c r="U103" s="313"/>
      <c r="W103" s="1159"/>
      <c r="Y103" s="313"/>
      <c r="AA103" s="313"/>
      <c r="AB103" s="313"/>
      <c r="AC103" s="313"/>
      <c r="AE103" s="1179"/>
    </row>
    <row r="104" spans="2:31" ht="21.75" customHeight="1">
      <c r="B104" s="86"/>
      <c r="C104" s="370"/>
      <c r="E104" s="313"/>
      <c r="G104" s="313"/>
      <c r="I104" s="313"/>
      <c r="K104" s="313"/>
      <c r="M104" s="1159"/>
      <c r="O104" s="313"/>
      <c r="Q104" s="313"/>
      <c r="S104" s="313"/>
      <c r="U104" s="313"/>
      <c r="W104" s="1159"/>
      <c r="Y104" s="313"/>
      <c r="AA104" s="313"/>
      <c r="AB104" s="313"/>
      <c r="AC104" s="313"/>
      <c r="AE104" s="1179"/>
    </row>
    <row r="105" spans="2:31" ht="20.25" customHeight="1">
      <c r="B105" s="86"/>
      <c r="C105" s="370"/>
      <c r="E105" s="313"/>
      <c r="G105" s="313"/>
      <c r="I105" s="313"/>
      <c r="K105" s="313"/>
      <c r="M105" s="1159"/>
      <c r="O105" s="313"/>
      <c r="Q105" s="313"/>
      <c r="S105" s="313"/>
      <c r="U105" s="313"/>
      <c r="W105" s="1159"/>
      <c r="Y105" s="313"/>
      <c r="AA105" s="313"/>
      <c r="AB105" s="313"/>
      <c r="AC105" s="313"/>
      <c r="AE105" s="1179"/>
    </row>
    <row r="106" spans="2:31" ht="24" customHeight="1">
      <c r="B106" s="86"/>
      <c r="C106" s="370"/>
      <c r="E106" s="313"/>
      <c r="G106" s="313"/>
      <c r="I106" s="313"/>
      <c r="K106" s="313"/>
      <c r="M106" s="1159"/>
      <c r="O106" s="313"/>
      <c r="Q106" s="313"/>
      <c r="S106" s="313"/>
      <c r="U106" s="313"/>
      <c r="W106" s="1159"/>
      <c r="Y106" s="313"/>
      <c r="AA106" s="313"/>
      <c r="AB106" s="313"/>
      <c r="AC106" s="313"/>
      <c r="AE106" s="1179"/>
    </row>
    <row r="107" spans="2:31" ht="15">
      <c r="B107" s="86"/>
      <c r="C107" s="370"/>
      <c r="E107" s="313"/>
      <c r="G107" s="313"/>
      <c r="I107" s="313"/>
      <c r="K107" s="313"/>
      <c r="M107" s="1159"/>
      <c r="O107" s="313"/>
      <c r="Q107" s="313"/>
      <c r="S107" s="313"/>
      <c r="U107" s="313"/>
      <c r="W107" s="1159"/>
      <c r="Y107" s="313"/>
      <c r="AA107" s="313"/>
      <c r="AB107" s="313"/>
      <c r="AC107" s="313"/>
      <c r="AE107" s="1179"/>
    </row>
    <row r="108" spans="32:35" ht="21.75">
      <c r="AF108" s="151" t="e">
        <f>SUM(#REF!,#REF!)</f>
        <v>#REF!</v>
      </c>
      <c r="AG108" s="151" t="e">
        <f>SUM(#REF!,#REF!,AG93,AG106)</f>
        <v>#REF!</v>
      </c>
      <c r="AI108" s="138">
        <f>78832*110%</f>
        <v>86715.20000000001</v>
      </c>
    </row>
    <row r="929" ht="21.75">
      <c r="U929" s="374" t="s">
        <v>319</v>
      </c>
    </row>
    <row r="954" ht="21.75">
      <c r="U954" s="374" t="s">
        <v>320</v>
      </c>
    </row>
    <row r="989" ht="21.75">
      <c r="U989" s="989" t="s">
        <v>321</v>
      </c>
    </row>
    <row r="1050" ht="21.75">
      <c r="U1050" s="374" t="s">
        <v>322</v>
      </c>
    </row>
    <row r="1051" ht="21.75">
      <c r="U1051" s="374" t="s">
        <v>323</v>
      </c>
    </row>
  </sheetData>
  <sheetProtection/>
  <mergeCells count="75">
    <mergeCell ref="Z30:AA30"/>
    <mergeCell ref="AB30:AC30"/>
    <mergeCell ref="AD30:AE30"/>
    <mergeCell ref="H30:I30"/>
    <mergeCell ref="J30:K30"/>
    <mergeCell ref="L30:M30"/>
    <mergeCell ref="N30:O30"/>
    <mergeCell ref="R30:S30"/>
    <mergeCell ref="N46:O46"/>
    <mergeCell ref="R46:S46"/>
    <mergeCell ref="T46:U46"/>
    <mergeCell ref="V46:W46"/>
    <mergeCell ref="V30:W30"/>
    <mergeCell ref="X30:Y30"/>
    <mergeCell ref="R15:S15"/>
    <mergeCell ref="T15:U15"/>
    <mergeCell ref="T30:U30"/>
    <mergeCell ref="V15:W15"/>
    <mergeCell ref="R3:S3"/>
    <mergeCell ref="L3:M3"/>
    <mergeCell ref="AD3:AE3"/>
    <mergeCell ref="T3:U3"/>
    <mergeCell ref="V3:W3"/>
    <mergeCell ref="Z3:AA3"/>
    <mergeCell ref="B46:C46"/>
    <mergeCell ref="F46:G46"/>
    <mergeCell ref="X15:Y15"/>
    <mergeCell ref="Z15:AA15"/>
    <mergeCell ref="J3:K3"/>
    <mergeCell ref="L46:M46"/>
    <mergeCell ref="A3:A4"/>
    <mergeCell ref="D3:E3"/>
    <mergeCell ref="F3:G3"/>
    <mergeCell ref="B3:C3"/>
    <mergeCell ref="A46:A47"/>
    <mergeCell ref="A30:A31"/>
    <mergeCell ref="B30:C30"/>
    <mergeCell ref="D30:E30"/>
    <mergeCell ref="F30:G30"/>
    <mergeCell ref="D46:E46"/>
    <mergeCell ref="A15:A16"/>
    <mergeCell ref="B15:C15"/>
    <mergeCell ref="AD46:AE46"/>
    <mergeCell ref="X46:Y46"/>
    <mergeCell ref="Z46:AA46"/>
    <mergeCell ref="D15:E15"/>
    <mergeCell ref="F15:G15"/>
    <mergeCell ref="AD15:AE15"/>
    <mergeCell ref="J46:K46"/>
    <mergeCell ref="L15:M15"/>
    <mergeCell ref="AB3:AC3"/>
    <mergeCell ref="AB15:AC15"/>
    <mergeCell ref="AB46:AC46"/>
    <mergeCell ref="H15:I15"/>
    <mergeCell ref="J15:K15"/>
    <mergeCell ref="H46:I46"/>
    <mergeCell ref="X3:Y3"/>
    <mergeCell ref="H3:I3"/>
    <mergeCell ref="N3:O3"/>
    <mergeCell ref="N15:O15"/>
    <mergeCell ref="A58:A59"/>
    <mergeCell ref="B58:C58"/>
    <mergeCell ref="D58:E58"/>
    <mergeCell ref="F58:G58"/>
    <mergeCell ref="H58:I58"/>
    <mergeCell ref="J58:K58"/>
    <mergeCell ref="Z58:AA58"/>
    <mergeCell ref="AB58:AC58"/>
    <mergeCell ref="AD58:AE58"/>
    <mergeCell ref="L58:M58"/>
    <mergeCell ref="N58:O58"/>
    <mergeCell ref="R58:S58"/>
    <mergeCell ref="T58:U58"/>
    <mergeCell ref="V58:W58"/>
    <mergeCell ref="X58:Y58"/>
  </mergeCells>
  <hyperlinks>
    <hyperlink ref="U989" r:id="rId1" display="\\\\\\\\\\\\\\\\\\\\\\\\\\\\\\\\\\\\\\\\\\\\\\\\\\\\\\\\\"/>
  </hyperlinks>
  <printOptions horizontalCentered="1"/>
  <pageMargins left="0" right="0" top="0.5511811023622047" bottom="0.1968503937007874" header="0.15748031496062992" footer="0.2755905511811024"/>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tabColor indexed="9"/>
  </sheetPr>
  <dimension ref="A1:AO10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01" sqref="A101"/>
    </sheetView>
  </sheetViews>
  <sheetFormatPr defaultColWidth="9.140625" defaultRowHeight="12.75"/>
  <cols>
    <col min="1" max="1" width="19.28125" style="0" customWidth="1"/>
    <col min="2" max="2" width="4.00390625" style="0" bestFit="1" customWidth="1"/>
    <col min="3" max="3" width="9.28125" style="0" customWidth="1"/>
    <col min="4" max="4" width="3.00390625" style="0" customWidth="1"/>
    <col min="5" max="5" width="8.140625" style="0" customWidth="1"/>
    <col min="6" max="6" width="3.00390625" style="0" customWidth="1"/>
    <col min="7" max="7" width="8.00390625" style="0" customWidth="1"/>
    <col min="8" max="8" width="3.8515625" style="0" customWidth="1"/>
    <col min="9" max="9" width="10.28125" style="0" customWidth="1"/>
    <col min="10" max="10" width="3.00390625" style="0" customWidth="1"/>
    <col min="11" max="11" width="8.140625" style="0" customWidth="1"/>
    <col min="12" max="12" width="3.28125" style="0" customWidth="1"/>
    <col min="13" max="13" width="8.00390625" style="0" customWidth="1"/>
    <col min="14" max="14" width="3.00390625" style="0" customWidth="1"/>
    <col min="15" max="15" width="8.00390625" style="0" customWidth="1"/>
    <col min="16" max="16" width="2.7109375" style="0" customWidth="1"/>
    <col min="17" max="17" width="8.00390625" style="0" customWidth="1"/>
    <col min="18" max="18" width="3.57421875" style="0" customWidth="1"/>
    <col min="19" max="19" width="8.00390625" style="0" customWidth="1"/>
    <col min="20" max="20" width="3.28125" style="0" customWidth="1"/>
    <col min="21" max="21" width="6.57421875" style="0" bestFit="1" customWidth="1"/>
    <col min="22" max="22" width="4.00390625" style="0" bestFit="1" customWidth="1"/>
    <col min="23" max="23" width="9.28125" style="0" bestFit="1" customWidth="1"/>
    <col min="24" max="24" width="4.00390625" style="0" bestFit="1" customWidth="1"/>
    <col min="25" max="25" width="9.28125" style="0" bestFit="1" customWidth="1"/>
    <col min="26" max="26" width="4.00390625" style="0" bestFit="1" customWidth="1"/>
    <col min="27" max="27" width="9.28125" style="0" bestFit="1" customWidth="1"/>
    <col min="28" max="28" width="3.8515625" style="0" bestFit="1" customWidth="1"/>
    <col min="29" max="29" width="9.28125" style="0" bestFit="1" customWidth="1"/>
    <col min="30" max="30" width="4.00390625" style="0" bestFit="1" customWidth="1"/>
    <col min="31" max="31" width="9.28125" style="0" bestFit="1" customWidth="1"/>
    <col min="32" max="32" width="3.8515625" style="0" bestFit="1" customWidth="1"/>
    <col min="33" max="33" width="8.28125" style="0" bestFit="1" customWidth="1"/>
    <col min="34" max="34" width="4.00390625" style="0" bestFit="1" customWidth="1"/>
    <col min="35" max="35" width="9.28125" style="0" bestFit="1" customWidth="1"/>
    <col min="36" max="36" width="3.8515625" style="0" bestFit="1" customWidth="1"/>
    <col min="37" max="37" width="8.28125" style="0" bestFit="1" customWidth="1"/>
    <col min="38" max="38" width="3.8515625" style="0" bestFit="1" customWidth="1"/>
    <col min="39" max="40" width="6.7109375" style="0" bestFit="1" customWidth="1"/>
    <col min="41" max="41" width="10.28125" style="0" bestFit="1" customWidth="1"/>
  </cols>
  <sheetData>
    <row r="1" spans="1:41" ht="65.25" customHeight="1" thickBot="1">
      <c r="A1" s="1236" t="s">
        <v>1</v>
      </c>
      <c r="B1" s="1238" t="s">
        <v>70</v>
      </c>
      <c r="C1" s="1238"/>
      <c r="D1" s="1238" t="s">
        <v>168</v>
      </c>
      <c r="E1" s="1238"/>
      <c r="F1" s="1239" t="s">
        <v>83</v>
      </c>
      <c r="G1" s="1239"/>
      <c r="H1" s="1240" t="s">
        <v>72</v>
      </c>
      <c r="I1" s="1240"/>
      <c r="J1" s="1239" t="s">
        <v>184</v>
      </c>
      <c r="K1" s="1239"/>
      <c r="L1" s="1240" t="s">
        <v>154</v>
      </c>
      <c r="M1" s="1240"/>
      <c r="N1" s="1241" t="s">
        <v>73</v>
      </c>
      <c r="O1" s="1241"/>
      <c r="P1" s="1241" t="s">
        <v>74</v>
      </c>
      <c r="Q1" s="1241"/>
      <c r="R1" s="1240" t="s">
        <v>159</v>
      </c>
      <c r="S1" s="1240"/>
      <c r="T1" s="1242" t="s">
        <v>75</v>
      </c>
      <c r="U1" s="1242"/>
      <c r="V1" s="1242" t="s">
        <v>114</v>
      </c>
      <c r="W1" s="1242"/>
      <c r="X1" s="1243" t="s">
        <v>77</v>
      </c>
      <c r="Y1" s="1243"/>
      <c r="Z1" s="1243" t="s">
        <v>78</v>
      </c>
      <c r="AA1" s="1243"/>
      <c r="AB1" s="1243" t="s">
        <v>79</v>
      </c>
      <c r="AC1" s="1243"/>
      <c r="AD1" s="1243" t="s">
        <v>80</v>
      </c>
      <c r="AE1" s="1243"/>
      <c r="AF1" s="1243" t="s">
        <v>81</v>
      </c>
      <c r="AG1" s="1243"/>
      <c r="AH1" s="1243" t="s">
        <v>92</v>
      </c>
      <c r="AI1" s="1243"/>
      <c r="AJ1" s="1243" t="s">
        <v>82</v>
      </c>
      <c r="AK1" s="1243"/>
      <c r="AL1" s="1243" t="s">
        <v>583</v>
      </c>
      <c r="AM1" s="1243"/>
      <c r="AN1" s="1244" t="s">
        <v>65</v>
      </c>
      <c r="AO1" s="1244"/>
    </row>
    <row r="2" spans="1:41" ht="21.75" thickBot="1">
      <c r="A2" s="1237"/>
      <c r="B2" s="751" t="s">
        <v>10</v>
      </c>
      <c r="C2" s="1194" t="s">
        <v>9</v>
      </c>
      <c r="D2" s="751" t="s">
        <v>10</v>
      </c>
      <c r="E2" s="1194" t="s">
        <v>9</v>
      </c>
      <c r="F2" s="751" t="s">
        <v>10</v>
      </c>
      <c r="G2" s="752" t="s">
        <v>9</v>
      </c>
      <c r="H2" s="751" t="s">
        <v>10</v>
      </c>
      <c r="I2" s="752" t="s">
        <v>9</v>
      </c>
      <c r="J2" s="751" t="s">
        <v>10</v>
      </c>
      <c r="K2" s="752" t="s">
        <v>9</v>
      </c>
      <c r="L2" s="751" t="s">
        <v>10</v>
      </c>
      <c r="M2" s="752" t="s">
        <v>9</v>
      </c>
      <c r="N2" s="751" t="s">
        <v>10</v>
      </c>
      <c r="O2" s="752" t="s">
        <v>9</v>
      </c>
      <c r="P2" s="751" t="s">
        <v>10</v>
      </c>
      <c r="Q2" s="752" t="s">
        <v>9</v>
      </c>
      <c r="R2" s="751" t="s">
        <v>10</v>
      </c>
      <c r="S2" s="752" t="s">
        <v>9</v>
      </c>
      <c r="T2" s="751" t="s">
        <v>10</v>
      </c>
      <c r="U2" s="752" t="s">
        <v>9</v>
      </c>
      <c r="V2" s="751" t="s">
        <v>10</v>
      </c>
      <c r="W2" s="752" t="s">
        <v>9</v>
      </c>
      <c r="X2" s="751" t="s">
        <v>10</v>
      </c>
      <c r="Y2" s="752" t="s">
        <v>9</v>
      </c>
      <c r="Z2" s="751" t="s">
        <v>10</v>
      </c>
      <c r="AA2" s="752" t="s">
        <v>9</v>
      </c>
      <c r="AB2" s="751" t="s">
        <v>10</v>
      </c>
      <c r="AC2" s="752" t="s">
        <v>9</v>
      </c>
      <c r="AD2" s="751" t="s">
        <v>10</v>
      </c>
      <c r="AE2" s="752" t="s">
        <v>9</v>
      </c>
      <c r="AF2" s="751" t="s">
        <v>10</v>
      </c>
      <c r="AG2" s="752" t="s">
        <v>9</v>
      </c>
      <c r="AH2" s="751" t="s">
        <v>10</v>
      </c>
      <c r="AI2" s="752" t="s">
        <v>9</v>
      </c>
      <c r="AJ2" s="751" t="s">
        <v>10</v>
      </c>
      <c r="AK2" s="752" t="s">
        <v>9</v>
      </c>
      <c r="AL2" s="751" t="s">
        <v>10</v>
      </c>
      <c r="AM2" s="752" t="s">
        <v>9</v>
      </c>
      <c r="AN2" s="751" t="s">
        <v>10</v>
      </c>
      <c r="AO2" s="752" t="s">
        <v>9</v>
      </c>
    </row>
    <row r="3" spans="1:41" ht="21">
      <c r="A3" s="481" t="s">
        <v>238</v>
      </c>
      <c r="B3" s="514"/>
      <c r="C3" s="1195"/>
      <c r="D3" s="516"/>
      <c r="E3" s="1195"/>
      <c r="F3" s="516"/>
      <c r="G3" s="515"/>
      <c r="H3" s="517"/>
      <c r="I3" s="518"/>
      <c r="J3" s="517"/>
      <c r="K3" s="518"/>
      <c r="L3" s="517"/>
      <c r="M3" s="518"/>
      <c r="N3" s="517"/>
      <c r="O3" s="518"/>
      <c r="P3" s="517"/>
      <c r="Q3" s="515"/>
      <c r="R3" s="517"/>
      <c r="S3" s="518"/>
      <c r="T3" s="517"/>
      <c r="U3" s="518"/>
      <c r="V3" s="518"/>
      <c r="W3" s="518"/>
      <c r="X3" s="517"/>
      <c r="Y3" s="518"/>
      <c r="Z3" s="516"/>
      <c r="AA3" s="515"/>
      <c r="AB3" s="516"/>
      <c r="AC3" s="515"/>
      <c r="AD3" s="516"/>
      <c r="AE3" s="515"/>
      <c r="AF3" s="516"/>
      <c r="AG3" s="515"/>
      <c r="AH3" s="516"/>
      <c r="AI3" s="515"/>
      <c r="AJ3" s="516"/>
      <c r="AK3" s="515"/>
      <c r="AL3" s="516"/>
      <c r="AM3" s="515"/>
      <c r="AN3" s="516"/>
      <c r="AO3" s="518"/>
    </row>
    <row r="4" spans="1:41" ht="21">
      <c r="A4" s="10" t="s">
        <v>11</v>
      </c>
      <c r="B4" s="468">
        <f>6+10+16</f>
        <v>32</v>
      </c>
      <c r="C4" s="1196">
        <f>373+164.2+525.4+491.5+1334.6</f>
        <v>2888.7</v>
      </c>
      <c r="D4" s="468"/>
      <c r="E4" s="1196"/>
      <c r="F4" s="468">
        <v>2</v>
      </c>
      <c r="G4" s="466">
        <f>866.8+4.8</f>
        <v>871.5999999999999</v>
      </c>
      <c r="H4" s="471">
        <f>6+2</f>
        <v>8</v>
      </c>
      <c r="I4" s="401">
        <f>559.8+299+198+674+2064.8+19.4+6.3+27857.1+6.8</f>
        <v>31685.199999999997</v>
      </c>
      <c r="J4" s="471">
        <f>10+8</f>
        <v>18</v>
      </c>
      <c r="K4" s="401">
        <f>147.2+684.1+639.9</f>
        <v>1471.1999999999998</v>
      </c>
      <c r="L4" s="471">
        <v>1</v>
      </c>
      <c r="M4" s="401">
        <v>86.8</v>
      </c>
      <c r="N4" s="471">
        <v>11</v>
      </c>
      <c r="O4" s="401">
        <v>383</v>
      </c>
      <c r="P4" s="471"/>
      <c r="Q4" s="466"/>
      <c r="R4" s="471">
        <v>2</v>
      </c>
      <c r="S4" s="401">
        <v>72.4</v>
      </c>
      <c r="T4" s="471"/>
      <c r="U4" s="401">
        <v>134.9</v>
      </c>
      <c r="V4" s="471">
        <v>2</v>
      </c>
      <c r="W4" s="401">
        <v>106.5</v>
      </c>
      <c r="X4" s="468">
        <f>22+1+10+7</f>
        <v>40</v>
      </c>
      <c r="Y4" s="466">
        <f>2323.1+20.4+6.2+425.1+469</f>
        <v>3243.7999999999997</v>
      </c>
      <c r="Z4" s="468">
        <f>1+13+3+6</f>
        <v>23</v>
      </c>
      <c r="AA4" s="466">
        <f>6000+771.2+949+433.3+138.9+156.6+420.5+89.4</f>
        <v>8958.9</v>
      </c>
      <c r="AB4" s="468"/>
      <c r="AC4" s="466"/>
      <c r="AD4" s="471">
        <f>20+1</f>
        <v>21</v>
      </c>
      <c r="AE4" s="401">
        <f>2271.7+10.1+880+964.8+185.1+196.1</f>
        <v>4507.8</v>
      </c>
      <c r="AF4" s="471"/>
      <c r="AG4" s="401">
        <v>912.8</v>
      </c>
      <c r="AH4" s="471">
        <v>13</v>
      </c>
      <c r="AI4" s="401">
        <f>184.9+423.2</f>
        <v>608.1</v>
      </c>
      <c r="AJ4" s="471"/>
      <c r="AK4" s="401"/>
      <c r="AL4" s="471">
        <v>10</v>
      </c>
      <c r="AM4" s="401">
        <v>42.1</v>
      </c>
      <c r="AN4" s="476">
        <f aca="true" t="shared" si="0" ref="AN4:AO7">SUM(B4,D4,F4,H4,J4,L4,N4,P4,R4,T4,V4,Z4,X4,AB4,AD4,AF4,AH4,AL4,AJ4)</f>
        <v>183</v>
      </c>
      <c r="AO4" s="478">
        <f t="shared" si="0"/>
        <v>55973.80000000001</v>
      </c>
    </row>
    <row r="5" spans="1:41" ht="21">
      <c r="A5" s="10" t="s">
        <v>13</v>
      </c>
      <c r="B5" s="468">
        <f>18+12+15+1+4+2+76+8</f>
        <v>136</v>
      </c>
      <c r="C5" s="1196">
        <f>3066.6+228.3+2178.1+1858.2+3456.3+1462.5+392.4+204.8+139.9+2090.3+1378.6</f>
        <v>16455.999999999996</v>
      </c>
      <c r="D5" s="468">
        <v>7</v>
      </c>
      <c r="E5" s="1196">
        <v>379.3</v>
      </c>
      <c r="F5" s="468">
        <f>12+2</f>
        <v>14</v>
      </c>
      <c r="G5" s="466">
        <f>2727.4+20.9+4.8</f>
        <v>2753.1000000000004</v>
      </c>
      <c r="H5" s="471">
        <f>23+5+19+30+4+5</f>
        <v>86</v>
      </c>
      <c r="I5" s="401">
        <f>6691.5+5787.8+1418.4+3132.6+4558.5+413.8+635.3+9900+24.4+212.4</f>
        <v>32774.7</v>
      </c>
      <c r="J5" s="471">
        <f>1+7</f>
        <v>8</v>
      </c>
      <c r="K5" s="401">
        <f>750.3+55.2+539.9</f>
        <v>1345.4</v>
      </c>
      <c r="L5" s="471">
        <v>1</v>
      </c>
      <c r="M5" s="401">
        <f>348.5+83.9</f>
        <v>432.4</v>
      </c>
      <c r="N5" s="471">
        <v>4</v>
      </c>
      <c r="O5" s="401">
        <v>2344.6</v>
      </c>
      <c r="P5" s="471">
        <f>2</f>
        <v>2</v>
      </c>
      <c r="Q5" s="466">
        <f>328.7+1850.9</f>
        <v>2179.6</v>
      </c>
      <c r="R5" s="471">
        <v>3</v>
      </c>
      <c r="S5" s="401">
        <f>3031.4+342.1</f>
        <v>3373.5</v>
      </c>
      <c r="T5" s="471">
        <v>10</v>
      </c>
      <c r="U5" s="401">
        <v>575.1</v>
      </c>
      <c r="V5" s="471">
        <f>18+15+2+52</f>
        <v>87</v>
      </c>
      <c r="W5" s="401">
        <f>2103.4+3705.1+1048.5+132+967.8</f>
        <v>7956.8</v>
      </c>
      <c r="X5" s="468">
        <f>61+10+5+10+7</f>
        <v>93</v>
      </c>
      <c r="Y5" s="466">
        <f>8869.4+214.3+3239.3+1246.1+102.5+15.3+425.1+333.4+7.5</f>
        <v>14452.9</v>
      </c>
      <c r="Z5" s="468">
        <f>15+60+3+3+3+9</f>
        <v>93</v>
      </c>
      <c r="AA5" s="466">
        <f>4633.9+4893+997.1+73.3+151+92.3+49+308.7+247.6+118.2</f>
        <v>11564.1</v>
      </c>
      <c r="AB5" s="468">
        <f>5+10</f>
        <v>15</v>
      </c>
      <c r="AC5" s="466">
        <f>6359+117.7</f>
        <v>6476.7</v>
      </c>
      <c r="AD5" s="471">
        <f>3+36</f>
        <v>39</v>
      </c>
      <c r="AE5" s="401">
        <f>2933.6+264.3</f>
        <v>3197.9</v>
      </c>
      <c r="AF5" s="471">
        <v>1</v>
      </c>
      <c r="AG5" s="401">
        <f>932+12.7</f>
        <v>944.7</v>
      </c>
      <c r="AH5" s="471">
        <f>45+13</f>
        <v>58</v>
      </c>
      <c r="AI5" s="401">
        <f>7514.3+733+423.9</f>
        <v>8671.199999999999</v>
      </c>
      <c r="AJ5" s="471"/>
      <c r="AK5" s="401"/>
      <c r="AL5" s="471"/>
      <c r="AM5" s="401"/>
      <c r="AN5" s="476">
        <f t="shared" si="0"/>
        <v>657</v>
      </c>
      <c r="AO5" s="478">
        <f>SUM(C5,E5,G5,I5,K5,M5,O5,Q5,S5,U5,W5,AA5,Y5,AC5,AE5,AG5,AI5,AM5,AK5)</f>
        <v>115877.99999999997</v>
      </c>
    </row>
    <row r="6" spans="1:41" ht="21">
      <c r="A6" s="10" t="s">
        <v>14</v>
      </c>
      <c r="B6" s="468">
        <f>11+5+8+6+10</f>
        <v>40</v>
      </c>
      <c r="C6" s="1196">
        <f>831.8+285.4+63+284+740.7+550.7+1921.8</f>
        <v>4677.4</v>
      </c>
      <c r="D6" s="468">
        <v>1</v>
      </c>
      <c r="E6" s="1196">
        <v>176.5</v>
      </c>
      <c r="F6" s="468">
        <f>7+2</f>
        <v>9</v>
      </c>
      <c r="G6" s="466">
        <f>189.3+11.1+90.1+439.8+37.4+4.8</f>
        <v>772.4999999999999</v>
      </c>
      <c r="H6" s="471">
        <f>5+2+10+10+16</f>
        <v>43</v>
      </c>
      <c r="I6" s="401">
        <f>491.6+1834.3+1136.3+723.6+804.3+673.1+5.6+6.9</f>
        <v>5675.700000000001</v>
      </c>
      <c r="J6" s="471">
        <f>29+10</f>
        <v>39</v>
      </c>
      <c r="K6" s="401">
        <f>1412.2+836+835+242.6</f>
        <v>3325.7999999999997</v>
      </c>
      <c r="L6" s="471">
        <f>19+2</f>
        <v>21</v>
      </c>
      <c r="M6" s="401">
        <f>1124.4+167.9+440.3</f>
        <v>1732.6000000000001</v>
      </c>
      <c r="N6" s="471">
        <v>1</v>
      </c>
      <c r="O6" s="401">
        <v>993.4</v>
      </c>
      <c r="P6" s="471"/>
      <c r="Q6" s="466">
        <v>2650.2</v>
      </c>
      <c r="R6" s="471">
        <v>2</v>
      </c>
      <c r="S6" s="401">
        <v>63.6</v>
      </c>
      <c r="T6" s="471">
        <v>15</v>
      </c>
      <c r="U6" s="401">
        <v>1727.7</v>
      </c>
      <c r="V6" s="471">
        <v>2</v>
      </c>
      <c r="W6" s="401">
        <f>2285.8+137.1+629</f>
        <v>3051.9</v>
      </c>
      <c r="X6" s="468">
        <f>124+1+10+5</f>
        <v>140</v>
      </c>
      <c r="Y6" s="466">
        <f>4329.7+1173.7+104.3+6.2+424.9+320.5</f>
        <v>6359.299999999999</v>
      </c>
      <c r="Z6" s="468">
        <f>53+38+4+10+23+9</f>
        <v>137</v>
      </c>
      <c r="AA6" s="466">
        <f>5129.5+3140.2+581.4+462.6+527.6+1815.2+107.7</f>
        <v>11764.200000000003</v>
      </c>
      <c r="AB6" s="468">
        <f>4+1</f>
        <v>5</v>
      </c>
      <c r="AC6" s="466">
        <f>1607.1+127+35</f>
        <v>1769.1</v>
      </c>
      <c r="AD6" s="471">
        <f>68+1</f>
        <v>69</v>
      </c>
      <c r="AE6" s="401">
        <f>5107.4+383.4+199.1</f>
        <v>5689.9</v>
      </c>
      <c r="AF6" s="471">
        <v>30</v>
      </c>
      <c r="AG6" s="401">
        <v>2846.4</v>
      </c>
      <c r="AH6" s="471">
        <f>34+9</f>
        <v>43</v>
      </c>
      <c r="AI6" s="401">
        <f>1902.8+373.9+240.7</f>
        <v>2517.3999999999996</v>
      </c>
      <c r="AJ6" s="471">
        <f>9+15</f>
        <v>24</v>
      </c>
      <c r="AK6" s="401">
        <f>807+1795.5</f>
        <v>2602.5</v>
      </c>
      <c r="AL6" s="471">
        <f>9+1</f>
        <v>10</v>
      </c>
      <c r="AM6" s="401">
        <f>414.7+69.6</f>
        <v>484.29999999999995</v>
      </c>
      <c r="AN6" s="476">
        <f t="shared" si="0"/>
        <v>631</v>
      </c>
      <c r="AO6" s="478">
        <f t="shared" si="0"/>
        <v>58880.40000000001</v>
      </c>
    </row>
    <row r="7" spans="1:41" ht="21">
      <c r="A7" s="16" t="s">
        <v>15</v>
      </c>
      <c r="B7" s="469">
        <f>2+8+10</f>
        <v>20</v>
      </c>
      <c r="C7" s="1197">
        <f>313.8+126.1+395.8+1414.6</f>
        <v>2250.3</v>
      </c>
      <c r="D7" s="469">
        <v>14</v>
      </c>
      <c r="E7" s="1197">
        <v>1104.1</v>
      </c>
      <c r="F7" s="469">
        <f>8+2</f>
        <v>10</v>
      </c>
      <c r="G7" s="467">
        <f>390.1+4.8</f>
        <v>394.90000000000003</v>
      </c>
      <c r="H7" s="472">
        <v>40</v>
      </c>
      <c r="I7" s="473">
        <f>4546.7+1067.3+6.8</f>
        <v>5620.8</v>
      </c>
      <c r="J7" s="472">
        <v>5</v>
      </c>
      <c r="K7" s="473">
        <f>373.7+565.7</f>
        <v>939.4000000000001</v>
      </c>
      <c r="L7" s="472">
        <v>2</v>
      </c>
      <c r="M7" s="473">
        <v>201.5</v>
      </c>
      <c r="N7" s="472"/>
      <c r="O7" s="473"/>
      <c r="P7" s="472"/>
      <c r="Q7" s="467">
        <v>1578.6</v>
      </c>
      <c r="R7" s="472">
        <v>2</v>
      </c>
      <c r="S7" s="473">
        <v>68.6</v>
      </c>
      <c r="T7" s="472"/>
      <c r="U7" s="473"/>
      <c r="V7" s="472">
        <v>2</v>
      </c>
      <c r="W7" s="473">
        <f>451.8+135</f>
        <v>586.8</v>
      </c>
      <c r="X7" s="469">
        <f>2+3+4+6</f>
        <v>15</v>
      </c>
      <c r="Y7" s="467">
        <f>4.2+83.6+6.2+191.6+399.7</f>
        <v>685.3</v>
      </c>
      <c r="Z7" s="469">
        <f>64+3+1</f>
        <v>68</v>
      </c>
      <c r="AA7" s="467">
        <f>4340.1+107.1+86.3</f>
        <v>4533.500000000001</v>
      </c>
      <c r="AB7" s="469"/>
      <c r="AC7" s="467"/>
      <c r="AD7" s="472"/>
      <c r="AE7" s="473">
        <v>395.9</v>
      </c>
      <c r="AF7" s="472"/>
      <c r="AG7" s="473"/>
      <c r="AH7" s="472">
        <v>6</v>
      </c>
      <c r="AI7" s="473">
        <f>137.7+3.2</f>
        <v>140.89999999999998</v>
      </c>
      <c r="AJ7" s="472"/>
      <c r="AK7" s="473"/>
      <c r="AL7" s="472"/>
      <c r="AM7" s="473"/>
      <c r="AN7" s="477">
        <f t="shared" si="0"/>
        <v>184</v>
      </c>
      <c r="AO7" s="479">
        <f t="shared" si="0"/>
        <v>18500.600000000002</v>
      </c>
    </row>
    <row r="8" spans="1:41" ht="21">
      <c r="A8" s="481" t="s">
        <v>16</v>
      </c>
      <c r="B8" s="519"/>
      <c r="C8" s="747"/>
      <c r="D8" s="519"/>
      <c r="E8" s="747"/>
      <c r="F8" s="519"/>
      <c r="G8" s="520"/>
      <c r="H8" s="521"/>
      <c r="I8" s="522"/>
      <c r="J8" s="521"/>
      <c r="K8" s="522"/>
      <c r="L8" s="521"/>
      <c r="M8" s="522"/>
      <c r="N8" s="521"/>
      <c r="O8" s="522"/>
      <c r="P8" s="521"/>
      <c r="Q8" s="520"/>
      <c r="R8" s="521"/>
      <c r="S8" s="522"/>
      <c r="T8" s="521"/>
      <c r="U8" s="522"/>
      <c r="V8" s="521"/>
      <c r="W8" s="522"/>
      <c r="X8" s="521"/>
      <c r="Y8" s="522"/>
      <c r="Z8" s="519"/>
      <c r="AA8" s="520"/>
      <c r="AB8" s="519"/>
      <c r="AC8" s="520"/>
      <c r="AD8" s="519"/>
      <c r="AE8" s="520"/>
      <c r="AF8" s="519"/>
      <c r="AG8" s="520"/>
      <c r="AH8" s="519"/>
      <c r="AI8" s="520"/>
      <c r="AJ8" s="519"/>
      <c r="AK8" s="520"/>
      <c r="AL8" s="519"/>
      <c r="AM8" s="520"/>
      <c r="AN8" s="523"/>
      <c r="AO8" s="524"/>
    </row>
    <row r="9" spans="1:41" ht="21">
      <c r="A9" s="10" t="s">
        <v>609</v>
      </c>
      <c r="B9" s="468"/>
      <c r="C9" s="1196"/>
      <c r="D9" s="468"/>
      <c r="E9" s="1196"/>
      <c r="F9" s="468">
        <v>2</v>
      </c>
      <c r="G9" s="466">
        <v>4.8</v>
      </c>
      <c r="H9" s="471"/>
      <c r="I9" s="401"/>
      <c r="J9" s="471"/>
      <c r="K9" s="401"/>
      <c r="L9" s="471"/>
      <c r="M9" s="401"/>
      <c r="N9" s="471"/>
      <c r="O9" s="401"/>
      <c r="P9" s="471"/>
      <c r="Q9" s="466"/>
      <c r="R9" s="471"/>
      <c r="S9" s="401"/>
      <c r="T9" s="471"/>
      <c r="U9" s="401"/>
      <c r="V9" s="471"/>
      <c r="W9" s="401"/>
      <c r="X9" s="468"/>
      <c r="Y9" s="466"/>
      <c r="Z9" s="468"/>
      <c r="AA9" s="466"/>
      <c r="AB9" s="468"/>
      <c r="AC9" s="466"/>
      <c r="AD9" s="471"/>
      <c r="AE9" s="401"/>
      <c r="AF9" s="471"/>
      <c r="AG9" s="401"/>
      <c r="AH9" s="471"/>
      <c r="AI9" s="401"/>
      <c r="AJ9" s="471"/>
      <c r="AK9" s="401"/>
      <c r="AL9" s="471"/>
      <c r="AM9" s="401"/>
      <c r="AN9" s="476">
        <f>SUM(B9,D9,F9,H9,J9,L9,N9,P9,R9,T9,V9,Z9,X9,AB9,AD9,AF9,AH9,AL9)</f>
        <v>2</v>
      </c>
      <c r="AO9" s="478">
        <f>SUM(C9,E9,G9,I9,K9,M9,O9,Q9,S9,U9,W9,AA9,Y9,AC9,AE9,AG9,AI9,AM9)</f>
        <v>4.8</v>
      </c>
    </row>
    <row r="10" spans="1:41" ht="21.75">
      <c r="A10" s="10" t="s">
        <v>17</v>
      </c>
      <c r="B10" s="986">
        <f>2+2</f>
        <v>4</v>
      </c>
      <c r="C10" s="1198">
        <f>612.5+256.9+96</f>
        <v>965.4</v>
      </c>
      <c r="D10" s="468"/>
      <c r="E10" s="1196"/>
      <c r="F10" s="468"/>
      <c r="G10" s="466"/>
      <c r="H10" s="471"/>
      <c r="I10" s="401"/>
      <c r="J10" s="471"/>
      <c r="K10" s="401"/>
      <c r="L10" s="471">
        <v>1</v>
      </c>
      <c r="M10" s="401">
        <v>106.8</v>
      </c>
      <c r="N10" s="471"/>
      <c r="O10" s="401"/>
      <c r="P10" s="471"/>
      <c r="Q10" s="466"/>
      <c r="R10" s="471">
        <v>1</v>
      </c>
      <c r="S10" s="401">
        <v>21</v>
      </c>
      <c r="T10" s="471"/>
      <c r="U10" s="401"/>
      <c r="V10" s="471">
        <f>1+1</f>
        <v>2</v>
      </c>
      <c r="W10" s="401">
        <f>59+57.9</f>
        <v>116.9</v>
      </c>
      <c r="X10" s="468">
        <v>1</v>
      </c>
      <c r="Y10" s="466">
        <v>2.1</v>
      </c>
      <c r="Z10" s="468">
        <f>1+1+10</f>
        <v>12</v>
      </c>
      <c r="AA10" s="466">
        <f>90+129.8+49.5</f>
        <v>269.3</v>
      </c>
      <c r="AB10" s="468">
        <v>1</v>
      </c>
      <c r="AC10" s="466">
        <v>154.7</v>
      </c>
      <c r="AD10" s="471">
        <v>1</v>
      </c>
      <c r="AE10" s="401">
        <f>38.5+231.4</f>
        <v>269.9</v>
      </c>
      <c r="AF10" s="471">
        <v>3</v>
      </c>
      <c r="AG10" s="401">
        <v>17.8</v>
      </c>
      <c r="AH10" s="471"/>
      <c r="AI10" s="401"/>
      <c r="AJ10" s="471"/>
      <c r="AK10" s="401"/>
      <c r="AL10" s="471"/>
      <c r="AM10" s="401"/>
      <c r="AN10" s="476">
        <f aca="true" t="shared" si="1" ref="AN10:AO14">SUM(B10,D10,F10,H10,J10,L10,N10,P10,R10,T10,V10,Z10,X10,AB10,AD10,AF10,AH10,AL10)</f>
        <v>26</v>
      </c>
      <c r="AO10" s="478">
        <f>SUM(C10,E10,G10,I10,K10,M10,O10,Q10,S10,U10,W10,AA10,Y10,AC10,AE10,AG10,AI10,AM10)</f>
        <v>1923.8999999999999</v>
      </c>
    </row>
    <row r="11" spans="1:41" ht="21">
      <c r="A11" s="10" t="s">
        <v>18</v>
      </c>
      <c r="B11" s="468">
        <v>1</v>
      </c>
      <c r="C11" s="1196">
        <v>58.2</v>
      </c>
      <c r="D11" s="468"/>
      <c r="E11" s="1196"/>
      <c r="F11" s="468">
        <v>1</v>
      </c>
      <c r="G11" s="466">
        <v>2.4</v>
      </c>
      <c r="H11" s="471"/>
      <c r="I11" s="401"/>
      <c r="J11" s="471"/>
      <c r="K11" s="401"/>
      <c r="L11" s="471">
        <v>3</v>
      </c>
      <c r="M11" s="401">
        <v>288.6</v>
      </c>
      <c r="N11" s="471"/>
      <c r="O11" s="401"/>
      <c r="P11" s="471"/>
      <c r="Q11" s="466"/>
      <c r="R11" s="471"/>
      <c r="S11" s="401"/>
      <c r="T11" s="471"/>
      <c r="U11" s="401"/>
      <c r="V11" s="471"/>
      <c r="W11" s="401"/>
      <c r="X11" s="468"/>
      <c r="Y11" s="466"/>
      <c r="Z11" s="468"/>
      <c r="AA11" s="466"/>
      <c r="AB11" s="468"/>
      <c r="AC11" s="466"/>
      <c r="AD11" s="471"/>
      <c r="AE11" s="401"/>
      <c r="AF11" s="471">
        <v>9</v>
      </c>
      <c r="AG11" s="401">
        <v>53.3</v>
      </c>
      <c r="AH11" s="471"/>
      <c r="AI11" s="401"/>
      <c r="AJ11" s="471"/>
      <c r="AK11" s="401"/>
      <c r="AL11" s="471"/>
      <c r="AM11" s="401"/>
      <c r="AN11" s="476">
        <f t="shared" si="1"/>
        <v>14</v>
      </c>
      <c r="AO11" s="478">
        <f t="shared" si="1"/>
        <v>402.50000000000006</v>
      </c>
    </row>
    <row r="12" spans="1:41" ht="21">
      <c r="A12" s="10" t="s">
        <v>19</v>
      </c>
      <c r="B12" s="468">
        <v>5</v>
      </c>
      <c r="C12" s="1196">
        <v>592.5</v>
      </c>
      <c r="D12" s="468"/>
      <c r="E12" s="1196"/>
      <c r="F12" s="468">
        <v>2</v>
      </c>
      <c r="G12" s="466">
        <v>4.8</v>
      </c>
      <c r="H12" s="471"/>
      <c r="I12" s="401"/>
      <c r="J12" s="471"/>
      <c r="K12" s="401"/>
      <c r="L12" s="471"/>
      <c r="M12" s="401"/>
      <c r="N12" s="471"/>
      <c r="O12" s="401"/>
      <c r="P12" s="471"/>
      <c r="Q12" s="466"/>
      <c r="R12" s="471">
        <v>1</v>
      </c>
      <c r="S12" s="401">
        <v>21</v>
      </c>
      <c r="T12" s="471"/>
      <c r="U12" s="401"/>
      <c r="V12" s="471">
        <v>4</v>
      </c>
      <c r="W12" s="401">
        <v>297.8</v>
      </c>
      <c r="X12" s="468">
        <f>1+1+1</f>
        <v>3</v>
      </c>
      <c r="Y12" s="466">
        <f>2.1+110.6+42</f>
        <v>154.7</v>
      </c>
      <c r="Z12" s="468">
        <f>2+10</f>
        <v>12</v>
      </c>
      <c r="AA12" s="466">
        <f>193.5+49.5</f>
        <v>243</v>
      </c>
      <c r="AB12" s="468">
        <v>1</v>
      </c>
      <c r="AC12" s="466">
        <v>135.3</v>
      </c>
      <c r="AD12" s="471">
        <v>1</v>
      </c>
      <c r="AE12" s="401">
        <v>210.5</v>
      </c>
      <c r="AF12" s="471"/>
      <c r="AG12" s="401"/>
      <c r="AH12" s="471"/>
      <c r="AI12" s="401"/>
      <c r="AJ12" s="471"/>
      <c r="AK12" s="401"/>
      <c r="AL12" s="471"/>
      <c r="AM12" s="401"/>
      <c r="AN12" s="476">
        <f t="shared" si="1"/>
        <v>29</v>
      </c>
      <c r="AO12" s="478">
        <f t="shared" si="1"/>
        <v>1659.6</v>
      </c>
    </row>
    <row r="13" spans="1:41" ht="21">
      <c r="A13" s="10" t="s">
        <v>569</v>
      </c>
      <c r="B13" s="468"/>
      <c r="C13" s="1196"/>
      <c r="D13" s="468"/>
      <c r="E13" s="1196"/>
      <c r="F13" s="468"/>
      <c r="G13" s="466"/>
      <c r="H13" s="471"/>
      <c r="I13" s="401"/>
      <c r="J13" s="471"/>
      <c r="K13" s="401"/>
      <c r="L13" s="471"/>
      <c r="M13" s="401"/>
      <c r="N13" s="471"/>
      <c r="O13" s="401"/>
      <c r="P13" s="471"/>
      <c r="Q13" s="466"/>
      <c r="R13" s="471">
        <v>2</v>
      </c>
      <c r="S13" s="401">
        <v>42</v>
      </c>
      <c r="T13" s="471"/>
      <c r="U13" s="401"/>
      <c r="V13" s="471"/>
      <c r="W13" s="401"/>
      <c r="X13" s="468"/>
      <c r="Y13" s="466"/>
      <c r="Z13" s="468"/>
      <c r="AA13" s="466"/>
      <c r="AB13" s="468"/>
      <c r="AC13" s="466"/>
      <c r="AD13" s="471"/>
      <c r="AE13" s="401"/>
      <c r="AF13" s="471"/>
      <c r="AG13" s="401"/>
      <c r="AH13" s="471"/>
      <c r="AI13" s="401"/>
      <c r="AJ13" s="471"/>
      <c r="AK13" s="401"/>
      <c r="AL13" s="471"/>
      <c r="AM13" s="401"/>
      <c r="AN13" s="476">
        <f t="shared" si="1"/>
        <v>2</v>
      </c>
      <c r="AO13" s="478">
        <f t="shared" si="1"/>
        <v>42</v>
      </c>
    </row>
    <row r="14" spans="1:41" ht="21">
      <c r="A14" s="16" t="s">
        <v>20</v>
      </c>
      <c r="B14" s="468">
        <v>14</v>
      </c>
      <c r="C14" s="1196">
        <f>289+418.2+924.2</f>
        <v>1631.4</v>
      </c>
      <c r="D14" s="469"/>
      <c r="E14" s="1197"/>
      <c r="F14" s="469">
        <v>2</v>
      </c>
      <c r="G14" s="467">
        <v>4.8</v>
      </c>
      <c r="H14" s="472"/>
      <c r="I14" s="473"/>
      <c r="J14" s="472"/>
      <c r="K14" s="473"/>
      <c r="L14" s="472"/>
      <c r="M14" s="473"/>
      <c r="N14" s="472"/>
      <c r="O14" s="473"/>
      <c r="P14" s="472"/>
      <c r="Q14" s="467"/>
      <c r="R14" s="472"/>
      <c r="S14" s="473"/>
      <c r="T14" s="472"/>
      <c r="U14" s="473"/>
      <c r="V14" s="472">
        <v>1</v>
      </c>
      <c r="W14" s="473">
        <v>118.5</v>
      </c>
      <c r="X14" s="469">
        <f>5+1</f>
        <v>6</v>
      </c>
      <c r="Y14" s="467">
        <f>565+137.2</f>
        <v>702.2</v>
      </c>
      <c r="Z14" s="469">
        <v>1</v>
      </c>
      <c r="AA14" s="467">
        <f>469.2+79.2</f>
        <v>548.4</v>
      </c>
      <c r="AB14" s="469"/>
      <c r="AC14" s="467"/>
      <c r="AD14" s="472"/>
      <c r="AE14" s="473"/>
      <c r="AF14" s="472"/>
      <c r="AG14" s="473"/>
      <c r="AH14" s="472"/>
      <c r="AI14" s="473"/>
      <c r="AJ14" s="472"/>
      <c r="AK14" s="473"/>
      <c r="AL14" s="472"/>
      <c r="AM14" s="473"/>
      <c r="AN14" s="476">
        <f t="shared" si="1"/>
        <v>24</v>
      </c>
      <c r="AO14" s="478">
        <f t="shared" si="1"/>
        <v>3005.3</v>
      </c>
    </row>
    <row r="15" spans="1:41" ht="21">
      <c r="A15" s="481" t="s">
        <v>21</v>
      </c>
      <c r="B15" s="519"/>
      <c r="C15" s="747"/>
      <c r="D15" s="519"/>
      <c r="E15" s="747"/>
      <c r="F15" s="519"/>
      <c r="G15" s="520"/>
      <c r="H15" s="521"/>
      <c r="I15" s="522"/>
      <c r="J15" s="521"/>
      <c r="K15" s="522"/>
      <c r="L15" s="521"/>
      <c r="M15" s="522"/>
      <c r="N15" s="521"/>
      <c r="O15" s="522"/>
      <c r="P15" s="521"/>
      <c r="Q15" s="520"/>
      <c r="R15" s="521"/>
      <c r="S15" s="522"/>
      <c r="T15" s="521"/>
      <c r="U15" s="522"/>
      <c r="V15" s="521"/>
      <c r="W15" s="522"/>
      <c r="X15" s="521"/>
      <c r="Y15" s="522"/>
      <c r="Z15" s="519"/>
      <c r="AA15" s="520"/>
      <c r="AB15" s="519"/>
      <c r="AC15" s="520"/>
      <c r="AD15" s="519"/>
      <c r="AE15" s="520"/>
      <c r="AF15" s="519"/>
      <c r="AG15" s="520"/>
      <c r="AH15" s="519"/>
      <c r="AI15" s="520"/>
      <c r="AJ15" s="519"/>
      <c r="AK15" s="520"/>
      <c r="AL15" s="519"/>
      <c r="AM15" s="520"/>
      <c r="AN15" s="523"/>
      <c r="AO15" s="524"/>
    </row>
    <row r="16" spans="1:41" ht="21">
      <c r="A16" s="10" t="s">
        <v>22</v>
      </c>
      <c r="B16" s="468">
        <f>5+3+5+10+6+5+3</f>
        <v>37</v>
      </c>
      <c r="C16" s="1196">
        <f>885.6+254.7</f>
        <v>1140.3</v>
      </c>
      <c r="D16" s="468">
        <v>5</v>
      </c>
      <c r="E16" s="1196">
        <v>85</v>
      </c>
      <c r="F16" s="468"/>
      <c r="G16" s="466"/>
      <c r="H16" s="471"/>
      <c r="I16" s="401"/>
      <c r="J16" s="471"/>
      <c r="K16" s="401"/>
      <c r="L16" s="471">
        <f>4+6</f>
        <v>10</v>
      </c>
      <c r="M16" s="401">
        <v>234.5</v>
      </c>
      <c r="N16" s="471">
        <v>5</v>
      </c>
      <c r="O16" s="401">
        <v>102.2</v>
      </c>
      <c r="P16" s="471"/>
      <c r="Q16" s="466"/>
      <c r="R16" s="471"/>
      <c r="S16" s="401"/>
      <c r="T16" s="471"/>
      <c r="U16" s="401"/>
      <c r="V16" s="471">
        <v>3</v>
      </c>
      <c r="W16" s="401">
        <v>281</v>
      </c>
      <c r="X16" s="468">
        <f>1+1</f>
        <v>2</v>
      </c>
      <c r="Y16" s="466">
        <f>119+38.1</f>
        <v>157.1</v>
      </c>
      <c r="Z16" s="468">
        <f>1+5+5+3+3+4</f>
        <v>21</v>
      </c>
      <c r="AA16" s="466">
        <f>353.5+374.8+4.4</f>
        <v>732.6999999999999</v>
      </c>
      <c r="AB16" s="468">
        <f>5+5+6+1</f>
        <v>17</v>
      </c>
      <c r="AC16" s="466">
        <f>345.4+154.8</f>
        <v>500.2</v>
      </c>
      <c r="AD16" s="471"/>
      <c r="AE16" s="401"/>
      <c r="AF16" s="471"/>
      <c r="AG16" s="401"/>
      <c r="AH16" s="471"/>
      <c r="AI16" s="401"/>
      <c r="AJ16" s="471"/>
      <c r="AK16" s="401"/>
      <c r="AL16" s="471"/>
      <c r="AM16" s="401"/>
      <c r="AN16" s="476">
        <f aca="true" t="shared" si="2" ref="AN16:AO18">SUM(B16,D16,F16,H16,J16,L16,N16,P16,R16,T16,V16,Z16,X16,AB16,AD16,AF16,AH16,AL16)</f>
        <v>100</v>
      </c>
      <c r="AO16" s="478">
        <f t="shared" si="2"/>
        <v>3232.9999999999995</v>
      </c>
    </row>
    <row r="17" spans="1:41" ht="21">
      <c r="A17" s="10" t="s">
        <v>293</v>
      </c>
      <c r="B17" s="468"/>
      <c r="C17" s="1196"/>
      <c r="D17" s="468"/>
      <c r="E17" s="1196"/>
      <c r="F17" s="468"/>
      <c r="G17" s="466"/>
      <c r="H17" s="471"/>
      <c r="I17" s="401"/>
      <c r="J17" s="471"/>
      <c r="K17" s="401"/>
      <c r="L17" s="471"/>
      <c r="M17" s="401"/>
      <c r="N17" s="471"/>
      <c r="O17" s="401"/>
      <c r="P17" s="471"/>
      <c r="Q17" s="466"/>
      <c r="R17" s="471">
        <v>2</v>
      </c>
      <c r="S17" s="401">
        <v>42</v>
      </c>
      <c r="T17" s="471"/>
      <c r="U17" s="401"/>
      <c r="V17" s="471"/>
      <c r="W17" s="401"/>
      <c r="X17" s="468"/>
      <c r="Y17" s="466"/>
      <c r="Z17" s="468"/>
      <c r="AA17" s="466"/>
      <c r="AB17" s="468"/>
      <c r="AC17" s="466"/>
      <c r="AD17" s="471"/>
      <c r="AE17" s="401"/>
      <c r="AF17" s="471"/>
      <c r="AG17" s="401"/>
      <c r="AH17" s="471"/>
      <c r="AI17" s="401"/>
      <c r="AJ17" s="471"/>
      <c r="AK17" s="401"/>
      <c r="AL17" s="471"/>
      <c r="AM17" s="401"/>
      <c r="AN17" s="476">
        <f t="shared" si="2"/>
        <v>2</v>
      </c>
      <c r="AO17" s="478">
        <f t="shared" si="2"/>
        <v>42</v>
      </c>
    </row>
    <row r="18" spans="1:41" ht="21">
      <c r="A18" s="16" t="s">
        <v>23</v>
      </c>
      <c r="B18" s="469">
        <v>2</v>
      </c>
      <c r="C18" s="1197">
        <v>312.9</v>
      </c>
      <c r="D18" s="469"/>
      <c r="E18" s="1197"/>
      <c r="F18" s="469">
        <v>10</v>
      </c>
      <c r="G18" s="467">
        <v>1305.1</v>
      </c>
      <c r="H18" s="472"/>
      <c r="I18" s="473"/>
      <c r="J18" s="472"/>
      <c r="K18" s="473">
        <v>0.6</v>
      </c>
      <c r="L18" s="472">
        <v>2</v>
      </c>
      <c r="M18" s="473">
        <v>249</v>
      </c>
      <c r="N18" s="472"/>
      <c r="O18" s="473"/>
      <c r="P18" s="472"/>
      <c r="Q18" s="467"/>
      <c r="R18" s="472"/>
      <c r="S18" s="473"/>
      <c r="T18" s="472"/>
      <c r="U18" s="473"/>
      <c r="V18" s="472">
        <v>1</v>
      </c>
      <c r="W18" s="473">
        <v>117.2</v>
      </c>
      <c r="X18" s="469">
        <f>1+1+1</f>
        <v>3</v>
      </c>
      <c r="Y18" s="467">
        <f>1082.7+278.4+126.6+42</f>
        <v>1529.6999999999998</v>
      </c>
      <c r="Z18" s="469">
        <f>1+1</f>
        <v>2</v>
      </c>
      <c r="AA18" s="467">
        <f>1959.1+194.7</f>
        <v>2153.7999999999997</v>
      </c>
      <c r="AB18" s="469"/>
      <c r="AC18" s="467"/>
      <c r="AD18" s="472">
        <v>1</v>
      </c>
      <c r="AE18" s="473">
        <v>69.6</v>
      </c>
      <c r="AF18" s="472"/>
      <c r="AG18" s="473"/>
      <c r="AH18" s="472"/>
      <c r="AI18" s="473"/>
      <c r="AJ18" s="472"/>
      <c r="AK18" s="473"/>
      <c r="AL18" s="472"/>
      <c r="AM18" s="473"/>
      <c r="AN18" s="477">
        <f t="shared" si="2"/>
        <v>21</v>
      </c>
      <c r="AO18" s="479">
        <f t="shared" si="2"/>
        <v>5737.9</v>
      </c>
    </row>
    <row r="19" spans="1:41" ht="21">
      <c r="A19" s="499" t="s">
        <v>24</v>
      </c>
      <c r="B19" s="519"/>
      <c r="C19" s="747"/>
      <c r="D19" s="519"/>
      <c r="E19" s="747"/>
      <c r="F19" s="519"/>
      <c r="G19" s="520"/>
      <c r="H19" s="521"/>
      <c r="I19" s="522"/>
      <c r="J19" s="521"/>
      <c r="K19" s="522"/>
      <c r="L19" s="521"/>
      <c r="M19" s="522"/>
      <c r="N19" s="521"/>
      <c r="O19" s="522"/>
      <c r="P19" s="521"/>
      <c r="Q19" s="520"/>
      <c r="R19" s="521"/>
      <c r="S19" s="522"/>
      <c r="T19" s="521"/>
      <c r="U19" s="522"/>
      <c r="V19" s="521"/>
      <c r="W19" s="522"/>
      <c r="X19" s="521"/>
      <c r="Y19" s="522"/>
      <c r="Z19" s="519"/>
      <c r="AA19" s="520"/>
      <c r="AB19" s="519"/>
      <c r="AC19" s="520"/>
      <c r="AD19" s="519"/>
      <c r="AE19" s="520"/>
      <c r="AF19" s="519"/>
      <c r="AG19" s="520"/>
      <c r="AH19" s="519"/>
      <c r="AI19" s="520"/>
      <c r="AJ19" s="519"/>
      <c r="AK19" s="520"/>
      <c r="AL19" s="519"/>
      <c r="AM19" s="520"/>
      <c r="AN19" s="523"/>
      <c r="AO19" s="524"/>
    </row>
    <row r="20" spans="1:41" ht="21">
      <c r="A20" s="10" t="s">
        <v>25</v>
      </c>
      <c r="B20" s="468">
        <v>1</v>
      </c>
      <c r="C20" s="1196">
        <v>61.7</v>
      </c>
      <c r="D20" s="468"/>
      <c r="E20" s="1196"/>
      <c r="F20" s="468"/>
      <c r="G20" s="466"/>
      <c r="H20" s="471"/>
      <c r="I20" s="401"/>
      <c r="J20" s="471"/>
      <c r="K20" s="401"/>
      <c r="L20" s="471"/>
      <c r="M20" s="401"/>
      <c r="N20" s="471"/>
      <c r="O20" s="401"/>
      <c r="P20" s="471"/>
      <c r="Q20" s="466"/>
      <c r="R20" s="471"/>
      <c r="S20" s="401"/>
      <c r="T20" s="471"/>
      <c r="U20" s="401"/>
      <c r="V20" s="471">
        <v>2</v>
      </c>
      <c r="W20" s="401">
        <v>113.2</v>
      </c>
      <c r="X20" s="468">
        <f>1+1</f>
        <v>2</v>
      </c>
      <c r="Y20" s="466">
        <f>66.1+40</f>
        <v>106.1</v>
      </c>
      <c r="Z20" s="468"/>
      <c r="AA20" s="466"/>
      <c r="AB20" s="468"/>
      <c r="AC20" s="466"/>
      <c r="AD20" s="471"/>
      <c r="AE20" s="401"/>
      <c r="AF20" s="471"/>
      <c r="AG20" s="401"/>
      <c r="AH20" s="471"/>
      <c r="AI20" s="401"/>
      <c r="AJ20" s="471"/>
      <c r="AK20" s="401"/>
      <c r="AL20" s="471"/>
      <c r="AM20" s="401"/>
      <c r="AN20" s="476">
        <f aca="true" t="shared" si="3" ref="AN20:AO34">SUM(B20,D20,F20,H20,J20,L20,N20,P20,R20,T20,V20,Z20,X20,AB20,AD20,AF20,AH20,AL20)</f>
        <v>5</v>
      </c>
      <c r="AO20" s="478">
        <f t="shared" si="3"/>
        <v>281</v>
      </c>
    </row>
    <row r="21" spans="1:41" ht="21">
      <c r="A21" s="10" t="s">
        <v>26</v>
      </c>
      <c r="B21" s="468">
        <v>5</v>
      </c>
      <c r="C21" s="1196">
        <f>2253.1+583.1</f>
        <v>2836.2</v>
      </c>
      <c r="D21" s="468"/>
      <c r="E21" s="1196"/>
      <c r="F21" s="468"/>
      <c r="G21" s="466"/>
      <c r="H21" s="471"/>
      <c r="I21" s="401"/>
      <c r="J21" s="471"/>
      <c r="K21" s="401">
        <v>311.1</v>
      </c>
      <c r="L21" s="471"/>
      <c r="M21" s="401"/>
      <c r="N21" s="471"/>
      <c r="O21" s="401"/>
      <c r="P21" s="471"/>
      <c r="Q21" s="466"/>
      <c r="R21" s="471"/>
      <c r="S21" s="401"/>
      <c r="T21" s="471"/>
      <c r="U21" s="401"/>
      <c r="V21" s="471">
        <v>1</v>
      </c>
      <c r="W21" s="401">
        <v>52.6</v>
      </c>
      <c r="X21" s="468">
        <f>1+1</f>
        <v>2</v>
      </c>
      <c r="Y21" s="466">
        <f>50.8+44</f>
        <v>94.8</v>
      </c>
      <c r="Z21" s="468"/>
      <c r="AA21" s="466"/>
      <c r="AB21" s="468">
        <v>1</v>
      </c>
      <c r="AC21" s="466">
        <v>155.8</v>
      </c>
      <c r="AD21" s="471"/>
      <c r="AE21" s="401">
        <v>5901.4</v>
      </c>
      <c r="AF21" s="471">
        <v>2</v>
      </c>
      <c r="AG21" s="401">
        <v>83.7</v>
      </c>
      <c r="AH21" s="471"/>
      <c r="AI21" s="401"/>
      <c r="AJ21" s="471"/>
      <c r="AK21" s="401"/>
      <c r="AL21" s="471"/>
      <c r="AM21" s="401">
        <v>120.3</v>
      </c>
      <c r="AN21" s="476">
        <f t="shared" si="3"/>
        <v>11</v>
      </c>
      <c r="AO21" s="478">
        <f t="shared" si="3"/>
        <v>9555.9</v>
      </c>
    </row>
    <row r="22" spans="1:41" ht="21">
      <c r="A22" s="10" t="s">
        <v>27</v>
      </c>
      <c r="B22" s="468"/>
      <c r="C22" s="1196">
        <v>306.5</v>
      </c>
      <c r="D22" s="468"/>
      <c r="E22" s="1196"/>
      <c r="F22" s="468">
        <v>3</v>
      </c>
      <c r="G22" s="466">
        <v>1881.4</v>
      </c>
      <c r="H22" s="471">
        <v>21</v>
      </c>
      <c r="I22" s="401">
        <v>7757.6</v>
      </c>
      <c r="J22" s="471"/>
      <c r="K22" s="401"/>
      <c r="L22" s="471"/>
      <c r="M22" s="401"/>
      <c r="N22" s="471">
        <v>2</v>
      </c>
      <c r="O22" s="401">
        <v>3137.1</v>
      </c>
      <c r="P22" s="471"/>
      <c r="Q22" s="466">
        <v>1437.6</v>
      </c>
      <c r="R22" s="471"/>
      <c r="S22" s="401"/>
      <c r="T22" s="471"/>
      <c r="U22" s="401">
        <f>243.3+10.3</f>
        <v>253.60000000000002</v>
      </c>
      <c r="V22" s="471">
        <f>2+2</f>
        <v>4</v>
      </c>
      <c r="W22" s="401">
        <f>637.9+117.2</f>
        <v>755.1</v>
      </c>
      <c r="X22" s="468">
        <f>20+1</f>
        <v>21</v>
      </c>
      <c r="Y22" s="466">
        <f>3207.1+2376.1+184.8+43.4</f>
        <v>5811.4</v>
      </c>
      <c r="Z22" s="468">
        <f>11+1+51</f>
        <v>63</v>
      </c>
      <c r="AA22" s="466">
        <f>3826.1+77.5+1820.4</f>
        <v>5724</v>
      </c>
      <c r="AB22" s="468">
        <v>8</v>
      </c>
      <c r="AC22" s="466">
        <v>3487</v>
      </c>
      <c r="AD22" s="471">
        <f>8</f>
        <v>8</v>
      </c>
      <c r="AE22" s="401">
        <f>2390+1477.6</f>
        <v>3867.6</v>
      </c>
      <c r="AF22" s="471">
        <v>2</v>
      </c>
      <c r="AG22" s="401">
        <v>1197.2</v>
      </c>
      <c r="AH22" s="471">
        <v>1</v>
      </c>
      <c r="AI22" s="401">
        <v>3947.5</v>
      </c>
      <c r="AJ22" s="471"/>
      <c r="AK22" s="401"/>
      <c r="AL22" s="471"/>
      <c r="AM22" s="401">
        <v>212.2</v>
      </c>
      <c r="AN22" s="476">
        <f t="shared" si="3"/>
        <v>133</v>
      </c>
      <c r="AO22" s="478">
        <f t="shared" si="3"/>
        <v>39775.799999999996</v>
      </c>
    </row>
    <row r="23" spans="1:41" ht="21">
      <c r="A23" s="10" t="s">
        <v>28</v>
      </c>
      <c r="B23" s="468">
        <v>2</v>
      </c>
      <c r="C23" s="1196">
        <v>256.1</v>
      </c>
      <c r="D23" s="468"/>
      <c r="E23" s="1196"/>
      <c r="F23" s="468"/>
      <c r="G23" s="466"/>
      <c r="H23" s="471"/>
      <c r="I23" s="401"/>
      <c r="J23" s="471"/>
      <c r="K23" s="401"/>
      <c r="L23" s="471">
        <v>2</v>
      </c>
      <c r="M23" s="401">
        <v>223.2</v>
      </c>
      <c r="N23" s="471"/>
      <c r="O23" s="401"/>
      <c r="P23" s="471"/>
      <c r="Q23" s="466"/>
      <c r="R23" s="471"/>
      <c r="S23" s="401"/>
      <c r="T23" s="471"/>
      <c r="U23" s="401"/>
      <c r="V23" s="471"/>
      <c r="W23" s="401"/>
      <c r="X23" s="468">
        <v>1</v>
      </c>
      <c r="Y23" s="466">
        <v>43.4</v>
      </c>
      <c r="Z23" s="468"/>
      <c r="AA23" s="466"/>
      <c r="AB23" s="468"/>
      <c r="AC23" s="466"/>
      <c r="AD23" s="471"/>
      <c r="AE23" s="401"/>
      <c r="AF23" s="471"/>
      <c r="AG23" s="401"/>
      <c r="AH23" s="471"/>
      <c r="AI23" s="401"/>
      <c r="AJ23" s="471"/>
      <c r="AK23" s="401"/>
      <c r="AL23" s="471"/>
      <c r="AM23" s="401"/>
      <c r="AN23" s="476">
        <f t="shared" si="3"/>
        <v>5</v>
      </c>
      <c r="AO23" s="478">
        <f t="shared" si="3"/>
        <v>522.7</v>
      </c>
    </row>
    <row r="24" spans="1:41" ht="21">
      <c r="A24" s="10" t="s">
        <v>29</v>
      </c>
      <c r="B24" s="468">
        <v>2</v>
      </c>
      <c r="C24" s="1196">
        <v>260.4</v>
      </c>
      <c r="D24" s="468"/>
      <c r="E24" s="1196"/>
      <c r="F24" s="468"/>
      <c r="G24" s="466"/>
      <c r="H24" s="471"/>
      <c r="I24" s="401"/>
      <c r="J24" s="471"/>
      <c r="K24" s="401"/>
      <c r="L24" s="471"/>
      <c r="M24" s="401"/>
      <c r="N24" s="471"/>
      <c r="O24" s="401"/>
      <c r="P24" s="471"/>
      <c r="Q24" s="466"/>
      <c r="R24" s="471"/>
      <c r="S24" s="401"/>
      <c r="T24" s="471"/>
      <c r="U24" s="401"/>
      <c r="V24" s="471"/>
      <c r="W24" s="401"/>
      <c r="X24" s="468">
        <f>1+1</f>
        <v>2</v>
      </c>
      <c r="Y24" s="466">
        <f>82.8+44</f>
        <v>126.8</v>
      </c>
      <c r="Z24" s="468">
        <v>1</v>
      </c>
      <c r="AA24" s="466">
        <v>101.7</v>
      </c>
      <c r="AB24" s="468"/>
      <c r="AC24" s="466"/>
      <c r="AD24" s="471"/>
      <c r="AE24" s="401"/>
      <c r="AF24" s="471"/>
      <c r="AG24" s="401"/>
      <c r="AH24" s="471"/>
      <c r="AI24" s="401"/>
      <c r="AJ24" s="471"/>
      <c r="AK24" s="401"/>
      <c r="AL24" s="471"/>
      <c r="AM24" s="401"/>
      <c r="AN24" s="476">
        <f t="shared" si="3"/>
        <v>5</v>
      </c>
      <c r="AO24" s="478">
        <f t="shared" si="3"/>
        <v>488.9</v>
      </c>
    </row>
    <row r="25" spans="1:41" ht="21">
      <c r="A25" s="10" t="s">
        <v>30</v>
      </c>
      <c r="B25" s="468">
        <f>9+3</f>
        <v>12</v>
      </c>
      <c r="C25" s="1196">
        <f>239.4+471.5</f>
        <v>710.9</v>
      </c>
      <c r="D25" s="468"/>
      <c r="E25" s="1196"/>
      <c r="F25" s="468"/>
      <c r="G25" s="466"/>
      <c r="H25" s="471"/>
      <c r="I25" s="401"/>
      <c r="J25" s="471"/>
      <c r="K25" s="401"/>
      <c r="L25" s="471"/>
      <c r="M25" s="401"/>
      <c r="N25" s="471"/>
      <c r="O25" s="401"/>
      <c r="P25" s="471"/>
      <c r="Q25" s="466"/>
      <c r="R25" s="471"/>
      <c r="S25" s="401"/>
      <c r="T25" s="471"/>
      <c r="U25" s="401"/>
      <c r="V25" s="471">
        <v>2</v>
      </c>
      <c r="W25" s="401">
        <v>177.2</v>
      </c>
      <c r="X25" s="468">
        <v>2</v>
      </c>
      <c r="Y25" s="466">
        <v>174.3</v>
      </c>
      <c r="Z25" s="468"/>
      <c r="AA25" s="466"/>
      <c r="AB25" s="468"/>
      <c r="AC25" s="466"/>
      <c r="AD25" s="471"/>
      <c r="AE25" s="401"/>
      <c r="AF25" s="471"/>
      <c r="AG25" s="401"/>
      <c r="AH25" s="471"/>
      <c r="AI25" s="401"/>
      <c r="AJ25" s="471"/>
      <c r="AK25" s="401"/>
      <c r="AL25" s="471"/>
      <c r="AM25" s="401"/>
      <c r="AN25" s="476">
        <f t="shared" si="3"/>
        <v>16</v>
      </c>
      <c r="AO25" s="478">
        <f t="shared" si="3"/>
        <v>1062.3999999999999</v>
      </c>
    </row>
    <row r="26" spans="1:41" ht="21">
      <c r="A26" s="10" t="s">
        <v>31</v>
      </c>
      <c r="B26" s="468">
        <v>4</v>
      </c>
      <c r="C26" s="1196">
        <f>170.2+484.1</f>
        <v>654.3</v>
      </c>
      <c r="D26" s="468"/>
      <c r="E26" s="1196"/>
      <c r="F26" s="468"/>
      <c r="G26" s="466"/>
      <c r="H26" s="471"/>
      <c r="I26" s="401"/>
      <c r="J26" s="471"/>
      <c r="K26" s="401"/>
      <c r="L26" s="471"/>
      <c r="M26" s="401"/>
      <c r="N26" s="471"/>
      <c r="O26" s="401"/>
      <c r="P26" s="471"/>
      <c r="Q26" s="466"/>
      <c r="R26" s="471"/>
      <c r="S26" s="401"/>
      <c r="T26" s="471"/>
      <c r="U26" s="401"/>
      <c r="V26" s="471">
        <f>1+1</f>
        <v>2</v>
      </c>
      <c r="W26" s="401">
        <f>143.6+57.9</f>
        <v>201.5</v>
      </c>
      <c r="X26" s="468">
        <v>3</v>
      </c>
      <c r="Y26" s="466">
        <f>248.9+201.1</f>
        <v>450</v>
      </c>
      <c r="Z26" s="468">
        <v>3</v>
      </c>
      <c r="AA26" s="466">
        <f>806+304.2</f>
        <v>1110.2</v>
      </c>
      <c r="AB26" s="468">
        <v>1</v>
      </c>
      <c r="AC26" s="466">
        <v>161.6</v>
      </c>
      <c r="AD26" s="471"/>
      <c r="AE26" s="401">
        <v>407.7</v>
      </c>
      <c r="AF26" s="471"/>
      <c r="AG26" s="401"/>
      <c r="AH26" s="471"/>
      <c r="AI26" s="401"/>
      <c r="AJ26" s="471"/>
      <c r="AK26" s="401"/>
      <c r="AL26" s="471">
        <v>1</v>
      </c>
      <c r="AM26" s="401">
        <v>120.2</v>
      </c>
      <c r="AN26" s="476">
        <f t="shared" si="3"/>
        <v>14</v>
      </c>
      <c r="AO26" s="478">
        <f t="shared" si="3"/>
        <v>3105.4999999999995</v>
      </c>
    </row>
    <row r="27" spans="1:41" ht="21">
      <c r="A27" s="10" t="s">
        <v>32</v>
      </c>
      <c r="B27" s="468">
        <v>5</v>
      </c>
      <c r="C27" s="1196">
        <f>461.3+593.8</f>
        <v>1055.1</v>
      </c>
      <c r="D27" s="468"/>
      <c r="E27" s="1196"/>
      <c r="F27" s="468"/>
      <c r="G27" s="466"/>
      <c r="H27" s="471"/>
      <c r="I27" s="401"/>
      <c r="J27" s="471"/>
      <c r="K27" s="401">
        <v>254.6</v>
      </c>
      <c r="L27" s="471"/>
      <c r="M27" s="401"/>
      <c r="N27" s="471"/>
      <c r="O27" s="401"/>
      <c r="P27" s="471"/>
      <c r="Q27" s="466"/>
      <c r="R27" s="471"/>
      <c r="S27" s="401"/>
      <c r="T27" s="471"/>
      <c r="U27" s="401"/>
      <c r="V27" s="471">
        <f>2+2</f>
        <v>4</v>
      </c>
      <c r="W27" s="401">
        <f>268.4+163.4+113</f>
        <v>544.8</v>
      </c>
      <c r="X27" s="468">
        <f>2+1+1</f>
        <v>4</v>
      </c>
      <c r="Y27" s="466">
        <f>52.9+47.9+111.6+40</f>
        <v>252.39999999999998</v>
      </c>
      <c r="Z27" s="468">
        <v>1</v>
      </c>
      <c r="AA27" s="466">
        <f>376.7+133.6</f>
        <v>510.29999999999995</v>
      </c>
      <c r="AB27" s="468">
        <v>1</v>
      </c>
      <c r="AC27" s="466">
        <v>151.4</v>
      </c>
      <c r="AD27" s="471">
        <v>1</v>
      </c>
      <c r="AE27" s="401">
        <v>216</v>
      </c>
      <c r="AF27" s="471"/>
      <c r="AG27" s="401"/>
      <c r="AH27" s="471"/>
      <c r="AI27" s="401"/>
      <c r="AJ27" s="471"/>
      <c r="AK27" s="401"/>
      <c r="AL27" s="471"/>
      <c r="AM27" s="401"/>
      <c r="AN27" s="476">
        <f t="shared" si="3"/>
        <v>16</v>
      </c>
      <c r="AO27" s="478">
        <f t="shared" si="3"/>
        <v>2984.6</v>
      </c>
    </row>
    <row r="28" spans="1:41" ht="21">
      <c r="A28" s="10" t="s">
        <v>547</v>
      </c>
      <c r="B28" s="468"/>
      <c r="C28" s="1196"/>
      <c r="D28" s="468"/>
      <c r="E28" s="1196"/>
      <c r="F28" s="468"/>
      <c r="G28" s="466"/>
      <c r="H28" s="471"/>
      <c r="I28" s="401"/>
      <c r="J28" s="471"/>
      <c r="K28" s="401"/>
      <c r="L28" s="471"/>
      <c r="M28" s="401"/>
      <c r="N28" s="471"/>
      <c r="O28" s="401"/>
      <c r="P28" s="471"/>
      <c r="Q28" s="466"/>
      <c r="R28" s="471"/>
      <c r="S28" s="401"/>
      <c r="T28" s="471"/>
      <c r="U28" s="401"/>
      <c r="V28" s="471"/>
      <c r="W28" s="401"/>
      <c r="X28" s="468">
        <f>1+1</f>
        <v>2</v>
      </c>
      <c r="Y28" s="466">
        <f>66.1+40</f>
        <v>106.1</v>
      </c>
      <c r="Z28" s="468"/>
      <c r="AA28" s="466"/>
      <c r="AB28" s="468"/>
      <c r="AC28" s="466"/>
      <c r="AD28" s="471"/>
      <c r="AE28" s="401"/>
      <c r="AF28" s="471"/>
      <c r="AG28" s="401"/>
      <c r="AH28" s="471"/>
      <c r="AI28" s="401"/>
      <c r="AJ28" s="471"/>
      <c r="AK28" s="401"/>
      <c r="AL28" s="471"/>
      <c r="AM28" s="401"/>
      <c r="AN28" s="476">
        <f t="shared" si="3"/>
        <v>2</v>
      </c>
      <c r="AO28" s="478">
        <f t="shared" si="3"/>
        <v>106.1</v>
      </c>
    </row>
    <row r="29" spans="1:41" ht="21">
      <c r="A29" s="10" t="s">
        <v>33</v>
      </c>
      <c r="B29" s="468">
        <v>4</v>
      </c>
      <c r="C29" s="1196">
        <f>50.2+387</f>
        <v>437.2</v>
      </c>
      <c r="D29" s="468"/>
      <c r="E29" s="1196"/>
      <c r="F29" s="468"/>
      <c r="G29" s="466"/>
      <c r="H29" s="471"/>
      <c r="I29" s="401"/>
      <c r="J29" s="471"/>
      <c r="K29" s="401">
        <v>301.7</v>
      </c>
      <c r="L29" s="471">
        <v>2</v>
      </c>
      <c r="M29" s="401">
        <v>245.2</v>
      </c>
      <c r="N29" s="471"/>
      <c r="O29" s="401"/>
      <c r="P29" s="471"/>
      <c r="Q29" s="466"/>
      <c r="R29" s="471"/>
      <c r="S29" s="401"/>
      <c r="T29" s="471"/>
      <c r="U29" s="401"/>
      <c r="V29" s="471">
        <f>1+1</f>
        <v>2</v>
      </c>
      <c r="W29" s="401">
        <f>75.9+56.5</f>
        <v>132.4</v>
      </c>
      <c r="X29" s="468">
        <v>1</v>
      </c>
      <c r="Y29" s="466">
        <v>81.9</v>
      </c>
      <c r="Z29" s="468"/>
      <c r="AA29" s="466">
        <v>1361.6</v>
      </c>
      <c r="AB29" s="468"/>
      <c r="AC29" s="466"/>
      <c r="AD29" s="471">
        <v>1</v>
      </c>
      <c r="AE29" s="401">
        <v>217.1</v>
      </c>
      <c r="AF29" s="471"/>
      <c r="AG29" s="401"/>
      <c r="AH29" s="471"/>
      <c r="AI29" s="401"/>
      <c r="AJ29" s="471"/>
      <c r="AK29" s="401"/>
      <c r="AL29" s="471"/>
      <c r="AM29" s="401"/>
      <c r="AN29" s="476">
        <f t="shared" si="3"/>
        <v>10</v>
      </c>
      <c r="AO29" s="478">
        <f t="shared" si="3"/>
        <v>2777.1</v>
      </c>
    </row>
    <row r="30" spans="1:41" ht="21">
      <c r="A30" s="10" t="s">
        <v>297</v>
      </c>
      <c r="B30" s="468">
        <v>6</v>
      </c>
      <c r="C30" s="1196">
        <v>625.2</v>
      </c>
      <c r="D30" s="468"/>
      <c r="E30" s="1196"/>
      <c r="F30" s="468"/>
      <c r="G30" s="466"/>
      <c r="H30" s="471"/>
      <c r="I30" s="401"/>
      <c r="J30" s="471"/>
      <c r="K30" s="401"/>
      <c r="L30" s="471"/>
      <c r="M30" s="401"/>
      <c r="N30" s="471"/>
      <c r="O30" s="401"/>
      <c r="P30" s="471"/>
      <c r="Q30" s="466"/>
      <c r="R30" s="471"/>
      <c r="S30" s="401"/>
      <c r="T30" s="471"/>
      <c r="U30" s="401"/>
      <c r="V30" s="471"/>
      <c r="W30" s="401"/>
      <c r="X30" s="468">
        <v>2</v>
      </c>
      <c r="Y30" s="466">
        <v>168.6</v>
      </c>
      <c r="Z30" s="468"/>
      <c r="AA30" s="466"/>
      <c r="AB30" s="468"/>
      <c r="AC30" s="466"/>
      <c r="AD30" s="471"/>
      <c r="AE30" s="401"/>
      <c r="AF30" s="471"/>
      <c r="AG30" s="401"/>
      <c r="AH30" s="471"/>
      <c r="AI30" s="401"/>
      <c r="AJ30" s="471"/>
      <c r="AK30" s="401"/>
      <c r="AL30" s="471"/>
      <c r="AM30" s="401"/>
      <c r="AN30" s="476">
        <f t="shared" si="3"/>
        <v>8</v>
      </c>
      <c r="AO30" s="478">
        <f t="shared" si="3"/>
        <v>793.8000000000001</v>
      </c>
    </row>
    <row r="31" spans="1:41" ht="21">
      <c r="A31" s="10" t="s">
        <v>34</v>
      </c>
      <c r="B31" s="468">
        <v>7</v>
      </c>
      <c r="C31" s="1196">
        <f>1590.7+724.6</f>
        <v>2315.3</v>
      </c>
      <c r="D31" s="468"/>
      <c r="E31" s="1196"/>
      <c r="F31" s="468" t="s">
        <v>115</v>
      </c>
      <c r="G31" s="466"/>
      <c r="H31" s="471"/>
      <c r="I31" s="401"/>
      <c r="J31" s="471"/>
      <c r="K31" s="401"/>
      <c r="L31" s="471">
        <v>3</v>
      </c>
      <c r="M31" s="401">
        <v>265.8</v>
      </c>
      <c r="N31" s="471"/>
      <c r="O31" s="401"/>
      <c r="P31" s="471"/>
      <c r="Q31" s="466"/>
      <c r="R31" s="471"/>
      <c r="S31" s="401"/>
      <c r="T31" s="471"/>
      <c r="U31" s="401"/>
      <c r="V31" s="471">
        <f>3+1</f>
        <v>4</v>
      </c>
      <c r="W31" s="401">
        <f>1071.8+252.1+59.4</f>
        <v>1383.3</v>
      </c>
      <c r="X31" s="468">
        <f>1+1</f>
        <v>2</v>
      </c>
      <c r="Y31" s="466">
        <f>48.9+201.1+476.3+106.4</f>
        <v>832.6999999999999</v>
      </c>
      <c r="Z31" s="468">
        <f>1+5</f>
        <v>6</v>
      </c>
      <c r="AA31" s="466">
        <f>57.3+498.9</f>
        <v>556.1999999999999</v>
      </c>
      <c r="AB31" s="468">
        <v>1</v>
      </c>
      <c r="AC31" s="466">
        <v>148.5</v>
      </c>
      <c r="AD31" s="471">
        <v>1</v>
      </c>
      <c r="AE31" s="401">
        <v>215</v>
      </c>
      <c r="AF31" s="471"/>
      <c r="AG31" s="401"/>
      <c r="AH31" s="471"/>
      <c r="AI31" s="401"/>
      <c r="AJ31" s="471"/>
      <c r="AK31" s="401"/>
      <c r="AL31" s="471"/>
      <c r="AM31" s="401"/>
      <c r="AN31" s="476">
        <f t="shared" si="3"/>
        <v>24</v>
      </c>
      <c r="AO31" s="478">
        <f t="shared" si="3"/>
        <v>5716.8</v>
      </c>
    </row>
    <row r="32" spans="1:41" ht="21">
      <c r="A32" s="10" t="s">
        <v>299</v>
      </c>
      <c r="B32" s="468"/>
      <c r="C32" s="1196"/>
      <c r="D32" s="468"/>
      <c r="E32" s="1196"/>
      <c r="F32" s="468"/>
      <c r="G32" s="466"/>
      <c r="H32" s="471"/>
      <c r="I32" s="401"/>
      <c r="J32" s="471"/>
      <c r="K32" s="401"/>
      <c r="L32" s="471"/>
      <c r="M32" s="401"/>
      <c r="N32" s="471"/>
      <c r="O32" s="401"/>
      <c r="P32" s="471"/>
      <c r="Q32" s="466"/>
      <c r="R32" s="471"/>
      <c r="S32" s="401"/>
      <c r="T32" s="471"/>
      <c r="U32" s="401"/>
      <c r="V32" s="471"/>
      <c r="W32" s="401"/>
      <c r="X32" s="468">
        <v>1</v>
      </c>
      <c r="Y32" s="466">
        <v>51.9</v>
      </c>
      <c r="Z32" s="468"/>
      <c r="AA32" s="466"/>
      <c r="AB32" s="468"/>
      <c r="AC32" s="466"/>
      <c r="AD32" s="471"/>
      <c r="AE32" s="401"/>
      <c r="AF32" s="471"/>
      <c r="AG32" s="401"/>
      <c r="AH32" s="471"/>
      <c r="AI32" s="401"/>
      <c r="AJ32" s="471"/>
      <c r="AK32" s="401"/>
      <c r="AL32" s="471"/>
      <c r="AM32" s="401"/>
      <c r="AN32" s="476">
        <f t="shared" si="3"/>
        <v>1</v>
      </c>
      <c r="AO32" s="478">
        <f t="shared" si="3"/>
        <v>51.9</v>
      </c>
    </row>
    <row r="33" spans="1:41" ht="21">
      <c r="A33" s="10" t="s">
        <v>573</v>
      </c>
      <c r="B33" s="468"/>
      <c r="C33" s="1196"/>
      <c r="D33" s="468"/>
      <c r="E33" s="1196"/>
      <c r="F33" s="468"/>
      <c r="G33" s="466"/>
      <c r="H33" s="471"/>
      <c r="I33" s="401"/>
      <c r="J33" s="471"/>
      <c r="K33" s="401"/>
      <c r="L33" s="471"/>
      <c r="M33" s="401"/>
      <c r="N33" s="471"/>
      <c r="O33" s="401"/>
      <c r="P33" s="471"/>
      <c r="Q33" s="466"/>
      <c r="R33" s="471"/>
      <c r="S33" s="401"/>
      <c r="T33" s="471"/>
      <c r="U33" s="401"/>
      <c r="V33" s="471"/>
      <c r="W33" s="401"/>
      <c r="X33" s="468">
        <v>1</v>
      </c>
      <c r="Y33" s="466">
        <v>180.8</v>
      </c>
      <c r="Z33" s="468"/>
      <c r="AA33" s="466"/>
      <c r="AB33" s="468"/>
      <c r="AC33" s="466"/>
      <c r="AD33" s="471"/>
      <c r="AE33" s="401"/>
      <c r="AF33" s="471"/>
      <c r="AG33" s="401"/>
      <c r="AH33" s="471"/>
      <c r="AI33" s="401"/>
      <c r="AJ33" s="471"/>
      <c r="AK33" s="401"/>
      <c r="AL33" s="471"/>
      <c r="AM33" s="401"/>
      <c r="AN33" s="476">
        <f t="shared" si="3"/>
        <v>1</v>
      </c>
      <c r="AO33" s="478">
        <f t="shared" si="3"/>
        <v>180.8</v>
      </c>
    </row>
    <row r="34" spans="1:41" ht="21">
      <c r="A34" s="16" t="s">
        <v>574</v>
      </c>
      <c r="B34" s="469"/>
      <c r="C34" s="1197"/>
      <c r="D34" s="469"/>
      <c r="E34" s="1197"/>
      <c r="F34" s="469"/>
      <c r="G34" s="467"/>
      <c r="H34" s="472"/>
      <c r="I34" s="473"/>
      <c r="J34" s="472"/>
      <c r="K34" s="473"/>
      <c r="L34" s="472"/>
      <c r="M34" s="473"/>
      <c r="N34" s="472"/>
      <c r="O34" s="473"/>
      <c r="P34" s="472"/>
      <c r="Q34" s="467"/>
      <c r="R34" s="472"/>
      <c r="S34" s="473"/>
      <c r="T34" s="472"/>
      <c r="U34" s="473"/>
      <c r="V34" s="472"/>
      <c r="W34" s="473"/>
      <c r="X34" s="469">
        <v>1</v>
      </c>
      <c r="Y34" s="467">
        <v>85.8</v>
      </c>
      <c r="Z34" s="469"/>
      <c r="AA34" s="467"/>
      <c r="AB34" s="469"/>
      <c r="AC34" s="467"/>
      <c r="AD34" s="472"/>
      <c r="AE34" s="473"/>
      <c r="AF34" s="472"/>
      <c r="AG34" s="473"/>
      <c r="AH34" s="472"/>
      <c r="AI34" s="473"/>
      <c r="AJ34" s="472"/>
      <c r="AK34" s="473"/>
      <c r="AL34" s="472"/>
      <c r="AM34" s="473"/>
      <c r="AN34" s="477">
        <f t="shared" si="3"/>
        <v>1</v>
      </c>
      <c r="AO34" s="479">
        <f t="shared" si="3"/>
        <v>85.8</v>
      </c>
    </row>
    <row r="35" spans="1:41" ht="21">
      <c r="A35" s="481" t="s">
        <v>35</v>
      </c>
      <c r="B35" s="519"/>
      <c r="C35" s="747"/>
      <c r="D35" s="519"/>
      <c r="E35" s="747"/>
      <c r="F35" s="519"/>
      <c r="G35" s="520"/>
      <c r="H35" s="521"/>
      <c r="I35" s="522"/>
      <c r="J35" s="521"/>
      <c r="K35" s="522"/>
      <c r="L35" s="521"/>
      <c r="M35" s="522"/>
      <c r="N35" s="521"/>
      <c r="O35" s="522"/>
      <c r="P35" s="521"/>
      <c r="Q35" s="520"/>
      <c r="R35" s="521"/>
      <c r="S35" s="522"/>
      <c r="T35" s="521"/>
      <c r="U35" s="522"/>
      <c r="V35" s="521"/>
      <c r="W35" s="522"/>
      <c r="X35" s="521"/>
      <c r="Y35" s="522"/>
      <c r="Z35" s="519"/>
      <c r="AA35" s="520"/>
      <c r="AB35" s="519"/>
      <c r="AC35" s="520"/>
      <c r="AD35" s="519"/>
      <c r="AE35" s="520"/>
      <c r="AF35" s="519"/>
      <c r="AG35" s="520"/>
      <c r="AH35" s="519"/>
      <c r="AI35" s="520"/>
      <c r="AJ35" s="519"/>
      <c r="AK35" s="520"/>
      <c r="AL35" s="519"/>
      <c r="AM35" s="520"/>
      <c r="AN35" s="523"/>
      <c r="AO35" s="524"/>
    </row>
    <row r="36" spans="1:41" ht="21">
      <c r="A36" s="10" t="s">
        <v>214</v>
      </c>
      <c r="B36" s="468"/>
      <c r="C36" s="1196"/>
      <c r="D36" s="468"/>
      <c r="E36" s="1196"/>
      <c r="F36" s="468"/>
      <c r="G36" s="466"/>
      <c r="H36" s="471"/>
      <c r="I36" s="401"/>
      <c r="J36" s="471"/>
      <c r="K36" s="401"/>
      <c r="L36" s="471"/>
      <c r="M36" s="401"/>
      <c r="N36" s="471"/>
      <c r="O36" s="401"/>
      <c r="P36" s="471"/>
      <c r="Q36" s="466"/>
      <c r="R36" s="471"/>
      <c r="S36" s="401"/>
      <c r="T36" s="471"/>
      <c r="U36" s="401"/>
      <c r="V36" s="471"/>
      <c r="W36" s="401"/>
      <c r="X36" s="468">
        <v>1</v>
      </c>
      <c r="Y36" s="466">
        <v>208.5</v>
      </c>
      <c r="Z36" s="468">
        <v>1</v>
      </c>
      <c r="AA36" s="466">
        <v>139.1</v>
      </c>
      <c r="AB36" s="468"/>
      <c r="AC36" s="466"/>
      <c r="AD36" s="471"/>
      <c r="AE36" s="401"/>
      <c r="AF36" s="471"/>
      <c r="AG36" s="401"/>
      <c r="AH36" s="471"/>
      <c r="AI36" s="401"/>
      <c r="AJ36" s="471"/>
      <c r="AK36" s="401"/>
      <c r="AL36" s="471"/>
      <c r="AM36" s="401"/>
      <c r="AN36" s="476">
        <f aca="true" t="shared" si="4" ref="AN36:AO43">SUM(B36,D36,F36,H36,J36,L36,N36,P36,R36,T36,V36,Z36,X36,AB36,AD36,AF36,AH36,AL36)</f>
        <v>2</v>
      </c>
      <c r="AO36" s="478">
        <f t="shared" si="4"/>
        <v>347.6</v>
      </c>
    </row>
    <row r="37" spans="1:41" ht="21">
      <c r="A37" s="10" t="s">
        <v>153</v>
      </c>
      <c r="B37" s="468">
        <v>1</v>
      </c>
      <c r="C37" s="1196">
        <v>154.9</v>
      </c>
      <c r="D37" s="468"/>
      <c r="E37" s="1196"/>
      <c r="F37" s="468"/>
      <c r="G37" s="466"/>
      <c r="H37" s="471"/>
      <c r="I37" s="401"/>
      <c r="J37" s="471"/>
      <c r="K37" s="401"/>
      <c r="L37" s="471"/>
      <c r="M37" s="401"/>
      <c r="N37" s="471"/>
      <c r="O37" s="401"/>
      <c r="P37" s="471"/>
      <c r="Q37" s="466"/>
      <c r="R37" s="471"/>
      <c r="S37" s="401"/>
      <c r="T37" s="471"/>
      <c r="U37" s="401"/>
      <c r="V37" s="471">
        <f>2+2</f>
        <v>4</v>
      </c>
      <c r="W37" s="401">
        <f>329.9+113.6</f>
        <v>443.5</v>
      </c>
      <c r="X37" s="468">
        <f>1+1</f>
        <v>2</v>
      </c>
      <c r="Y37" s="466">
        <f>175.6+487.1+42</f>
        <v>704.7</v>
      </c>
      <c r="Z37" s="468">
        <v>1</v>
      </c>
      <c r="AA37" s="466">
        <f>1027.9+168.4</f>
        <v>1196.3000000000002</v>
      </c>
      <c r="AB37" s="468"/>
      <c r="AC37" s="466"/>
      <c r="AD37" s="471"/>
      <c r="AE37" s="401"/>
      <c r="AF37" s="471"/>
      <c r="AG37" s="401"/>
      <c r="AH37" s="471"/>
      <c r="AI37" s="401"/>
      <c r="AJ37" s="471"/>
      <c r="AK37" s="401"/>
      <c r="AL37" s="471"/>
      <c r="AM37" s="401"/>
      <c r="AN37" s="476">
        <f t="shared" si="4"/>
        <v>8</v>
      </c>
      <c r="AO37" s="478">
        <f t="shared" si="4"/>
        <v>2499.4000000000005</v>
      </c>
    </row>
    <row r="38" spans="1:41" ht="21">
      <c r="A38" s="10" t="s">
        <v>568</v>
      </c>
      <c r="B38" s="468"/>
      <c r="C38" s="1196"/>
      <c r="D38" s="468"/>
      <c r="E38" s="1196"/>
      <c r="F38" s="468"/>
      <c r="G38" s="466"/>
      <c r="H38" s="471"/>
      <c r="I38" s="401"/>
      <c r="J38" s="471"/>
      <c r="K38" s="401"/>
      <c r="L38" s="471"/>
      <c r="M38" s="401"/>
      <c r="N38" s="471"/>
      <c r="O38" s="401"/>
      <c r="P38" s="471"/>
      <c r="Q38" s="466"/>
      <c r="R38" s="471"/>
      <c r="S38" s="401"/>
      <c r="T38" s="471"/>
      <c r="U38" s="401"/>
      <c r="V38" s="471"/>
      <c r="W38" s="401"/>
      <c r="X38" s="468">
        <v>1</v>
      </c>
      <c r="Y38" s="466">
        <v>236.1</v>
      </c>
      <c r="Z38" s="468"/>
      <c r="AA38" s="466"/>
      <c r="AB38" s="468"/>
      <c r="AC38" s="466"/>
      <c r="AD38" s="471"/>
      <c r="AE38" s="401"/>
      <c r="AF38" s="471"/>
      <c r="AG38" s="401"/>
      <c r="AH38" s="471"/>
      <c r="AI38" s="401"/>
      <c r="AJ38" s="471"/>
      <c r="AK38" s="401"/>
      <c r="AL38" s="471"/>
      <c r="AM38" s="401"/>
      <c r="AN38" s="476">
        <f t="shared" si="4"/>
        <v>1</v>
      </c>
      <c r="AO38" s="478">
        <f t="shared" si="4"/>
        <v>236.1</v>
      </c>
    </row>
    <row r="39" spans="1:41" ht="21">
      <c r="A39" s="10" t="s">
        <v>534</v>
      </c>
      <c r="B39" s="468"/>
      <c r="C39" s="1196"/>
      <c r="D39" s="468"/>
      <c r="E39" s="1196"/>
      <c r="F39" s="468"/>
      <c r="G39" s="466"/>
      <c r="H39" s="471"/>
      <c r="I39" s="401"/>
      <c r="J39" s="471"/>
      <c r="K39" s="401"/>
      <c r="L39" s="471"/>
      <c r="M39" s="401"/>
      <c r="N39" s="471"/>
      <c r="O39" s="401"/>
      <c r="P39" s="471"/>
      <c r="Q39" s="466"/>
      <c r="R39" s="471"/>
      <c r="S39" s="401"/>
      <c r="T39" s="471"/>
      <c r="U39" s="401"/>
      <c r="V39" s="471"/>
      <c r="W39" s="401"/>
      <c r="X39" s="468"/>
      <c r="Y39" s="466">
        <v>419.6</v>
      </c>
      <c r="Z39" s="468"/>
      <c r="AA39" s="466"/>
      <c r="AB39" s="468"/>
      <c r="AC39" s="466"/>
      <c r="AD39" s="471"/>
      <c r="AE39" s="401"/>
      <c r="AF39" s="471"/>
      <c r="AG39" s="401"/>
      <c r="AH39" s="471"/>
      <c r="AI39" s="401"/>
      <c r="AJ39" s="471"/>
      <c r="AK39" s="401"/>
      <c r="AL39" s="471"/>
      <c r="AM39" s="401"/>
      <c r="AN39" s="476">
        <f>SUM(B39,D39,F39,H39,J39,L39,N39,P39,R39,T39,V39,Z39,X39,AB39,AD39,AF39,AH39,AL39)</f>
        <v>0</v>
      </c>
      <c r="AO39" s="478">
        <f>SUM(C39,E39,G39,I39,K39,M39,O39,Q39,S39,U39,W39,AA39,Y39,AC39,AE39,AG39,AI39,AM39)</f>
        <v>419.6</v>
      </c>
    </row>
    <row r="40" spans="1:41" ht="21">
      <c r="A40" s="10" t="s">
        <v>374</v>
      </c>
      <c r="B40" s="468">
        <v>2</v>
      </c>
      <c r="C40" s="1196">
        <v>345.3</v>
      </c>
      <c r="D40" s="468"/>
      <c r="E40" s="1196"/>
      <c r="F40" s="468"/>
      <c r="G40" s="466"/>
      <c r="H40" s="471"/>
      <c r="I40" s="401"/>
      <c r="J40" s="471"/>
      <c r="K40" s="401"/>
      <c r="L40" s="471"/>
      <c r="M40" s="401"/>
      <c r="N40" s="471"/>
      <c r="O40" s="401"/>
      <c r="P40" s="471"/>
      <c r="Q40" s="466"/>
      <c r="R40" s="471"/>
      <c r="S40" s="401"/>
      <c r="T40" s="471"/>
      <c r="U40" s="401"/>
      <c r="V40" s="471"/>
      <c r="W40" s="401"/>
      <c r="X40" s="468">
        <f>1+1</f>
        <v>2</v>
      </c>
      <c r="Y40" s="466">
        <f>196.3+40</f>
        <v>236.3</v>
      </c>
      <c r="Z40" s="468"/>
      <c r="AA40" s="466"/>
      <c r="AB40" s="468"/>
      <c r="AC40" s="466"/>
      <c r="AD40" s="471"/>
      <c r="AE40" s="401"/>
      <c r="AF40" s="471"/>
      <c r="AG40" s="401"/>
      <c r="AH40" s="471"/>
      <c r="AI40" s="401"/>
      <c r="AJ40" s="471"/>
      <c r="AK40" s="401"/>
      <c r="AL40" s="471"/>
      <c r="AM40" s="401"/>
      <c r="AN40" s="476">
        <f t="shared" si="4"/>
        <v>4</v>
      </c>
      <c r="AO40" s="478">
        <f t="shared" si="4"/>
        <v>581.6</v>
      </c>
    </row>
    <row r="41" spans="1:41" ht="21">
      <c r="A41" s="10" t="s">
        <v>172</v>
      </c>
      <c r="B41" s="468"/>
      <c r="C41" s="1196"/>
      <c r="D41" s="468"/>
      <c r="E41" s="1196"/>
      <c r="F41" s="468"/>
      <c r="G41" s="466"/>
      <c r="H41" s="471"/>
      <c r="I41" s="401"/>
      <c r="J41" s="471"/>
      <c r="K41" s="401"/>
      <c r="L41" s="471"/>
      <c r="M41" s="401"/>
      <c r="N41" s="471"/>
      <c r="O41" s="401"/>
      <c r="P41" s="471"/>
      <c r="Q41" s="466"/>
      <c r="R41" s="471"/>
      <c r="S41" s="401"/>
      <c r="T41" s="471"/>
      <c r="U41" s="401"/>
      <c r="V41" s="471"/>
      <c r="W41" s="401"/>
      <c r="X41" s="468">
        <v>1</v>
      </c>
      <c r="Y41" s="466">
        <v>156.2</v>
      </c>
      <c r="Z41" s="468"/>
      <c r="AA41" s="466"/>
      <c r="AB41" s="468"/>
      <c r="AC41" s="466"/>
      <c r="AD41" s="471"/>
      <c r="AE41" s="401"/>
      <c r="AF41" s="471"/>
      <c r="AG41" s="401"/>
      <c r="AH41" s="471"/>
      <c r="AI41" s="401"/>
      <c r="AJ41" s="471"/>
      <c r="AK41" s="401"/>
      <c r="AL41" s="471"/>
      <c r="AM41" s="401"/>
      <c r="AN41" s="476">
        <f t="shared" si="4"/>
        <v>1</v>
      </c>
      <c r="AO41" s="478">
        <f t="shared" si="4"/>
        <v>156.2</v>
      </c>
    </row>
    <row r="42" spans="1:41" ht="21">
      <c r="A42" s="10" t="s">
        <v>548</v>
      </c>
      <c r="B42" s="468"/>
      <c r="C42" s="1196"/>
      <c r="D42" s="468"/>
      <c r="E42" s="1196"/>
      <c r="F42" s="468"/>
      <c r="G42" s="466"/>
      <c r="H42" s="471"/>
      <c r="I42" s="401"/>
      <c r="J42" s="471"/>
      <c r="K42" s="401"/>
      <c r="L42" s="471"/>
      <c r="M42" s="401"/>
      <c r="N42" s="471"/>
      <c r="O42" s="401"/>
      <c r="P42" s="471"/>
      <c r="Q42" s="466"/>
      <c r="R42" s="471"/>
      <c r="S42" s="401"/>
      <c r="T42" s="471"/>
      <c r="U42" s="401"/>
      <c r="V42" s="471"/>
      <c r="W42" s="401"/>
      <c r="X42" s="468">
        <v>1</v>
      </c>
      <c r="Y42" s="466">
        <v>44</v>
      </c>
      <c r="Z42" s="468"/>
      <c r="AA42" s="466"/>
      <c r="AB42" s="468"/>
      <c r="AC42" s="466"/>
      <c r="AD42" s="471"/>
      <c r="AE42" s="401"/>
      <c r="AF42" s="471"/>
      <c r="AG42" s="401"/>
      <c r="AH42" s="471"/>
      <c r="AI42" s="401"/>
      <c r="AJ42" s="471"/>
      <c r="AK42" s="401"/>
      <c r="AL42" s="471"/>
      <c r="AM42" s="401"/>
      <c r="AN42" s="476">
        <f t="shared" si="4"/>
        <v>1</v>
      </c>
      <c r="AO42" s="478">
        <f t="shared" si="4"/>
        <v>44</v>
      </c>
    </row>
    <row r="43" spans="1:41" ht="21">
      <c r="A43" s="16" t="s">
        <v>572</v>
      </c>
      <c r="B43" s="469"/>
      <c r="C43" s="1197"/>
      <c r="D43" s="469"/>
      <c r="E43" s="1197"/>
      <c r="F43" s="469"/>
      <c r="G43" s="467"/>
      <c r="H43" s="472"/>
      <c r="I43" s="473"/>
      <c r="J43" s="472"/>
      <c r="K43" s="473"/>
      <c r="L43" s="472"/>
      <c r="M43" s="473"/>
      <c r="N43" s="472"/>
      <c r="O43" s="473"/>
      <c r="P43" s="472"/>
      <c r="Q43" s="467"/>
      <c r="R43" s="472"/>
      <c r="S43" s="473"/>
      <c r="T43" s="472"/>
      <c r="U43" s="473"/>
      <c r="V43" s="472"/>
      <c r="W43" s="473"/>
      <c r="X43" s="469">
        <v>1</v>
      </c>
      <c r="Y43" s="467">
        <v>167</v>
      </c>
      <c r="Z43" s="469"/>
      <c r="AA43" s="467"/>
      <c r="AB43" s="469"/>
      <c r="AC43" s="467"/>
      <c r="AD43" s="472"/>
      <c r="AE43" s="473"/>
      <c r="AF43" s="472"/>
      <c r="AG43" s="473"/>
      <c r="AH43" s="472"/>
      <c r="AI43" s="473"/>
      <c r="AJ43" s="472"/>
      <c r="AK43" s="473"/>
      <c r="AL43" s="472"/>
      <c r="AM43" s="473"/>
      <c r="AN43" s="477">
        <f t="shared" si="4"/>
        <v>1</v>
      </c>
      <c r="AO43" s="479">
        <f t="shared" si="4"/>
        <v>167</v>
      </c>
    </row>
    <row r="44" spans="1:41" ht="21">
      <c r="A44" s="481" t="s">
        <v>69</v>
      </c>
      <c r="B44" s="519"/>
      <c r="C44" s="747"/>
      <c r="D44" s="519"/>
      <c r="E44" s="747"/>
      <c r="F44" s="519"/>
      <c r="G44" s="520"/>
      <c r="H44" s="521"/>
      <c r="I44" s="522"/>
      <c r="J44" s="521"/>
      <c r="K44" s="522"/>
      <c r="L44" s="521"/>
      <c r="M44" s="522"/>
      <c r="N44" s="521"/>
      <c r="O44" s="522"/>
      <c r="P44" s="521"/>
      <c r="Q44" s="520"/>
      <c r="R44" s="521"/>
      <c r="S44" s="522"/>
      <c r="T44" s="521"/>
      <c r="U44" s="522"/>
      <c r="V44" s="521"/>
      <c r="W44" s="522"/>
      <c r="X44" s="521"/>
      <c r="Y44" s="522"/>
      <c r="Z44" s="519"/>
      <c r="AA44" s="520"/>
      <c r="AB44" s="519"/>
      <c r="AC44" s="520"/>
      <c r="AD44" s="519"/>
      <c r="AE44" s="520"/>
      <c r="AF44" s="519"/>
      <c r="AG44" s="520"/>
      <c r="AH44" s="519"/>
      <c r="AI44" s="520"/>
      <c r="AJ44" s="519"/>
      <c r="AK44" s="520"/>
      <c r="AL44" s="519"/>
      <c r="AM44" s="520"/>
      <c r="AN44" s="523"/>
      <c r="AO44" s="524"/>
    </row>
    <row r="45" spans="1:41" ht="21">
      <c r="A45" s="10" t="s">
        <v>173</v>
      </c>
      <c r="B45" s="468">
        <v>2</v>
      </c>
      <c r="C45" s="1196">
        <v>388.6</v>
      </c>
      <c r="D45" s="468"/>
      <c r="E45" s="1196">
        <v>505.3</v>
      </c>
      <c r="F45" s="468"/>
      <c r="G45" s="466"/>
      <c r="H45" s="471"/>
      <c r="I45" s="401"/>
      <c r="J45" s="471"/>
      <c r="K45" s="401"/>
      <c r="L45" s="471"/>
      <c r="M45" s="401"/>
      <c r="N45" s="471"/>
      <c r="O45" s="401"/>
      <c r="P45" s="471"/>
      <c r="Q45" s="466"/>
      <c r="R45" s="471"/>
      <c r="S45" s="401"/>
      <c r="T45" s="471"/>
      <c r="U45" s="401"/>
      <c r="V45" s="471"/>
      <c r="W45" s="401"/>
      <c r="X45" s="468"/>
      <c r="Y45" s="466"/>
      <c r="Z45" s="468"/>
      <c r="AA45" s="466"/>
      <c r="AB45" s="468"/>
      <c r="AC45" s="466">
        <v>357.2</v>
      </c>
      <c r="AD45" s="471">
        <v>1</v>
      </c>
      <c r="AE45" s="401">
        <v>229.4</v>
      </c>
      <c r="AF45" s="471"/>
      <c r="AG45" s="401"/>
      <c r="AH45" s="471"/>
      <c r="AI45" s="401">
        <v>568.2</v>
      </c>
      <c r="AJ45" s="471"/>
      <c r="AK45" s="401"/>
      <c r="AL45" s="471"/>
      <c r="AM45" s="401"/>
      <c r="AN45" s="476">
        <f aca="true" t="shared" si="5" ref="AN45:AO75">SUM(B45,D45,F45,H45,J45,L45,N45,P45,R45,T45,V45,Z45,X45,AB45,AD45,AF45,AH45,AL45)</f>
        <v>3</v>
      </c>
      <c r="AO45" s="478">
        <f t="shared" si="5"/>
        <v>2048.7000000000003</v>
      </c>
    </row>
    <row r="46" spans="1:41" ht="21">
      <c r="A46" s="10" t="s">
        <v>38</v>
      </c>
      <c r="B46" s="468"/>
      <c r="C46" s="1196"/>
      <c r="D46" s="468"/>
      <c r="E46" s="1196"/>
      <c r="F46" s="468"/>
      <c r="G46" s="466"/>
      <c r="H46" s="471"/>
      <c r="I46" s="401"/>
      <c r="J46" s="471"/>
      <c r="K46" s="401"/>
      <c r="L46" s="471"/>
      <c r="M46" s="401"/>
      <c r="N46" s="471"/>
      <c r="O46" s="401"/>
      <c r="P46" s="471"/>
      <c r="Q46" s="466"/>
      <c r="R46" s="471"/>
      <c r="S46" s="401"/>
      <c r="T46" s="471"/>
      <c r="U46" s="401"/>
      <c r="V46" s="471"/>
      <c r="W46" s="401"/>
      <c r="X46" s="468">
        <v>2</v>
      </c>
      <c r="Y46" s="466">
        <v>498.2</v>
      </c>
      <c r="Z46" s="468"/>
      <c r="AA46" s="466"/>
      <c r="AB46" s="468"/>
      <c r="AC46" s="466"/>
      <c r="AD46" s="471"/>
      <c r="AE46" s="401"/>
      <c r="AF46" s="471"/>
      <c r="AG46" s="401"/>
      <c r="AH46" s="471"/>
      <c r="AI46" s="401"/>
      <c r="AJ46" s="471"/>
      <c r="AK46" s="401"/>
      <c r="AL46" s="471"/>
      <c r="AM46" s="401"/>
      <c r="AN46" s="476">
        <f t="shared" si="5"/>
        <v>2</v>
      </c>
      <c r="AO46" s="478">
        <f t="shared" si="5"/>
        <v>498.2</v>
      </c>
    </row>
    <row r="47" spans="1:41" ht="21">
      <c r="A47" s="10" t="s">
        <v>39</v>
      </c>
      <c r="B47" s="468">
        <v>3</v>
      </c>
      <c r="C47" s="1196">
        <v>480.1</v>
      </c>
      <c r="D47" s="468"/>
      <c r="E47" s="1196"/>
      <c r="F47" s="468"/>
      <c r="G47" s="466"/>
      <c r="H47" s="471"/>
      <c r="I47" s="401"/>
      <c r="J47" s="471"/>
      <c r="K47" s="401"/>
      <c r="L47" s="471"/>
      <c r="M47" s="401"/>
      <c r="N47" s="471"/>
      <c r="O47" s="401"/>
      <c r="P47" s="471"/>
      <c r="Q47" s="466"/>
      <c r="R47" s="471"/>
      <c r="S47" s="401"/>
      <c r="T47" s="471"/>
      <c r="U47" s="401"/>
      <c r="V47" s="471"/>
      <c r="W47" s="401"/>
      <c r="X47" s="468"/>
      <c r="Y47" s="466"/>
      <c r="Z47" s="468">
        <v>1</v>
      </c>
      <c r="AA47" s="466">
        <v>128.8</v>
      </c>
      <c r="AB47" s="468"/>
      <c r="AC47" s="466"/>
      <c r="AD47" s="471"/>
      <c r="AE47" s="401"/>
      <c r="AF47" s="471"/>
      <c r="AG47" s="401"/>
      <c r="AH47" s="471"/>
      <c r="AI47" s="401"/>
      <c r="AJ47" s="471"/>
      <c r="AK47" s="401"/>
      <c r="AL47" s="471"/>
      <c r="AM47" s="401"/>
      <c r="AN47" s="476">
        <f t="shared" si="5"/>
        <v>4</v>
      </c>
      <c r="AO47" s="478">
        <f t="shared" si="5"/>
        <v>608.9000000000001</v>
      </c>
    </row>
    <row r="48" spans="1:41" ht="21">
      <c r="A48" s="10" t="s">
        <v>40</v>
      </c>
      <c r="B48" s="468">
        <v>5</v>
      </c>
      <c r="C48" s="1196">
        <v>706.5</v>
      </c>
      <c r="D48" s="468"/>
      <c r="E48" s="1196"/>
      <c r="F48" s="468"/>
      <c r="G48" s="466"/>
      <c r="H48" s="471"/>
      <c r="I48" s="401"/>
      <c r="J48" s="471"/>
      <c r="K48" s="401"/>
      <c r="L48" s="471"/>
      <c r="M48" s="401"/>
      <c r="N48" s="471"/>
      <c r="O48" s="401"/>
      <c r="P48" s="471"/>
      <c r="Q48" s="466"/>
      <c r="R48" s="471"/>
      <c r="S48" s="401"/>
      <c r="T48" s="471"/>
      <c r="U48" s="401"/>
      <c r="V48" s="471">
        <v>2</v>
      </c>
      <c r="W48" s="401">
        <v>200.4</v>
      </c>
      <c r="X48" s="468">
        <v>2</v>
      </c>
      <c r="Y48" s="466">
        <f>124.3+75.4</f>
        <v>199.7</v>
      </c>
      <c r="Z48" s="468">
        <v>2</v>
      </c>
      <c r="AA48" s="466">
        <v>260.2</v>
      </c>
      <c r="AB48" s="468"/>
      <c r="AC48" s="466"/>
      <c r="AD48" s="471"/>
      <c r="AE48" s="401"/>
      <c r="AF48" s="471"/>
      <c r="AG48" s="401"/>
      <c r="AH48" s="471"/>
      <c r="AI48" s="401"/>
      <c r="AJ48" s="471"/>
      <c r="AK48" s="401"/>
      <c r="AL48" s="471"/>
      <c r="AM48" s="401"/>
      <c r="AN48" s="476">
        <f>SUM(B48,D48,F48,H48,J48,L48,N48,P48,R48,T48,V48,Z48,X48,AB48,AD48,AF48,AH48,AL48)</f>
        <v>11</v>
      </c>
      <c r="AO48" s="478">
        <f>SUM(C48,E48,G48,I48,K48,M48,O48,Q48,S48,U48,W48,AA48,Y48,AC48,AE48,AG48,AI48,AM48)</f>
        <v>1366.8</v>
      </c>
    </row>
    <row r="49" spans="1:41" ht="21">
      <c r="A49" s="10" t="s">
        <v>284</v>
      </c>
      <c r="B49" s="468">
        <v>1</v>
      </c>
      <c r="C49" s="1196">
        <f>436.3+211.2</f>
        <v>647.5</v>
      </c>
      <c r="D49" s="468"/>
      <c r="E49" s="1196"/>
      <c r="F49" s="468"/>
      <c r="G49" s="466"/>
      <c r="H49" s="471"/>
      <c r="I49" s="401"/>
      <c r="J49" s="471"/>
      <c r="K49" s="401"/>
      <c r="L49" s="471"/>
      <c r="M49" s="401"/>
      <c r="N49" s="471"/>
      <c r="O49" s="401"/>
      <c r="P49" s="471"/>
      <c r="Q49" s="466"/>
      <c r="R49" s="471"/>
      <c r="S49" s="401"/>
      <c r="T49" s="471"/>
      <c r="U49" s="401"/>
      <c r="V49" s="471"/>
      <c r="W49" s="401"/>
      <c r="X49" s="468">
        <v>2</v>
      </c>
      <c r="Y49" s="466">
        <v>377.2</v>
      </c>
      <c r="Z49" s="468"/>
      <c r="AA49" s="466"/>
      <c r="AB49" s="468"/>
      <c r="AC49" s="466"/>
      <c r="AD49" s="471"/>
      <c r="AE49" s="401"/>
      <c r="AF49" s="471"/>
      <c r="AG49" s="401"/>
      <c r="AH49" s="471"/>
      <c r="AI49" s="401"/>
      <c r="AJ49" s="471"/>
      <c r="AK49" s="401"/>
      <c r="AL49" s="471"/>
      <c r="AM49" s="401"/>
      <c r="AN49" s="476">
        <f t="shared" si="5"/>
        <v>3</v>
      </c>
      <c r="AO49" s="478">
        <f t="shared" si="5"/>
        <v>1024.7</v>
      </c>
    </row>
    <row r="50" spans="1:41" ht="21">
      <c r="A50" s="10" t="s">
        <v>216</v>
      </c>
      <c r="B50" s="468">
        <v>2</v>
      </c>
      <c r="C50" s="1196">
        <v>233.9</v>
      </c>
      <c r="D50" s="468"/>
      <c r="E50" s="1196"/>
      <c r="F50" s="468"/>
      <c r="G50" s="466"/>
      <c r="H50" s="471"/>
      <c r="I50" s="401"/>
      <c r="J50" s="471"/>
      <c r="K50" s="401"/>
      <c r="L50" s="471"/>
      <c r="M50" s="401"/>
      <c r="N50" s="471"/>
      <c r="O50" s="401"/>
      <c r="P50" s="471"/>
      <c r="Q50" s="466"/>
      <c r="R50" s="471"/>
      <c r="S50" s="401"/>
      <c r="T50" s="471"/>
      <c r="U50" s="401"/>
      <c r="V50" s="471">
        <v>1</v>
      </c>
      <c r="W50" s="401">
        <v>91.8</v>
      </c>
      <c r="X50" s="468"/>
      <c r="Y50" s="466">
        <v>80.8</v>
      </c>
      <c r="Z50" s="468">
        <v>1</v>
      </c>
      <c r="AA50" s="466">
        <v>127.9</v>
      </c>
      <c r="AB50" s="468"/>
      <c r="AC50" s="466"/>
      <c r="AD50" s="471"/>
      <c r="AE50" s="401"/>
      <c r="AF50" s="471"/>
      <c r="AG50" s="401"/>
      <c r="AH50" s="471"/>
      <c r="AI50" s="401"/>
      <c r="AJ50" s="471"/>
      <c r="AK50" s="401"/>
      <c r="AL50" s="471"/>
      <c r="AM50" s="401"/>
      <c r="AN50" s="476">
        <f t="shared" si="5"/>
        <v>4</v>
      </c>
      <c r="AO50" s="478">
        <f t="shared" si="5"/>
        <v>534.4</v>
      </c>
    </row>
    <row r="51" spans="1:41" ht="21">
      <c r="A51" s="10" t="s">
        <v>41</v>
      </c>
      <c r="B51" s="468"/>
      <c r="C51" s="1196"/>
      <c r="D51" s="468"/>
      <c r="E51" s="1196"/>
      <c r="F51" s="468"/>
      <c r="G51" s="466"/>
      <c r="H51" s="471"/>
      <c r="I51" s="401"/>
      <c r="J51" s="471"/>
      <c r="K51" s="401">
        <v>280.9</v>
      </c>
      <c r="L51" s="471"/>
      <c r="M51" s="401"/>
      <c r="N51" s="471"/>
      <c r="O51" s="401"/>
      <c r="P51" s="471"/>
      <c r="Q51" s="466"/>
      <c r="R51" s="471"/>
      <c r="S51" s="401"/>
      <c r="T51" s="471"/>
      <c r="U51" s="401"/>
      <c r="V51" s="471"/>
      <c r="W51" s="401"/>
      <c r="X51" s="468"/>
      <c r="Y51" s="466">
        <v>314.7</v>
      </c>
      <c r="Z51" s="468"/>
      <c r="AA51" s="466"/>
      <c r="AB51" s="468"/>
      <c r="AC51" s="466"/>
      <c r="AD51" s="471"/>
      <c r="AE51" s="401"/>
      <c r="AF51" s="471"/>
      <c r="AG51" s="401"/>
      <c r="AH51" s="471"/>
      <c r="AI51" s="401"/>
      <c r="AJ51" s="471"/>
      <c r="AK51" s="401"/>
      <c r="AL51" s="471"/>
      <c r="AM51" s="401"/>
      <c r="AN51" s="476">
        <f>SUM(B51,D51,F51,H51,J51,L51,N51,P51,R51,T51,V51,Z51,X51,AB51,AD51,AF51,AH51,AL51)</f>
        <v>0</v>
      </c>
      <c r="AO51" s="478">
        <f>SUM(C51,E51,G51,I51,K51,M51,O51,Q51,S51,U51,W51,AA51,Y51,AC51,AE51,AG51,AI51,AM51)</f>
        <v>595.5999999999999</v>
      </c>
    </row>
    <row r="52" spans="1:41" ht="21">
      <c r="A52" s="10" t="s">
        <v>369</v>
      </c>
      <c r="B52" s="468">
        <v>1</v>
      </c>
      <c r="C52" s="1196">
        <v>194.6</v>
      </c>
      <c r="D52" s="468"/>
      <c r="E52" s="1196"/>
      <c r="F52" s="468"/>
      <c r="G52" s="466"/>
      <c r="H52" s="471"/>
      <c r="I52" s="401"/>
      <c r="J52" s="471"/>
      <c r="K52" s="401"/>
      <c r="L52" s="471"/>
      <c r="M52" s="401"/>
      <c r="N52" s="471"/>
      <c r="O52" s="401"/>
      <c r="P52" s="471"/>
      <c r="Q52" s="466"/>
      <c r="R52" s="471"/>
      <c r="S52" s="401"/>
      <c r="T52" s="471"/>
      <c r="U52" s="401"/>
      <c r="V52" s="471"/>
      <c r="W52" s="401"/>
      <c r="X52" s="468">
        <v>1</v>
      </c>
      <c r="Y52" s="466">
        <v>165.9</v>
      </c>
      <c r="Z52" s="468">
        <v>2</v>
      </c>
      <c r="AA52" s="466">
        <v>255.3</v>
      </c>
      <c r="AB52" s="468"/>
      <c r="AC52" s="466"/>
      <c r="AD52" s="471"/>
      <c r="AE52" s="401"/>
      <c r="AF52" s="471"/>
      <c r="AG52" s="401"/>
      <c r="AH52" s="471"/>
      <c r="AI52" s="401"/>
      <c r="AJ52" s="471"/>
      <c r="AK52" s="401"/>
      <c r="AL52" s="471"/>
      <c r="AM52" s="401"/>
      <c r="AN52" s="476">
        <f>SUM(B52,D52,F52,H52,J52,L52,N52,P52,R52,T52,V52,Z52,X52,AB52,AD52,AF52,AH52,AL52)</f>
        <v>4</v>
      </c>
      <c r="AO52" s="478">
        <f>SUM(C52,E52,G52,I52,K52,M52,O52,Q52,S52,U52,W52,AA52,Y52,AC52,AE52,AG52,AI52,AM52)</f>
        <v>615.8</v>
      </c>
    </row>
    <row r="53" spans="1:41" ht="21">
      <c r="A53" s="10" t="s">
        <v>291</v>
      </c>
      <c r="B53" s="468">
        <f>6+1</f>
        <v>7</v>
      </c>
      <c r="C53" s="1196">
        <f>24.4+155.3</f>
        <v>179.70000000000002</v>
      </c>
      <c r="D53" s="468"/>
      <c r="E53" s="1196"/>
      <c r="F53" s="468"/>
      <c r="G53" s="466"/>
      <c r="H53" s="471"/>
      <c r="I53" s="401"/>
      <c r="J53" s="471"/>
      <c r="K53" s="401"/>
      <c r="L53" s="471"/>
      <c r="M53" s="401"/>
      <c r="N53" s="471"/>
      <c r="O53" s="401"/>
      <c r="P53" s="471"/>
      <c r="Q53" s="466"/>
      <c r="R53" s="471"/>
      <c r="S53" s="401"/>
      <c r="T53" s="471"/>
      <c r="U53" s="401"/>
      <c r="V53" s="471"/>
      <c r="W53" s="401"/>
      <c r="X53" s="468">
        <v>3</v>
      </c>
      <c r="Y53" s="466">
        <v>484.3</v>
      </c>
      <c r="Z53" s="468">
        <v>1</v>
      </c>
      <c r="AA53" s="466">
        <v>163.7</v>
      </c>
      <c r="AB53" s="468"/>
      <c r="AC53" s="466"/>
      <c r="AD53" s="471"/>
      <c r="AE53" s="401"/>
      <c r="AF53" s="471"/>
      <c r="AG53" s="401"/>
      <c r="AH53" s="471"/>
      <c r="AI53" s="401"/>
      <c r="AJ53" s="471"/>
      <c r="AK53" s="401"/>
      <c r="AL53" s="471"/>
      <c r="AM53" s="401"/>
      <c r="AN53" s="476">
        <f t="shared" si="5"/>
        <v>11</v>
      </c>
      <c r="AO53" s="478">
        <f t="shared" si="5"/>
        <v>827.7</v>
      </c>
    </row>
    <row r="54" spans="1:41" ht="21">
      <c r="A54" s="10" t="s">
        <v>287</v>
      </c>
      <c r="B54" s="468"/>
      <c r="C54" s="1196"/>
      <c r="D54" s="468"/>
      <c r="E54" s="1196"/>
      <c r="F54" s="468"/>
      <c r="G54" s="466"/>
      <c r="H54" s="471"/>
      <c r="I54" s="401"/>
      <c r="J54" s="471"/>
      <c r="K54" s="401"/>
      <c r="L54" s="471"/>
      <c r="M54" s="401"/>
      <c r="N54" s="471"/>
      <c r="O54" s="401"/>
      <c r="P54" s="471"/>
      <c r="Q54" s="466"/>
      <c r="R54" s="471"/>
      <c r="S54" s="401"/>
      <c r="T54" s="471"/>
      <c r="U54" s="401"/>
      <c r="V54" s="471"/>
      <c r="W54" s="401"/>
      <c r="X54" s="468"/>
      <c r="Y54" s="466"/>
      <c r="Z54" s="468">
        <v>2</v>
      </c>
      <c r="AA54" s="466">
        <v>159.2</v>
      </c>
      <c r="AB54" s="468"/>
      <c r="AC54" s="466"/>
      <c r="AD54" s="471"/>
      <c r="AE54" s="401"/>
      <c r="AF54" s="471"/>
      <c r="AG54" s="401"/>
      <c r="AH54" s="471"/>
      <c r="AI54" s="401"/>
      <c r="AJ54" s="471"/>
      <c r="AK54" s="401"/>
      <c r="AL54" s="471"/>
      <c r="AM54" s="401"/>
      <c r="AN54" s="476">
        <f>SUM(B54,D54,F54,H54,J54,L54,N54,P54,R54,T54,V54,Z54,X54,AB54,AD54,AF54,AH54,AL54)</f>
        <v>2</v>
      </c>
      <c r="AO54" s="478">
        <f>SUM(C54,E54,G54,I54,K54,M54,O54,Q54,S54,U54,W54,AA54,Y54,AC54,AE54,AG54,AI54,AM54)</f>
        <v>159.2</v>
      </c>
    </row>
    <row r="55" spans="1:41" ht="21">
      <c r="A55" s="10" t="s">
        <v>42</v>
      </c>
      <c r="B55" s="468">
        <v>1</v>
      </c>
      <c r="C55" s="1196">
        <f>775.8+163.3</f>
        <v>939.0999999999999</v>
      </c>
      <c r="D55" s="468"/>
      <c r="E55" s="1196"/>
      <c r="F55" s="468"/>
      <c r="G55" s="466"/>
      <c r="H55" s="471"/>
      <c r="I55" s="401"/>
      <c r="J55" s="471"/>
      <c r="K55" s="401">
        <v>335.8</v>
      </c>
      <c r="L55" s="471"/>
      <c r="M55" s="401"/>
      <c r="N55" s="471"/>
      <c r="O55" s="401"/>
      <c r="P55" s="471"/>
      <c r="Q55" s="466"/>
      <c r="R55" s="471"/>
      <c r="S55" s="401"/>
      <c r="T55" s="471"/>
      <c r="U55" s="401"/>
      <c r="V55" s="471">
        <f>1</f>
        <v>1</v>
      </c>
      <c r="W55" s="401">
        <v>131.8</v>
      </c>
      <c r="X55" s="468">
        <v>2</v>
      </c>
      <c r="Y55" s="466">
        <f>227.8+80.8</f>
        <v>308.6</v>
      </c>
      <c r="Z55" s="468">
        <v>2</v>
      </c>
      <c r="AA55" s="466">
        <f>525.1+423.9+235.6</f>
        <v>1184.6</v>
      </c>
      <c r="AB55" s="468"/>
      <c r="AC55" s="466"/>
      <c r="AD55" s="471"/>
      <c r="AE55" s="401">
        <v>64.4</v>
      </c>
      <c r="AF55" s="471"/>
      <c r="AG55" s="401"/>
      <c r="AH55" s="471"/>
      <c r="AI55" s="401"/>
      <c r="AJ55" s="471"/>
      <c r="AK55" s="401"/>
      <c r="AL55" s="471"/>
      <c r="AM55" s="401"/>
      <c r="AN55" s="476">
        <f t="shared" si="5"/>
        <v>6</v>
      </c>
      <c r="AO55" s="478">
        <f t="shared" si="5"/>
        <v>2964.2999999999997</v>
      </c>
    </row>
    <row r="56" spans="1:41" ht="21">
      <c r="A56" s="10" t="s">
        <v>157</v>
      </c>
      <c r="B56" s="468">
        <v>2</v>
      </c>
      <c r="C56" s="1196">
        <v>278.4</v>
      </c>
      <c r="D56" s="468"/>
      <c r="E56" s="1196"/>
      <c r="F56" s="468"/>
      <c r="G56" s="466"/>
      <c r="H56" s="471"/>
      <c r="I56" s="401"/>
      <c r="J56" s="471"/>
      <c r="K56" s="401"/>
      <c r="L56" s="471"/>
      <c r="M56" s="401"/>
      <c r="N56" s="471"/>
      <c r="O56" s="401"/>
      <c r="P56" s="471"/>
      <c r="Q56" s="466"/>
      <c r="R56" s="471"/>
      <c r="S56" s="401"/>
      <c r="T56" s="471"/>
      <c r="U56" s="401"/>
      <c r="V56" s="471">
        <v>1</v>
      </c>
      <c r="W56" s="401">
        <v>138.1</v>
      </c>
      <c r="X56" s="468">
        <v>1</v>
      </c>
      <c r="Y56" s="466">
        <v>155.5</v>
      </c>
      <c r="Z56" s="468">
        <v>1</v>
      </c>
      <c r="AA56" s="466">
        <v>188.2</v>
      </c>
      <c r="AB56" s="468">
        <v>1</v>
      </c>
      <c r="AC56" s="466">
        <v>172.1</v>
      </c>
      <c r="AD56" s="471"/>
      <c r="AE56" s="401"/>
      <c r="AF56" s="471"/>
      <c r="AG56" s="401"/>
      <c r="AH56" s="471"/>
      <c r="AI56" s="401"/>
      <c r="AJ56" s="471"/>
      <c r="AK56" s="401"/>
      <c r="AL56" s="471"/>
      <c r="AM56" s="401"/>
      <c r="AN56" s="476">
        <f t="shared" si="5"/>
        <v>6</v>
      </c>
      <c r="AO56" s="478">
        <f t="shared" si="5"/>
        <v>932.3000000000001</v>
      </c>
    </row>
    <row r="57" spans="1:41" ht="21">
      <c r="A57" s="10" t="s">
        <v>371</v>
      </c>
      <c r="B57" s="468"/>
      <c r="C57" s="1196"/>
      <c r="D57" s="468"/>
      <c r="E57" s="1196"/>
      <c r="F57" s="468"/>
      <c r="G57" s="466"/>
      <c r="H57" s="471"/>
      <c r="I57" s="401"/>
      <c r="J57" s="471"/>
      <c r="K57" s="401"/>
      <c r="L57" s="471"/>
      <c r="M57" s="401"/>
      <c r="N57" s="471"/>
      <c r="O57" s="401"/>
      <c r="P57" s="471"/>
      <c r="Q57" s="466"/>
      <c r="R57" s="471"/>
      <c r="S57" s="401"/>
      <c r="T57" s="471"/>
      <c r="U57" s="401"/>
      <c r="V57" s="471"/>
      <c r="W57" s="401"/>
      <c r="X57" s="468"/>
      <c r="Y57" s="466"/>
      <c r="Z57" s="468"/>
      <c r="AA57" s="466"/>
      <c r="AB57" s="468">
        <v>1</v>
      </c>
      <c r="AC57" s="466">
        <v>197.9</v>
      </c>
      <c r="AD57" s="471"/>
      <c r="AE57" s="401"/>
      <c r="AF57" s="471"/>
      <c r="AG57" s="401"/>
      <c r="AH57" s="471"/>
      <c r="AI57" s="401"/>
      <c r="AJ57" s="471"/>
      <c r="AK57" s="401"/>
      <c r="AL57" s="471"/>
      <c r="AM57" s="401"/>
      <c r="AN57" s="476">
        <f>SUM(B57,D57,F57,H57,J57,L57,N57,P57,R57,T57,V57,Z57,X57,AB57,AD57,AF57,AH57,AL57)</f>
        <v>1</v>
      </c>
      <c r="AO57" s="478">
        <f>SUM(C57,E57,G57,I57,K57,M57,O57,Q57,S57,U57,W57,AA57,Y57,AC57,AE57,AG57,AI57,AM57)</f>
        <v>197.9</v>
      </c>
    </row>
    <row r="58" spans="1:41" ht="21">
      <c r="A58" s="10" t="s">
        <v>43</v>
      </c>
      <c r="B58" s="468">
        <v>2</v>
      </c>
      <c r="C58" s="1196">
        <v>158.6</v>
      </c>
      <c r="D58" s="468"/>
      <c r="E58" s="1196"/>
      <c r="F58" s="468"/>
      <c r="G58" s="466"/>
      <c r="H58" s="471">
        <v>2</v>
      </c>
      <c r="I58" s="401">
        <v>331.5</v>
      </c>
      <c r="J58" s="471"/>
      <c r="K58" s="401"/>
      <c r="L58" s="471"/>
      <c r="M58" s="401"/>
      <c r="N58" s="471"/>
      <c r="O58" s="401"/>
      <c r="P58" s="471"/>
      <c r="Q58" s="466"/>
      <c r="R58" s="471"/>
      <c r="S58" s="401"/>
      <c r="T58" s="471"/>
      <c r="U58" s="401">
        <v>1728.7</v>
      </c>
      <c r="V58" s="471">
        <v>3</v>
      </c>
      <c r="W58" s="401">
        <v>419.7</v>
      </c>
      <c r="X58" s="468">
        <f>3+1</f>
        <v>4</v>
      </c>
      <c r="Y58" s="466">
        <f>349.4+125.1</f>
        <v>474.5</v>
      </c>
      <c r="Z58" s="468">
        <v>2</v>
      </c>
      <c r="AA58" s="466">
        <v>324.6</v>
      </c>
      <c r="AB58" s="468">
        <v>1</v>
      </c>
      <c r="AC58" s="466">
        <v>164.4</v>
      </c>
      <c r="AD58" s="471"/>
      <c r="AE58" s="401"/>
      <c r="AF58" s="471"/>
      <c r="AG58" s="401"/>
      <c r="AH58" s="471"/>
      <c r="AI58" s="401"/>
      <c r="AJ58" s="471"/>
      <c r="AK58" s="401"/>
      <c r="AL58" s="471"/>
      <c r="AM58" s="401"/>
      <c r="AN58" s="476">
        <f t="shared" si="5"/>
        <v>14</v>
      </c>
      <c r="AO58" s="478">
        <f t="shared" si="5"/>
        <v>3602</v>
      </c>
    </row>
    <row r="59" spans="1:41" ht="21">
      <c r="A59" s="10" t="s">
        <v>44</v>
      </c>
      <c r="B59" s="468"/>
      <c r="C59" s="1196">
        <v>563.8</v>
      </c>
      <c r="D59" s="468"/>
      <c r="E59" s="1196"/>
      <c r="F59" s="468"/>
      <c r="G59" s="466"/>
      <c r="H59" s="471"/>
      <c r="I59" s="401"/>
      <c r="J59" s="471"/>
      <c r="K59" s="401">
        <v>417</v>
      </c>
      <c r="L59" s="471"/>
      <c r="M59" s="401"/>
      <c r="N59" s="471"/>
      <c r="O59" s="401"/>
      <c r="P59" s="471"/>
      <c r="Q59" s="466"/>
      <c r="R59" s="471"/>
      <c r="S59" s="401"/>
      <c r="T59" s="471"/>
      <c r="U59" s="401"/>
      <c r="V59" s="471"/>
      <c r="W59" s="401"/>
      <c r="X59" s="468"/>
      <c r="Y59" s="466"/>
      <c r="Z59" s="468">
        <v>1</v>
      </c>
      <c r="AA59" s="466">
        <f>1478.8+138.3</f>
        <v>1617.1</v>
      </c>
      <c r="AB59" s="468"/>
      <c r="AC59" s="466"/>
      <c r="AD59" s="471"/>
      <c r="AE59" s="401"/>
      <c r="AF59" s="471"/>
      <c r="AG59" s="401"/>
      <c r="AH59" s="471"/>
      <c r="AI59" s="401"/>
      <c r="AJ59" s="471"/>
      <c r="AK59" s="401"/>
      <c r="AL59" s="471"/>
      <c r="AM59" s="401"/>
      <c r="AN59" s="476">
        <f t="shared" si="5"/>
        <v>1</v>
      </c>
      <c r="AO59" s="478">
        <f t="shared" si="5"/>
        <v>2597.8999999999996</v>
      </c>
    </row>
    <row r="60" spans="1:41" ht="21">
      <c r="A60" s="10" t="s">
        <v>235</v>
      </c>
      <c r="B60" s="468"/>
      <c r="C60" s="1196"/>
      <c r="D60" s="468"/>
      <c r="E60" s="1196"/>
      <c r="F60" s="468"/>
      <c r="G60" s="466"/>
      <c r="H60" s="471"/>
      <c r="I60" s="401"/>
      <c r="J60" s="471"/>
      <c r="K60" s="401"/>
      <c r="L60" s="471"/>
      <c r="M60" s="401"/>
      <c r="N60" s="471"/>
      <c r="O60" s="401"/>
      <c r="P60" s="471"/>
      <c r="Q60" s="466"/>
      <c r="R60" s="471"/>
      <c r="S60" s="401"/>
      <c r="T60" s="471"/>
      <c r="U60" s="401"/>
      <c r="V60" s="471"/>
      <c r="W60" s="401"/>
      <c r="X60" s="468"/>
      <c r="Y60" s="466"/>
      <c r="Z60" s="468">
        <v>4</v>
      </c>
      <c r="AA60" s="466">
        <v>316.4</v>
      </c>
      <c r="AB60" s="468"/>
      <c r="AC60" s="466"/>
      <c r="AD60" s="471"/>
      <c r="AE60" s="401"/>
      <c r="AF60" s="471"/>
      <c r="AG60" s="401"/>
      <c r="AH60" s="471"/>
      <c r="AI60" s="401"/>
      <c r="AJ60" s="471"/>
      <c r="AK60" s="401"/>
      <c r="AL60" s="471"/>
      <c r="AM60" s="401"/>
      <c r="AN60" s="476">
        <f t="shared" si="5"/>
        <v>4</v>
      </c>
      <c r="AO60" s="478">
        <f t="shared" si="5"/>
        <v>316.4</v>
      </c>
    </row>
    <row r="61" spans="1:41" ht="21">
      <c r="A61" s="10" t="s">
        <v>45</v>
      </c>
      <c r="B61" s="468"/>
      <c r="C61" s="1196"/>
      <c r="D61" s="468"/>
      <c r="E61" s="1196"/>
      <c r="F61" s="468"/>
      <c r="G61" s="466"/>
      <c r="H61" s="471"/>
      <c r="I61" s="401"/>
      <c r="J61" s="471"/>
      <c r="K61" s="401"/>
      <c r="L61" s="471"/>
      <c r="M61" s="401"/>
      <c r="N61" s="471"/>
      <c r="O61" s="401"/>
      <c r="P61" s="471"/>
      <c r="Q61" s="466"/>
      <c r="R61" s="471"/>
      <c r="S61" s="401"/>
      <c r="T61" s="471"/>
      <c r="U61" s="401"/>
      <c r="V61" s="471"/>
      <c r="W61" s="401"/>
      <c r="X61" s="468"/>
      <c r="Y61" s="466"/>
      <c r="Z61" s="468">
        <v>1</v>
      </c>
      <c r="AA61" s="466">
        <v>120.5</v>
      </c>
      <c r="AB61" s="468"/>
      <c r="AC61" s="466"/>
      <c r="AD61" s="471"/>
      <c r="AE61" s="401"/>
      <c r="AF61" s="471"/>
      <c r="AG61" s="401"/>
      <c r="AH61" s="471"/>
      <c r="AI61" s="401"/>
      <c r="AJ61" s="471"/>
      <c r="AK61" s="401"/>
      <c r="AL61" s="471"/>
      <c r="AM61" s="401"/>
      <c r="AN61" s="476">
        <f t="shared" si="5"/>
        <v>1</v>
      </c>
      <c r="AO61" s="478">
        <f t="shared" si="5"/>
        <v>120.5</v>
      </c>
    </row>
    <row r="62" spans="1:41" ht="21">
      <c r="A62" s="10" t="s">
        <v>46</v>
      </c>
      <c r="B62" s="468">
        <v>4</v>
      </c>
      <c r="C62" s="1196">
        <v>635.3</v>
      </c>
      <c r="D62" s="468"/>
      <c r="E62" s="1196"/>
      <c r="F62" s="468"/>
      <c r="G62" s="466"/>
      <c r="H62" s="471"/>
      <c r="I62" s="401"/>
      <c r="J62" s="471"/>
      <c r="K62" s="401"/>
      <c r="L62" s="471"/>
      <c r="M62" s="401"/>
      <c r="N62" s="471"/>
      <c r="O62" s="401"/>
      <c r="P62" s="471"/>
      <c r="Q62" s="466"/>
      <c r="R62" s="471"/>
      <c r="S62" s="401"/>
      <c r="T62" s="471"/>
      <c r="U62" s="401"/>
      <c r="V62" s="471">
        <v>3</v>
      </c>
      <c r="W62" s="401">
        <v>408.7</v>
      </c>
      <c r="X62" s="468">
        <v>2</v>
      </c>
      <c r="Y62" s="466">
        <f>257+75.4</f>
        <v>332.4</v>
      </c>
      <c r="Z62" s="468"/>
      <c r="AA62" s="466"/>
      <c r="AB62" s="468"/>
      <c r="AC62" s="466"/>
      <c r="AD62" s="471">
        <v>1</v>
      </c>
      <c r="AE62" s="401">
        <v>251.6</v>
      </c>
      <c r="AF62" s="471"/>
      <c r="AG62" s="401"/>
      <c r="AH62" s="471"/>
      <c r="AI62" s="401"/>
      <c r="AJ62" s="471"/>
      <c r="AK62" s="401"/>
      <c r="AL62" s="471"/>
      <c r="AM62" s="401"/>
      <c r="AN62" s="476">
        <f t="shared" si="5"/>
        <v>10</v>
      </c>
      <c r="AO62" s="478">
        <f t="shared" si="5"/>
        <v>1628</v>
      </c>
    </row>
    <row r="63" spans="1:41" ht="21">
      <c r="A63" s="10" t="s">
        <v>47</v>
      </c>
      <c r="B63" s="468">
        <v>1</v>
      </c>
      <c r="C63" s="1196">
        <f>688.3+121.6+278.1</f>
        <v>1088</v>
      </c>
      <c r="D63" s="468"/>
      <c r="E63" s="1196"/>
      <c r="F63" s="468"/>
      <c r="G63" s="466"/>
      <c r="H63" s="471"/>
      <c r="I63" s="401"/>
      <c r="J63" s="471"/>
      <c r="K63" s="401"/>
      <c r="L63" s="471"/>
      <c r="M63" s="401"/>
      <c r="N63" s="471"/>
      <c r="O63" s="401"/>
      <c r="P63" s="471"/>
      <c r="Q63" s="466"/>
      <c r="R63" s="471"/>
      <c r="S63" s="401"/>
      <c r="T63" s="471"/>
      <c r="U63" s="401"/>
      <c r="V63" s="471"/>
      <c r="W63" s="401"/>
      <c r="X63" s="468"/>
      <c r="Y63" s="466">
        <v>2379</v>
      </c>
      <c r="Z63" s="468">
        <v>4</v>
      </c>
      <c r="AA63" s="466">
        <v>316.7</v>
      </c>
      <c r="AB63" s="468"/>
      <c r="AC63" s="466"/>
      <c r="AD63" s="471"/>
      <c r="AE63" s="401"/>
      <c r="AF63" s="471"/>
      <c r="AG63" s="401"/>
      <c r="AH63" s="471"/>
      <c r="AI63" s="401"/>
      <c r="AJ63" s="471"/>
      <c r="AK63" s="401"/>
      <c r="AL63" s="471"/>
      <c r="AM63" s="401"/>
      <c r="AN63" s="476">
        <f t="shared" si="5"/>
        <v>5</v>
      </c>
      <c r="AO63" s="478">
        <f t="shared" si="5"/>
        <v>3783.7</v>
      </c>
    </row>
    <row r="64" spans="1:41" ht="21">
      <c r="A64" s="10" t="s">
        <v>48</v>
      </c>
      <c r="B64" s="468"/>
      <c r="C64" s="1196">
        <v>121.8</v>
      </c>
      <c r="D64" s="468"/>
      <c r="E64" s="1196"/>
      <c r="F64" s="468"/>
      <c r="G64" s="466"/>
      <c r="H64" s="471"/>
      <c r="I64" s="401"/>
      <c r="J64" s="471"/>
      <c r="K64" s="401"/>
      <c r="L64" s="471"/>
      <c r="M64" s="401"/>
      <c r="N64" s="471"/>
      <c r="O64" s="401"/>
      <c r="P64" s="471"/>
      <c r="Q64" s="466"/>
      <c r="R64" s="471"/>
      <c r="S64" s="401"/>
      <c r="T64" s="471"/>
      <c r="U64" s="401"/>
      <c r="V64" s="471"/>
      <c r="W64" s="401"/>
      <c r="X64" s="468">
        <v>1</v>
      </c>
      <c r="Y64" s="466">
        <v>211.6</v>
      </c>
      <c r="Z64" s="468"/>
      <c r="AA64" s="466"/>
      <c r="AB64" s="468"/>
      <c r="AC64" s="466"/>
      <c r="AD64" s="471"/>
      <c r="AE64" s="401"/>
      <c r="AF64" s="471"/>
      <c r="AG64" s="401"/>
      <c r="AH64" s="471"/>
      <c r="AI64" s="401"/>
      <c r="AJ64" s="471"/>
      <c r="AK64" s="401"/>
      <c r="AL64" s="471"/>
      <c r="AM64" s="401"/>
      <c r="AN64" s="476">
        <f t="shared" si="5"/>
        <v>1</v>
      </c>
      <c r="AO64" s="478">
        <f t="shared" si="5"/>
        <v>333.4</v>
      </c>
    </row>
    <row r="65" spans="1:41" ht="21">
      <c r="A65" s="10" t="s">
        <v>49</v>
      </c>
      <c r="B65" s="468">
        <v>2</v>
      </c>
      <c r="C65" s="1196">
        <v>327.1</v>
      </c>
      <c r="D65" s="468"/>
      <c r="E65" s="1196"/>
      <c r="F65" s="468"/>
      <c r="G65" s="466"/>
      <c r="H65" s="471"/>
      <c r="I65" s="401"/>
      <c r="J65" s="471"/>
      <c r="K65" s="401"/>
      <c r="L65" s="471"/>
      <c r="M65" s="401"/>
      <c r="N65" s="471"/>
      <c r="O65" s="401"/>
      <c r="P65" s="471"/>
      <c r="Q65" s="466"/>
      <c r="R65" s="471"/>
      <c r="S65" s="401"/>
      <c r="T65" s="471"/>
      <c r="U65" s="401"/>
      <c r="V65" s="471"/>
      <c r="W65" s="401"/>
      <c r="X65" s="468"/>
      <c r="Y65" s="466"/>
      <c r="Z65" s="468"/>
      <c r="AA65" s="466"/>
      <c r="AB65" s="468"/>
      <c r="AC65" s="466"/>
      <c r="AD65" s="471"/>
      <c r="AE65" s="401"/>
      <c r="AF65" s="471"/>
      <c r="AG65" s="401"/>
      <c r="AH65" s="471"/>
      <c r="AI65" s="401"/>
      <c r="AJ65" s="471"/>
      <c r="AK65" s="401"/>
      <c r="AL65" s="471"/>
      <c r="AM65" s="401"/>
      <c r="AN65" s="476">
        <f t="shared" si="5"/>
        <v>2</v>
      </c>
      <c r="AO65" s="478">
        <f t="shared" si="5"/>
        <v>327.1</v>
      </c>
    </row>
    <row r="66" spans="1:41" ht="21">
      <c r="A66" s="10" t="s">
        <v>50</v>
      </c>
      <c r="B66" s="468">
        <v>2</v>
      </c>
      <c r="C66" s="1196">
        <v>289.4</v>
      </c>
      <c r="D66" s="468"/>
      <c r="E66" s="1196"/>
      <c r="F66" s="468"/>
      <c r="G66" s="466"/>
      <c r="H66" s="471"/>
      <c r="I66" s="401"/>
      <c r="J66" s="471"/>
      <c r="K66" s="401"/>
      <c r="L66" s="471"/>
      <c r="M66" s="401"/>
      <c r="N66" s="471"/>
      <c r="O66" s="401"/>
      <c r="P66" s="471"/>
      <c r="Q66" s="466"/>
      <c r="R66" s="471"/>
      <c r="S66" s="401"/>
      <c r="T66" s="471"/>
      <c r="U66" s="401"/>
      <c r="V66" s="471"/>
      <c r="W66" s="401"/>
      <c r="X66" s="468"/>
      <c r="Y66" s="466"/>
      <c r="Z66" s="468">
        <f>28+1</f>
        <v>29</v>
      </c>
      <c r="AA66" s="466">
        <f>885.1+79.2</f>
        <v>964.3000000000001</v>
      </c>
      <c r="AB66" s="468"/>
      <c r="AC66" s="466"/>
      <c r="AD66" s="471">
        <v>3</v>
      </c>
      <c r="AE66" s="401">
        <v>4726.5</v>
      </c>
      <c r="AF66" s="471"/>
      <c r="AG66" s="401"/>
      <c r="AH66" s="471">
        <v>3</v>
      </c>
      <c r="AI66" s="401">
        <v>825</v>
      </c>
      <c r="AJ66" s="471"/>
      <c r="AK66" s="401"/>
      <c r="AL66" s="471"/>
      <c r="AM66" s="401"/>
      <c r="AN66" s="476">
        <f t="shared" si="5"/>
        <v>37</v>
      </c>
      <c r="AO66" s="478">
        <f t="shared" si="5"/>
        <v>6805.2</v>
      </c>
    </row>
    <row r="67" spans="1:41" ht="21">
      <c r="A67" s="10" t="s">
        <v>236</v>
      </c>
      <c r="B67" s="468">
        <v>1</v>
      </c>
      <c r="C67" s="1196">
        <v>166.3</v>
      </c>
      <c r="D67" s="468"/>
      <c r="E67" s="1196"/>
      <c r="F67" s="468"/>
      <c r="G67" s="466"/>
      <c r="H67" s="471"/>
      <c r="I67" s="401"/>
      <c r="J67" s="471"/>
      <c r="K67" s="401"/>
      <c r="L67" s="471"/>
      <c r="M67" s="401"/>
      <c r="N67" s="471"/>
      <c r="O67" s="401"/>
      <c r="P67" s="471"/>
      <c r="Q67" s="466"/>
      <c r="R67" s="471"/>
      <c r="S67" s="401"/>
      <c r="T67" s="471"/>
      <c r="U67" s="401"/>
      <c r="V67" s="471"/>
      <c r="W67" s="401"/>
      <c r="X67" s="468">
        <f>2+2</f>
        <v>4</v>
      </c>
      <c r="Y67" s="466">
        <f>279.5+317.9</f>
        <v>597.4</v>
      </c>
      <c r="Z67" s="468"/>
      <c r="AA67" s="466"/>
      <c r="AB67" s="468"/>
      <c r="AC67" s="466"/>
      <c r="AD67" s="471"/>
      <c r="AE67" s="401"/>
      <c r="AF67" s="471"/>
      <c r="AG67" s="401"/>
      <c r="AH67" s="471"/>
      <c r="AI67" s="401"/>
      <c r="AJ67" s="471"/>
      <c r="AK67" s="401"/>
      <c r="AL67" s="471"/>
      <c r="AM67" s="401"/>
      <c r="AN67" s="476">
        <f t="shared" si="5"/>
        <v>5</v>
      </c>
      <c r="AO67" s="478">
        <f t="shared" si="5"/>
        <v>763.7</v>
      </c>
    </row>
    <row r="68" spans="1:41" ht="21">
      <c r="A68" s="10" t="s">
        <v>298</v>
      </c>
      <c r="B68" s="468"/>
      <c r="C68" s="1196"/>
      <c r="D68" s="468"/>
      <c r="E68" s="1196"/>
      <c r="F68" s="468"/>
      <c r="G68" s="466"/>
      <c r="H68" s="471"/>
      <c r="I68" s="401"/>
      <c r="J68" s="471"/>
      <c r="K68" s="401"/>
      <c r="L68" s="471"/>
      <c r="M68" s="401"/>
      <c r="N68" s="471"/>
      <c r="O68" s="401"/>
      <c r="P68" s="471"/>
      <c r="Q68" s="466"/>
      <c r="R68" s="471"/>
      <c r="S68" s="401"/>
      <c r="T68" s="471"/>
      <c r="U68" s="401"/>
      <c r="V68" s="471"/>
      <c r="W68" s="401"/>
      <c r="X68" s="468"/>
      <c r="Y68" s="466">
        <v>80.8</v>
      </c>
      <c r="Z68" s="468"/>
      <c r="AA68" s="466"/>
      <c r="AB68" s="468"/>
      <c r="AC68" s="466"/>
      <c r="AD68" s="471"/>
      <c r="AE68" s="401"/>
      <c r="AF68" s="471"/>
      <c r="AG68" s="401"/>
      <c r="AH68" s="471"/>
      <c r="AI68" s="401"/>
      <c r="AJ68" s="471"/>
      <c r="AK68" s="401"/>
      <c r="AL68" s="471"/>
      <c r="AM68" s="401"/>
      <c r="AN68" s="476">
        <f>SUM(B68,D68,F68,H68,J68,L68,N68,P68,R68,T68,V68,Z68,X68,AB68,AD68,AF68,AH68,AL68)</f>
        <v>0</v>
      </c>
      <c r="AO68" s="478">
        <f>SUM(C68,E68,G68,I68,K68,M68,O68,Q68,S68,U68,W68,AA68,Y68,AC68,AE68,AG68,AI68,AM68)</f>
        <v>80.8</v>
      </c>
    </row>
    <row r="69" spans="1:41" ht="21">
      <c r="A69" s="10" t="s">
        <v>51</v>
      </c>
      <c r="B69" s="468">
        <f>2+6</f>
        <v>8</v>
      </c>
      <c r="C69" s="1196">
        <f>335.1+326.4</f>
        <v>661.5</v>
      </c>
      <c r="D69" s="468"/>
      <c r="E69" s="1196"/>
      <c r="F69" s="468"/>
      <c r="G69" s="466"/>
      <c r="H69" s="471"/>
      <c r="I69" s="401"/>
      <c r="J69" s="471"/>
      <c r="K69" s="401"/>
      <c r="L69" s="471"/>
      <c r="M69" s="401"/>
      <c r="N69" s="471"/>
      <c r="O69" s="401"/>
      <c r="P69" s="471"/>
      <c r="Q69" s="466"/>
      <c r="R69" s="471"/>
      <c r="S69" s="401"/>
      <c r="T69" s="471"/>
      <c r="U69" s="401"/>
      <c r="V69" s="471"/>
      <c r="W69" s="401"/>
      <c r="X69" s="468"/>
      <c r="Y69" s="466"/>
      <c r="Z69" s="468">
        <v>1</v>
      </c>
      <c r="AA69" s="466">
        <v>107.6</v>
      </c>
      <c r="AB69" s="468"/>
      <c r="AC69" s="466"/>
      <c r="AD69" s="471">
        <v>1</v>
      </c>
      <c r="AE69" s="401">
        <v>267.5</v>
      </c>
      <c r="AF69" s="471"/>
      <c r="AG69" s="401"/>
      <c r="AH69" s="471"/>
      <c r="AI69" s="401"/>
      <c r="AJ69" s="471"/>
      <c r="AK69" s="401"/>
      <c r="AL69" s="471"/>
      <c r="AM69" s="401"/>
      <c r="AN69" s="476">
        <f t="shared" si="5"/>
        <v>10</v>
      </c>
      <c r="AO69" s="478">
        <f t="shared" si="5"/>
        <v>1036.6</v>
      </c>
    </row>
    <row r="70" spans="1:41" ht="21">
      <c r="A70" s="10" t="s">
        <v>167</v>
      </c>
      <c r="B70" s="468">
        <v>10</v>
      </c>
      <c r="C70" s="1196">
        <v>826.9</v>
      </c>
      <c r="D70" s="468"/>
      <c r="E70" s="1196"/>
      <c r="F70" s="468"/>
      <c r="G70" s="466"/>
      <c r="H70" s="471"/>
      <c r="I70" s="401"/>
      <c r="J70" s="471"/>
      <c r="K70" s="401"/>
      <c r="L70" s="471"/>
      <c r="M70" s="401"/>
      <c r="N70" s="471"/>
      <c r="O70" s="401"/>
      <c r="P70" s="471"/>
      <c r="Q70" s="466"/>
      <c r="R70" s="471"/>
      <c r="S70" s="401"/>
      <c r="T70" s="471"/>
      <c r="U70" s="401"/>
      <c r="V70" s="471"/>
      <c r="W70" s="401"/>
      <c r="X70" s="468"/>
      <c r="Y70" s="466"/>
      <c r="Z70" s="468">
        <v>1</v>
      </c>
      <c r="AA70" s="466">
        <v>103.9</v>
      </c>
      <c r="AB70" s="468"/>
      <c r="AC70" s="466"/>
      <c r="AD70" s="471"/>
      <c r="AE70" s="401"/>
      <c r="AF70" s="471"/>
      <c r="AG70" s="401"/>
      <c r="AH70" s="471"/>
      <c r="AI70" s="401"/>
      <c r="AJ70" s="471"/>
      <c r="AK70" s="401"/>
      <c r="AL70" s="471"/>
      <c r="AM70" s="401"/>
      <c r="AN70" s="476">
        <f t="shared" si="5"/>
        <v>11</v>
      </c>
      <c r="AO70" s="478">
        <f t="shared" si="5"/>
        <v>930.8</v>
      </c>
    </row>
    <row r="71" spans="1:41" ht="21">
      <c r="A71" s="10" t="s">
        <v>52</v>
      </c>
      <c r="B71" s="468">
        <v>1</v>
      </c>
      <c r="C71" s="1196">
        <v>157</v>
      </c>
      <c r="D71" s="468"/>
      <c r="E71" s="1196"/>
      <c r="F71" s="468"/>
      <c r="G71" s="466"/>
      <c r="H71" s="471"/>
      <c r="I71" s="401"/>
      <c r="J71" s="471"/>
      <c r="K71" s="401"/>
      <c r="L71" s="471"/>
      <c r="M71" s="401"/>
      <c r="N71" s="471"/>
      <c r="O71" s="401"/>
      <c r="P71" s="471"/>
      <c r="Q71" s="466"/>
      <c r="R71" s="471"/>
      <c r="S71" s="401"/>
      <c r="T71" s="471"/>
      <c r="U71" s="401"/>
      <c r="V71" s="471">
        <v>1</v>
      </c>
      <c r="W71" s="401">
        <v>142.8</v>
      </c>
      <c r="X71" s="468">
        <v>2</v>
      </c>
      <c r="Y71" s="466">
        <f>276.3+2379</f>
        <v>2655.3</v>
      </c>
      <c r="Z71" s="468">
        <v>1</v>
      </c>
      <c r="AA71" s="466">
        <f>514.2+122.2</f>
        <v>636.4000000000001</v>
      </c>
      <c r="AB71" s="468"/>
      <c r="AC71" s="466"/>
      <c r="AD71" s="471"/>
      <c r="AE71" s="401"/>
      <c r="AF71" s="471"/>
      <c r="AG71" s="401"/>
      <c r="AH71" s="471"/>
      <c r="AI71" s="401"/>
      <c r="AJ71" s="471"/>
      <c r="AK71" s="401"/>
      <c r="AL71" s="471"/>
      <c r="AM71" s="401"/>
      <c r="AN71" s="476">
        <f t="shared" si="5"/>
        <v>5</v>
      </c>
      <c r="AO71" s="478">
        <f t="shared" si="5"/>
        <v>3591.5</v>
      </c>
    </row>
    <row r="72" spans="1:41" ht="21">
      <c r="A72" s="10" t="s">
        <v>377</v>
      </c>
      <c r="B72" s="468"/>
      <c r="C72" s="1196"/>
      <c r="D72" s="468"/>
      <c r="E72" s="1196"/>
      <c r="F72" s="468"/>
      <c r="G72" s="466"/>
      <c r="H72" s="471"/>
      <c r="I72" s="401"/>
      <c r="J72" s="471"/>
      <c r="K72" s="401"/>
      <c r="L72" s="471"/>
      <c r="M72" s="401"/>
      <c r="N72" s="471"/>
      <c r="O72" s="401"/>
      <c r="P72" s="471"/>
      <c r="Q72" s="466"/>
      <c r="R72" s="471"/>
      <c r="S72" s="401"/>
      <c r="T72" s="471"/>
      <c r="U72" s="401"/>
      <c r="V72" s="471"/>
      <c r="W72" s="401"/>
      <c r="X72" s="468">
        <v>1</v>
      </c>
      <c r="Y72" s="466">
        <v>143.9</v>
      </c>
      <c r="Z72" s="468"/>
      <c r="AA72" s="466"/>
      <c r="AB72" s="468"/>
      <c r="AC72" s="466"/>
      <c r="AD72" s="471">
        <v>1</v>
      </c>
      <c r="AE72" s="401">
        <v>237.4</v>
      </c>
      <c r="AF72" s="471"/>
      <c r="AG72" s="401"/>
      <c r="AH72" s="471"/>
      <c r="AI72" s="401"/>
      <c r="AJ72" s="471"/>
      <c r="AK72" s="401"/>
      <c r="AL72" s="471"/>
      <c r="AM72" s="401"/>
      <c r="AN72" s="476">
        <f>SUM(B72,D72,F72,H72,J72,L72,N72,P72,R72,T72,V72,Z72,X72,AB72,AD72,AF72,AH72,AL72)</f>
        <v>2</v>
      </c>
      <c r="AO72" s="478">
        <f>SUM(C72,E72,G72,I72,K72,M72,O72,Q72,S72,U72,W72,AA72,Y72,AC72,AE72,AG72,AI72,AM72)</f>
        <v>381.3</v>
      </c>
    </row>
    <row r="73" spans="1:41" ht="21">
      <c r="A73" s="10" t="s">
        <v>53</v>
      </c>
      <c r="B73" s="468">
        <v>3</v>
      </c>
      <c r="C73" s="1196">
        <v>403.5</v>
      </c>
      <c r="D73" s="468"/>
      <c r="E73" s="1196"/>
      <c r="F73" s="468"/>
      <c r="G73" s="466"/>
      <c r="H73" s="471"/>
      <c r="I73" s="401"/>
      <c r="J73" s="471"/>
      <c r="K73" s="401"/>
      <c r="L73" s="471"/>
      <c r="M73" s="401"/>
      <c r="N73" s="471"/>
      <c r="O73" s="401"/>
      <c r="P73" s="471"/>
      <c r="Q73" s="466"/>
      <c r="R73" s="471"/>
      <c r="S73" s="401"/>
      <c r="T73" s="471"/>
      <c r="U73" s="401"/>
      <c r="V73" s="471">
        <v>2</v>
      </c>
      <c r="W73" s="401">
        <v>214.6</v>
      </c>
      <c r="X73" s="468">
        <f>2+1</f>
        <v>3</v>
      </c>
      <c r="Y73" s="466">
        <f>225.3+2488.1+148.7</f>
        <v>2862.1</v>
      </c>
      <c r="Z73" s="468">
        <f>2+4</f>
        <v>6</v>
      </c>
      <c r="AA73" s="466">
        <f>318+320.5</f>
        <v>638.5</v>
      </c>
      <c r="AB73" s="468"/>
      <c r="AC73" s="466"/>
      <c r="AD73" s="471"/>
      <c r="AE73" s="401"/>
      <c r="AF73" s="471"/>
      <c r="AG73" s="401"/>
      <c r="AH73" s="471"/>
      <c r="AI73" s="401"/>
      <c r="AJ73" s="471"/>
      <c r="AK73" s="401"/>
      <c r="AL73" s="471"/>
      <c r="AM73" s="401"/>
      <c r="AN73" s="476">
        <f t="shared" si="5"/>
        <v>14</v>
      </c>
      <c r="AO73" s="478">
        <f t="shared" si="5"/>
        <v>4118.7</v>
      </c>
    </row>
    <row r="74" spans="1:41" ht="21">
      <c r="A74" s="10" t="s">
        <v>54</v>
      </c>
      <c r="B74" s="468">
        <v>1</v>
      </c>
      <c r="C74" s="1196">
        <v>191.2</v>
      </c>
      <c r="D74" s="468"/>
      <c r="E74" s="1196"/>
      <c r="F74" s="468"/>
      <c r="G74" s="466"/>
      <c r="H74" s="471"/>
      <c r="I74" s="401"/>
      <c r="J74" s="471"/>
      <c r="K74" s="401"/>
      <c r="L74" s="471"/>
      <c r="M74" s="401"/>
      <c r="N74" s="471"/>
      <c r="O74" s="401"/>
      <c r="P74" s="471"/>
      <c r="Q74" s="466"/>
      <c r="R74" s="471"/>
      <c r="S74" s="401"/>
      <c r="T74" s="471"/>
      <c r="U74" s="401"/>
      <c r="V74" s="471"/>
      <c r="W74" s="401"/>
      <c r="X74" s="468"/>
      <c r="Y74" s="466"/>
      <c r="Z74" s="468"/>
      <c r="AA74" s="466"/>
      <c r="AB74" s="468"/>
      <c r="AC74" s="466"/>
      <c r="AD74" s="471"/>
      <c r="AE74" s="401"/>
      <c r="AF74" s="471"/>
      <c r="AG74" s="401"/>
      <c r="AH74" s="471"/>
      <c r="AI74" s="401"/>
      <c r="AJ74" s="471"/>
      <c r="AK74" s="401"/>
      <c r="AL74" s="471"/>
      <c r="AM74" s="401"/>
      <c r="AN74" s="476">
        <f t="shared" si="5"/>
        <v>1</v>
      </c>
      <c r="AO74" s="478">
        <f t="shared" si="5"/>
        <v>191.2</v>
      </c>
    </row>
    <row r="75" spans="1:41" ht="21">
      <c r="A75" s="16" t="s">
        <v>202</v>
      </c>
      <c r="B75" s="469">
        <v>1</v>
      </c>
      <c r="C75" s="1197">
        <v>122.4</v>
      </c>
      <c r="D75" s="469"/>
      <c r="E75" s="1197"/>
      <c r="F75" s="469"/>
      <c r="G75" s="467"/>
      <c r="H75" s="472"/>
      <c r="I75" s="473"/>
      <c r="J75" s="472"/>
      <c r="K75" s="473"/>
      <c r="L75" s="472"/>
      <c r="M75" s="473"/>
      <c r="N75" s="472"/>
      <c r="O75" s="473"/>
      <c r="P75" s="472"/>
      <c r="Q75" s="467"/>
      <c r="R75" s="472"/>
      <c r="S75" s="473"/>
      <c r="T75" s="472"/>
      <c r="U75" s="473"/>
      <c r="V75" s="472"/>
      <c r="W75" s="473"/>
      <c r="X75" s="469"/>
      <c r="Y75" s="467"/>
      <c r="Z75" s="469">
        <v>1</v>
      </c>
      <c r="AA75" s="467">
        <v>137.8</v>
      </c>
      <c r="AB75" s="469"/>
      <c r="AC75" s="467"/>
      <c r="AD75" s="472"/>
      <c r="AE75" s="473"/>
      <c r="AF75" s="472"/>
      <c r="AG75" s="473"/>
      <c r="AH75" s="472"/>
      <c r="AI75" s="473"/>
      <c r="AJ75" s="472"/>
      <c r="AK75" s="473"/>
      <c r="AL75" s="472"/>
      <c r="AM75" s="473"/>
      <c r="AN75" s="477">
        <f t="shared" si="5"/>
        <v>2</v>
      </c>
      <c r="AO75" s="479">
        <f t="shared" si="5"/>
        <v>260.20000000000005</v>
      </c>
    </row>
    <row r="76" spans="1:41" ht="21">
      <c r="A76" s="481" t="s">
        <v>146</v>
      </c>
      <c r="B76" s="519"/>
      <c r="C76" s="747"/>
      <c r="D76" s="519"/>
      <c r="E76" s="747"/>
      <c r="F76" s="519"/>
      <c r="G76" s="520"/>
      <c r="H76" s="521"/>
      <c r="I76" s="522"/>
      <c r="J76" s="521"/>
      <c r="K76" s="522"/>
      <c r="L76" s="521"/>
      <c r="M76" s="522"/>
      <c r="N76" s="521"/>
      <c r="O76" s="522"/>
      <c r="P76" s="521"/>
      <c r="Q76" s="520"/>
      <c r="R76" s="521"/>
      <c r="S76" s="522"/>
      <c r="T76" s="521"/>
      <c r="U76" s="522"/>
      <c r="V76" s="521"/>
      <c r="W76" s="522"/>
      <c r="X76" s="521"/>
      <c r="Y76" s="522"/>
      <c r="Z76" s="519"/>
      <c r="AA76" s="520"/>
      <c r="AB76" s="519"/>
      <c r="AC76" s="520"/>
      <c r="AD76" s="519"/>
      <c r="AE76" s="520"/>
      <c r="AF76" s="519"/>
      <c r="AG76" s="520"/>
      <c r="AH76" s="519"/>
      <c r="AI76" s="520"/>
      <c r="AJ76" s="519"/>
      <c r="AK76" s="520"/>
      <c r="AL76" s="519"/>
      <c r="AM76" s="520"/>
      <c r="AN76" s="523"/>
      <c r="AO76" s="524"/>
    </row>
    <row r="77" spans="1:41" ht="21">
      <c r="A77" s="76" t="s">
        <v>295</v>
      </c>
      <c r="B77" s="468"/>
      <c r="C77" s="1196"/>
      <c r="D77" s="468"/>
      <c r="E77" s="1196"/>
      <c r="F77" s="468"/>
      <c r="G77" s="466"/>
      <c r="H77" s="471"/>
      <c r="I77" s="401"/>
      <c r="J77" s="471"/>
      <c r="K77" s="401"/>
      <c r="L77" s="471"/>
      <c r="M77" s="401"/>
      <c r="N77" s="471"/>
      <c r="O77" s="401"/>
      <c r="P77" s="471"/>
      <c r="Q77" s="466"/>
      <c r="R77" s="471"/>
      <c r="S77" s="401"/>
      <c r="T77" s="471"/>
      <c r="U77" s="401"/>
      <c r="V77" s="471"/>
      <c r="W77" s="401"/>
      <c r="X77" s="471">
        <v>1</v>
      </c>
      <c r="Y77" s="401">
        <v>48.9</v>
      </c>
      <c r="Z77" s="468"/>
      <c r="AA77" s="466"/>
      <c r="AB77" s="468"/>
      <c r="AC77" s="466"/>
      <c r="AD77" s="468"/>
      <c r="AE77" s="466"/>
      <c r="AF77" s="468"/>
      <c r="AG77" s="466"/>
      <c r="AH77" s="468"/>
      <c r="AI77" s="466"/>
      <c r="AJ77" s="468"/>
      <c r="AK77" s="466"/>
      <c r="AL77" s="468"/>
      <c r="AM77" s="466"/>
      <c r="AN77" s="476">
        <f aca="true" t="shared" si="6" ref="AN77:AO81">SUM(B77,D77,F77,H77,J77,L77,N77,P77,R77,T77,V77,Z77,X77,AB77,AD77,AF77,AH77,AL77)</f>
        <v>1</v>
      </c>
      <c r="AO77" s="478">
        <f t="shared" si="6"/>
        <v>48.9</v>
      </c>
    </row>
    <row r="78" spans="1:41" ht="21">
      <c r="A78" s="76" t="s">
        <v>200</v>
      </c>
      <c r="B78" s="468"/>
      <c r="C78" s="1196"/>
      <c r="D78" s="468"/>
      <c r="E78" s="1196"/>
      <c r="F78" s="468"/>
      <c r="G78" s="466"/>
      <c r="H78" s="471"/>
      <c r="I78" s="401"/>
      <c r="J78" s="471"/>
      <c r="K78" s="401"/>
      <c r="L78" s="471"/>
      <c r="M78" s="401"/>
      <c r="N78" s="471"/>
      <c r="O78" s="401"/>
      <c r="P78" s="471"/>
      <c r="Q78" s="466"/>
      <c r="R78" s="471"/>
      <c r="S78" s="401"/>
      <c r="T78" s="471"/>
      <c r="U78" s="401"/>
      <c r="V78" s="471"/>
      <c r="W78" s="401"/>
      <c r="X78" s="471">
        <v>1</v>
      </c>
      <c r="Y78" s="401">
        <v>42</v>
      </c>
      <c r="Z78" s="468"/>
      <c r="AA78" s="466"/>
      <c r="AB78" s="468"/>
      <c r="AC78" s="466"/>
      <c r="AD78" s="468"/>
      <c r="AE78" s="466"/>
      <c r="AF78" s="468"/>
      <c r="AG78" s="466"/>
      <c r="AH78" s="468">
        <v>4</v>
      </c>
      <c r="AI78" s="466">
        <v>528.8</v>
      </c>
      <c r="AJ78" s="468"/>
      <c r="AK78" s="466"/>
      <c r="AL78" s="468"/>
      <c r="AM78" s="466"/>
      <c r="AN78" s="476">
        <f t="shared" si="6"/>
        <v>5</v>
      </c>
      <c r="AO78" s="478">
        <f t="shared" si="6"/>
        <v>570.8</v>
      </c>
    </row>
    <row r="79" spans="1:41" ht="21">
      <c r="A79" s="10" t="s">
        <v>36</v>
      </c>
      <c r="B79" s="468"/>
      <c r="C79" s="1196"/>
      <c r="D79" s="468"/>
      <c r="E79" s="1196"/>
      <c r="F79" s="468"/>
      <c r="G79" s="466"/>
      <c r="H79" s="471"/>
      <c r="I79" s="401"/>
      <c r="J79" s="471"/>
      <c r="K79" s="401"/>
      <c r="L79" s="471"/>
      <c r="M79" s="401"/>
      <c r="N79" s="471"/>
      <c r="O79" s="401"/>
      <c r="P79" s="471"/>
      <c r="Q79" s="466"/>
      <c r="R79" s="471"/>
      <c r="S79" s="401"/>
      <c r="T79" s="471"/>
      <c r="U79" s="401"/>
      <c r="V79" s="471"/>
      <c r="W79" s="401"/>
      <c r="X79" s="471">
        <v>1</v>
      </c>
      <c r="Y79" s="401">
        <v>98.3</v>
      </c>
      <c r="Z79" s="468"/>
      <c r="AA79" s="466"/>
      <c r="AB79" s="468"/>
      <c r="AC79" s="466"/>
      <c r="AD79" s="468"/>
      <c r="AE79" s="466"/>
      <c r="AF79" s="468"/>
      <c r="AG79" s="466"/>
      <c r="AH79" s="468">
        <v>3</v>
      </c>
      <c r="AI79" s="466">
        <v>520.9</v>
      </c>
      <c r="AJ79" s="468"/>
      <c r="AK79" s="466"/>
      <c r="AL79" s="468"/>
      <c r="AM79" s="466"/>
      <c r="AN79" s="476">
        <f t="shared" si="6"/>
        <v>4</v>
      </c>
      <c r="AO79" s="478">
        <f t="shared" si="6"/>
        <v>619.1999999999999</v>
      </c>
    </row>
    <row r="80" spans="1:41" ht="21">
      <c r="A80" s="10" t="s">
        <v>571</v>
      </c>
      <c r="B80" s="468"/>
      <c r="C80" s="1196"/>
      <c r="D80" s="468"/>
      <c r="E80" s="1196"/>
      <c r="F80" s="468"/>
      <c r="G80" s="466"/>
      <c r="H80" s="471"/>
      <c r="I80" s="401"/>
      <c r="J80" s="471"/>
      <c r="K80" s="401"/>
      <c r="L80" s="471"/>
      <c r="M80" s="401"/>
      <c r="N80" s="471"/>
      <c r="O80" s="401"/>
      <c r="P80" s="471"/>
      <c r="Q80" s="466"/>
      <c r="R80" s="471"/>
      <c r="S80" s="401"/>
      <c r="T80" s="471"/>
      <c r="U80" s="401"/>
      <c r="V80" s="471"/>
      <c r="W80" s="401"/>
      <c r="X80" s="471"/>
      <c r="Y80" s="401"/>
      <c r="Z80" s="468"/>
      <c r="AA80" s="466"/>
      <c r="AB80" s="468"/>
      <c r="AC80" s="466"/>
      <c r="AD80" s="468"/>
      <c r="AE80" s="466"/>
      <c r="AF80" s="468"/>
      <c r="AG80" s="466"/>
      <c r="AH80" s="468">
        <v>5</v>
      </c>
      <c r="AI80" s="466">
        <v>570.4</v>
      </c>
      <c r="AJ80" s="468"/>
      <c r="AK80" s="466"/>
      <c r="AL80" s="468"/>
      <c r="AM80" s="466"/>
      <c r="AN80" s="476">
        <f t="shared" si="6"/>
        <v>5</v>
      </c>
      <c r="AO80" s="478">
        <f t="shared" si="6"/>
        <v>570.4</v>
      </c>
    </row>
    <row r="81" spans="1:41" ht="21">
      <c r="A81" s="16" t="s">
        <v>37</v>
      </c>
      <c r="B81" s="469">
        <v>1</v>
      </c>
      <c r="C81" s="1197">
        <v>159.2</v>
      </c>
      <c r="D81" s="469"/>
      <c r="E81" s="1197"/>
      <c r="F81" s="469">
        <v>2</v>
      </c>
      <c r="G81" s="467">
        <v>406.7</v>
      </c>
      <c r="H81" s="472"/>
      <c r="I81" s="473"/>
      <c r="J81" s="472"/>
      <c r="K81" s="473"/>
      <c r="L81" s="472"/>
      <c r="M81" s="473"/>
      <c r="N81" s="472"/>
      <c r="O81" s="473"/>
      <c r="P81" s="472"/>
      <c r="Q81" s="467"/>
      <c r="R81" s="472"/>
      <c r="S81" s="473"/>
      <c r="T81" s="472"/>
      <c r="U81" s="473"/>
      <c r="V81" s="472">
        <v>1</v>
      </c>
      <c r="W81" s="473">
        <v>101.6</v>
      </c>
      <c r="X81" s="469"/>
      <c r="Y81" s="467"/>
      <c r="Z81" s="469"/>
      <c r="AA81" s="467"/>
      <c r="AB81" s="469">
        <v>1</v>
      </c>
      <c r="AC81" s="467">
        <v>179.1</v>
      </c>
      <c r="AD81" s="472"/>
      <c r="AE81" s="473"/>
      <c r="AF81" s="472"/>
      <c r="AG81" s="473"/>
      <c r="AH81" s="472">
        <v>8</v>
      </c>
      <c r="AI81" s="473">
        <v>1143.1</v>
      </c>
      <c r="AJ81" s="472"/>
      <c r="AK81" s="473"/>
      <c r="AL81" s="472"/>
      <c r="AM81" s="473"/>
      <c r="AN81" s="477">
        <f t="shared" si="6"/>
        <v>13</v>
      </c>
      <c r="AO81" s="479">
        <f t="shared" si="6"/>
        <v>1989.6999999999998</v>
      </c>
    </row>
    <row r="82" spans="1:41" ht="21">
      <c r="A82" s="481" t="s">
        <v>316</v>
      </c>
      <c r="B82" s="519"/>
      <c r="C82" s="747"/>
      <c r="D82" s="519"/>
      <c r="E82" s="747"/>
      <c r="F82" s="519"/>
      <c r="G82" s="520"/>
      <c r="H82" s="521"/>
      <c r="I82" s="522"/>
      <c r="J82" s="521"/>
      <c r="K82" s="522"/>
      <c r="L82" s="521"/>
      <c r="M82" s="522"/>
      <c r="N82" s="521"/>
      <c r="O82" s="522"/>
      <c r="P82" s="521"/>
      <c r="Q82" s="520"/>
      <c r="R82" s="521"/>
      <c r="S82" s="522"/>
      <c r="T82" s="521"/>
      <c r="U82" s="522"/>
      <c r="V82" s="521"/>
      <c r="W82" s="522"/>
      <c r="X82" s="521"/>
      <c r="Y82" s="522"/>
      <c r="Z82" s="519"/>
      <c r="AA82" s="520"/>
      <c r="AB82" s="519"/>
      <c r="AC82" s="520"/>
      <c r="AD82" s="519"/>
      <c r="AE82" s="520"/>
      <c r="AF82" s="519"/>
      <c r="AG82" s="520"/>
      <c r="AH82" s="519"/>
      <c r="AI82" s="520"/>
      <c r="AJ82" s="519"/>
      <c r="AK82" s="520"/>
      <c r="AL82" s="519"/>
      <c r="AM82" s="520"/>
      <c r="AN82" s="523"/>
      <c r="AO82" s="524"/>
    </row>
    <row r="83" spans="1:41" ht="21">
      <c r="A83" s="16" t="s">
        <v>294</v>
      </c>
      <c r="B83" s="469"/>
      <c r="C83" s="1197"/>
      <c r="D83" s="469"/>
      <c r="E83" s="1197"/>
      <c r="F83" s="469">
        <v>1</v>
      </c>
      <c r="G83" s="467">
        <v>1353</v>
      </c>
      <c r="H83" s="472"/>
      <c r="I83" s="473"/>
      <c r="J83" s="472"/>
      <c r="K83" s="473"/>
      <c r="L83" s="472"/>
      <c r="M83" s="473"/>
      <c r="N83" s="472"/>
      <c r="O83" s="473"/>
      <c r="P83" s="472"/>
      <c r="Q83" s="467"/>
      <c r="R83" s="472"/>
      <c r="S83" s="473"/>
      <c r="T83" s="472"/>
      <c r="U83" s="473"/>
      <c r="V83" s="472"/>
      <c r="W83" s="473"/>
      <c r="X83" s="469"/>
      <c r="Y83" s="467"/>
      <c r="Z83" s="469"/>
      <c r="AA83" s="467"/>
      <c r="AB83" s="469"/>
      <c r="AC83" s="467"/>
      <c r="AD83" s="472"/>
      <c r="AE83" s="473"/>
      <c r="AF83" s="472"/>
      <c r="AG83" s="473"/>
      <c r="AH83" s="472"/>
      <c r="AI83" s="473"/>
      <c r="AJ83" s="472"/>
      <c r="AK83" s="473"/>
      <c r="AL83" s="472"/>
      <c r="AM83" s="473"/>
      <c r="AN83" s="477">
        <f>SUM(B83,D83,F83,H83,J83,L83,N83,P83,R83,T83,V83,Z83,X83,AB83,AD83,AF83,AH83,AL83)</f>
        <v>1</v>
      </c>
      <c r="AO83" s="479">
        <f>SUM(C83,E83,G83,I83,K83,M83,O83,Q83,S83,U83,W83,AA83,Y83,AC83,AE83,AG83,AI83,AM83)</f>
        <v>1353</v>
      </c>
    </row>
    <row r="84" spans="1:41" ht="21">
      <c r="A84" s="481" t="s">
        <v>317</v>
      </c>
      <c r="B84" s="519"/>
      <c r="C84" s="747"/>
      <c r="D84" s="519"/>
      <c r="E84" s="747"/>
      <c r="F84" s="519"/>
      <c r="G84" s="520"/>
      <c r="H84" s="521"/>
      <c r="I84" s="522"/>
      <c r="J84" s="521"/>
      <c r="K84" s="522"/>
      <c r="L84" s="521"/>
      <c r="M84" s="522"/>
      <c r="N84" s="521"/>
      <c r="O84" s="522"/>
      <c r="P84" s="521"/>
      <c r="Q84" s="520"/>
      <c r="R84" s="521"/>
      <c r="S84" s="522"/>
      <c r="T84" s="521"/>
      <c r="U84" s="522"/>
      <c r="V84" s="521"/>
      <c r="W84" s="522"/>
      <c r="X84" s="521"/>
      <c r="Y84" s="522"/>
      <c r="Z84" s="519"/>
      <c r="AA84" s="520"/>
      <c r="AB84" s="519"/>
      <c r="AC84" s="520"/>
      <c r="AD84" s="519"/>
      <c r="AE84" s="520"/>
      <c r="AF84" s="519"/>
      <c r="AG84" s="520"/>
      <c r="AH84" s="519"/>
      <c r="AI84" s="520"/>
      <c r="AJ84" s="519"/>
      <c r="AK84" s="520"/>
      <c r="AL84" s="519"/>
      <c r="AM84" s="520"/>
      <c r="AN84" s="523"/>
      <c r="AO84" s="524"/>
    </row>
    <row r="85" spans="1:41" ht="21">
      <c r="A85" s="10" t="s">
        <v>177</v>
      </c>
      <c r="B85" s="468">
        <f>4+3</f>
        <v>7</v>
      </c>
      <c r="C85" s="1196">
        <f>115.3+59.7+0.4+244.5</f>
        <v>419.9</v>
      </c>
      <c r="D85" s="468"/>
      <c r="E85" s="1196"/>
      <c r="F85" s="468"/>
      <c r="G85" s="466"/>
      <c r="H85" s="471"/>
      <c r="I85" s="401"/>
      <c r="J85" s="471"/>
      <c r="K85" s="401"/>
      <c r="L85" s="471"/>
      <c r="M85" s="401"/>
      <c r="N85" s="471"/>
      <c r="O85" s="401"/>
      <c r="P85" s="471"/>
      <c r="Q85" s="466"/>
      <c r="R85" s="471"/>
      <c r="S85" s="401"/>
      <c r="T85" s="471"/>
      <c r="U85" s="401"/>
      <c r="V85" s="471">
        <f>6+2</f>
        <v>8</v>
      </c>
      <c r="W85" s="401">
        <f>707.8+295.9</f>
        <v>1003.6999999999999</v>
      </c>
      <c r="X85" s="468">
        <v>1</v>
      </c>
      <c r="Y85" s="466">
        <v>112.3</v>
      </c>
      <c r="Z85" s="468"/>
      <c r="AA85" s="466"/>
      <c r="AB85" s="468">
        <v>6</v>
      </c>
      <c r="AC85" s="466">
        <v>496</v>
      </c>
      <c r="AD85" s="471"/>
      <c r="AE85" s="401"/>
      <c r="AF85" s="471"/>
      <c r="AG85" s="401"/>
      <c r="AH85" s="471"/>
      <c r="AI85" s="401"/>
      <c r="AJ85" s="471"/>
      <c r="AK85" s="401"/>
      <c r="AL85" s="471"/>
      <c r="AM85" s="401"/>
      <c r="AN85" s="476">
        <f aca="true" t="shared" si="7" ref="AN85:AO99">SUM(B85,D85,F85,H85,J85,L85,N85,P85,R85,T85,V85,Z85,X85,AB85,AD85,AF85,AH85,AL85)</f>
        <v>22</v>
      </c>
      <c r="AO85" s="478">
        <f t="shared" si="7"/>
        <v>2031.8999999999999</v>
      </c>
    </row>
    <row r="86" spans="1:41" ht="21">
      <c r="A86" s="10" t="s">
        <v>566</v>
      </c>
      <c r="B86" s="468"/>
      <c r="C86" s="1196"/>
      <c r="D86" s="468"/>
      <c r="E86" s="1196"/>
      <c r="F86" s="468"/>
      <c r="G86" s="466"/>
      <c r="H86" s="471"/>
      <c r="I86" s="401"/>
      <c r="J86" s="471"/>
      <c r="K86" s="401"/>
      <c r="L86" s="471"/>
      <c r="M86" s="401"/>
      <c r="N86" s="471"/>
      <c r="O86" s="401"/>
      <c r="P86" s="471"/>
      <c r="Q86" s="466"/>
      <c r="R86" s="471">
        <v>2</v>
      </c>
      <c r="S86" s="401">
        <v>42</v>
      </c>
      <c r="T86" s="471"/>
      <c r="U86" s="401"/>
      <c r="V86" s="471"/>
      <c r="W86" s="401"/>
      <c r="X86" s="468"/>
      <c r="Y86" s="466"/>
      <c r="Z86" s="468"/>
      <c r="AA86" s="466"/>
      <c r="AB86" s="468"/>
      <c r="AC86" s="466"/>
      <c r="AD86" s="471"/>
      <c r="AE86" s="401"/>
      <c r="AF86" s="471"/>
      <c r="AG86" s="401"/>
      <c r="AH86" s="471"/>
      <c r="AI86" s="401"/>
      <c r="AJ86" s="471"/>
      <c r="AK86" s="401"/>
      <c r="AL86" s="471"/>
      <c r="AM86" s="401"/>
      <c r="AN86" s="476">
        <f t="shared" si="7"/>
        <v>2</v>
      </c>
      <c r="AO86" s="478">
        <f t="shared" si="7"/>
        <v>42</v>
      </c>
    </row>
    <row r="87" spans="1:41" ht="21">
      <c r="A87" s="10" t="s">
        <v>198</v>
      </c>
      <c r="B87" s="468">
        <v>1</v>
      </c>
      <c r="C87" s="1196">
        <v>212.2</v>
      </c>
      <c r="D87" s="468"/>
      <c r="E87" s="1196"/>
      <c r="F87" s="468"/>
      <c r="G87" s="466"/>
      <c r="H87" s="471"/>
      <c r="I87" s="401"/>
      <c r="J87" s="471"/>
      <c r="K87" s="401"/>
      <c r="L87" s="471"/>
      <c r="M87" s="401"/>
      <c r="N87" s="471"/>
      <c r="O87" s="401"/>
      <c r="P87" s="471"/>
      <c r="Q87" s="466"/>
      <c r="R87" s="471">
        <v>1</v>
      </c>
      <c r="S87" s="401">
        <v>128.6</v>
      </c>
      <c r="T87" s="471"/>
      <c r="U87" s="401"/>
      <c r="V87" s="471"/>
      <c r="W87" s="401"/>
      <c r="X87" s="468"/>
      <c r="Y87" s="466"/>
      <c r="Z87" s="468"/>
      <c r="AA87" s="466"/>
      <c r="AB87" s="468"/>
      <c r="AC87" s="466"/>
      <c r="AD87" s="471"/>
      <c r="AE87" s="401"/>
      <c r="AF87" s="471"/>
      <c r="AG87" s="401"/>
      <c r="AH87" s="471"/>
      <c r="AI87" s="401"/>
      <c r="AJ87" s="471"/>
      <c r="AK87" s="401"/>
      <c r="AL87" s="471"/>
      <c r="AM87" s="401"/>
      <c r="AN87" s="476">
        <f t="shared" si="7"/>
        <v>2</v>
      </c>
      <c r="AO87" s="478">
        <f t="shared" si="7"/>
        <v>340.79999999999995</v>
      </c>
    </row>
    <row r="88" spans="1:41" ht="21">
      <c r="A88" s="10" t="s">
        <v>55</v>
      </c>
      <c r="B88" s="468">
        <v>1</v>
      </c>
      <c r="C88" s="1196">
        <v>176.7</v>
      </c>
      <c r="D88" s="468"/>
      <c r="E88" s="1196"/>
      <c r="F88" s="468"/>
      <c r="G88" s="466"/>
      <c r="H88" s="471"/>
      <c r="I88" s="401"/>
      <c r="J88" s="471"/>
      <c r="K88" s="401"/>
      <c r="L88" s="471"/>
      <c r="M88" s="401"/>
      <c r="N88" s="471"/>
      <c r="O88" s="401"/>
      <c r="P88" s="471"/>
      <c r="Q88" s="466"/>
      <c r="R88" s="471">
        <v>1</v>
      </c>
      <c r="S88" s="401">
        <v>21</v>
      </c>
      <c r="T88" s="471"/>
      <c r="U88" s="401"/>
      <c r="V88" s="471">
        <v>2</v>
      </c>
      <c r="W88" s="401">
        <v>512.1</v>
      </c>
      <c r="X88" s="468">
        <f>1+1</f>
        <v>2</v>
      </c>
      <c r="Y88" s="466">
        <f>143.9+302</f>
        <v>445.9</v>
      </c>
      <c r="Z88" s="468">
        <v>1</v>
      </c>
      <c r="AA88" s="466">
        <v>444.9</v>
      </c>
      <c r="AB88" s="468"/>
      <c r="AC88" s="466"/>
      <c r="AD88" s="471"/>
      <c r="AE88" s="401"/>
      <c r="AF88" s="471"/>
      <c r="AG88" s="401"/>
      <c r="AH88" s="471"/>
      <c r="AI88" s="401"/>
      <c r="AJ88" s="471"/>
      <c r="AK88" s="401"/>
      <c r="AL88" s="471"/>
      <c r="AM88" s="401"/>
      <c r="AN88" s="476">
        <f t="shared" si="7"/>
        <v>7</v>
      </c>
      <c r="AO88" s="478">
        <f t="shared" si="7"/>
        <v>1600.6</v>
      </c>
    </row>
    <row r="89" spans="1:41" ht="21">
      <c r="A89" s="10" t="s">
        <v>56</v>
      </c>
      <c r="B89" s="468"/>
      <c r="C89" s="1196"/>
      <c r="D89" s="468"/>
      <c r="E89" s="1196"/>
      <c r="F89" s="468"/>
      <c r="G89" s="466"/>
      <c r="H89" s="471"/>
      <c r="I89" s="401"/>
      <c r="J89" s="471"/>
      <c r="K89" s="401"/>
      <c r="L89" s="471"/>
      <c r="M89" s="401"/>
      <c r="N89" s="471"/>
      <c r="O89" s="401"/>
      <c r="P89" s="471"/>
      <c r="Q89" s="466"/>
      <c r="R89" s="471"/>
      <c r="S89" s="401"/>
      <c r="T89" s="471"/>
      <c r="U89" s="401"/>
      <c r="V89" s="471"/>
      <c r="W89" s="401"/>
      <c r="X89" s="468">
        <v>1</v>
      </c>
      <c r="Y89" s="466">
        <v>222.2</v>
      </c>
      <c r="Z89" s="468"/>
      <c r="AA89" s="466"/>
      <c r="AB89" s="468"/>
      <c r="AC89" s="466"/>
      <c r="AD89" s="471"/>
      <c r="AE89" s="401"/>
      <c r="AF89" s="471"/>
      <c r="AG89" s="401"/>
      <c r="AH89" s="471"/>
      <c r="AI89" s="401"/>
      <c r="AJ89" s="471"/>
      <c r="AK89" s="401"/>
      <c r="AL89" s="471"/>
      <c r="AM89" s="401"/>
      <c r="AN89" s="476">
        <f t="shared" si="7"/>
        <v>1</v>
      </c>
      <c r="AO89" s="478">
        <f t="shared" si="7"/>
        <v>222.2</v>
      </c>
    </row>
    <row r="90" spans="1:41" ht="21">
      <c r="A90" s="10" t="s">
        <v>189</v>
      </c>
      <c r="B90" s="468">
        <v>1</v>
      </c>
      <c r="C90" s="1196">
        <v>222.9</v>
      </c>
      <c r="D90" s="468"/>
      <c r="E90" s="1196"/>
      <c r="F90" s="468"/>
      <c r="G90" s="466"/>
      <c r="H90" s="471"/>
      <c r="I90" s="401"/>
      <c r="J90" s="471"/>
      <c r="K90" s="401"/>
      <c r="L90" s="471"/>
      <c r="M90" s="401"/>
      <c r="N90" s="471"/>
      <c r="O90" s="401"/>
      <c r="P90" s="471"/>
      <c r="Q90" s="466"/>
      <c r="R90" s="471"/>
      <c r="S90" s="401"/>
      <c r="T90" s="471"/>
      <c r="U90" s="401"/>
      <c r="V90" s="471">
        <v>2</v>
      </c>
      <c r="W90" s="401">
        <v>480</v>
      </c>
      <c r="X90" s="468">
        <v>1</v>
      </c>
      <c r="Y90" s="466">
        <v>287.9</v>
      </c>
      <c r="Z90" s="468">
        <v>2</v>
      </c>
      <c r="AA90" s="466">
        <v>591.5</v>
      </c>
      <c r="AB90" s="468"/>
      <c r="AC90" s="466"/>
      <c r="AD90" s="471">
        <v>1</v>
      </c>
      <c r="AE90" s="401">
        <v>347.6</v>
      </c>
      <c r="AF90" s="471"/>
      <c r="AG90" s="401"/>
      <c r="AH90" s="471"/>
      <c r="AI90" s="401"/>
      <c r="AJ90" s="471"/>
      <c r="AK90" s="401"/>
      <c r="AL90" s="471"/>
      <c r="AM90" s="401"/>
      <c r="AN90" s="476">
        <f t="shared" si="7"/>
        <v>7</v>
      </c>
      <c r="AO90" s="478">
        <f t="shared" si="7"/>
        <v>1929.9</v>
      </c>
    </row>
    <row r="91" spans="1:41" ht="21">
      <c r="A91" s="10" t="s">
        <v>366</v>
      </c>
      <c r="B91" s="468"/>
      <c r="C91" s="1196"/>
      <c r="D91" s="468"/>
      <c r="E91" s="1196"/>
      <c r="F91" s="468"/>
      <c r="G91" s="466"/>
      <c r="H91" s="471"/>
      <c r="I91" s="401"/>
      <c r="J91" s="471"/>
      <c r="K91" s="401"/>
      <c r="L91" s="471"/>
      <c r="M91" s="401"/>
      <c r="N91" s="471"/>
      <c r="O91" s="401"/>
      <c r="P91" s="471"/>
      <c r="Q91" s="466"/>
      <c r="R91" s="471"/>
      <c r="S91" s="401"/>
      <c r="T91" s="471"/>
      <c r="U91" s="401"/>
      <c r="V91" s="471">
        <v>1</v>
      </c>
      <c r="W91" s="401">
        <v>200.5</v>
      </c>
      <c r="X91" s="468"/>
      <c r="Y91" s="466"/>
      <c r="Z91" s="468"/>
      <c r="AA91" s="466"/>
      <c r="AB91" s="468"/>
      <c r="AC91" s="466"/>
      <c r="AD91" s="471"/>
      <c r="AE91" s="401"/>
      <c r="AF91" s="471"/>
      <c r="AG91" s="401"/>
      <c r="AH91" s="471"/>
      <c r="AI91" s="401"/>
      <c r="AJ91" s="471"/>
      <c r="AK91" s="401"/>
      <c r="AL91" s="471"/>
      <c r="AM91" s="401"/>
      <c r="AN91" s="476">
        <f t="shared" si="7"/>
        <v>1</v>
      </c>
      <c r="AO91" s="478">
        <f t="shared" si="7"/>
        <v>200.5</v>
      </c>
    </row>
    <row r="92" spans="1:41" ht="21">
      <c r="A92" s="10" t="s">
        <v>57</v>
      </c>
      <c r="B92" s="468">
        <v>1</v>
      </c>
      <c r="C92" s="1196">
        <v>220.6</v>
      </c>
      <c r="D92" s="468"/>
      <c r="E92" s="1196"/>
      <c r="F92" s="468"/>
      <c r="G92" s="466"/>
      <c r="H92" s="471"/>
      <c r="I92" s="401"/>
      <c r="J92" s="471"/>
      <c r="K92" s="401"/>
      <c r="L92" s="471"/>
      <c r="M92" s="401"/>
      <c r="N92" s="471"/>
      <c r="O92" s="401"/>
      <c r="P92" s="471"/>
      <c r="Q92" s="466"/>
      <c r="R92" s="471"/>
      <c r="S92" s="401"/>
      <c r="T92" s="471"/>
      <c r="U92" s="401"/>
      <c r="V92" s="471">
        <v>2</v>
      </c>
      <c r="W92" s="401">
        <v>540.9</v>
      </c>
      <c r="X92" s="468"/>
      <c r="Y92" s="466"/>
      <c r="Z92" s="468"/>
      <c r="AA92" s="466"/>
      <c r="AB92" s="468"/>
      <c r="AC92" s="466"/>
      <c r="AD92" s="471"/>
      <c r="AE92" s="401"/>
      <c r="AF92" s="471"/>
      <c r="AG92" s="401"/>
      <c r="AH92" s="471"/>
      <c r="AI92" s="401"/>
      <c r="AJ92" s="471"/>
      <c r="AK92" s="401"/>
      <c r="AL92" s="471"/>
      <c r="AM92" s="401"/>
      <c r="AN92" s="476">
        <f t="shared" si="7"/>
        <v>3</v>
      </c>
      <c r="AO92" s="478">
        <f t="shared" si="7"/>
        <v>761.5</v>
      </c>
    </row>
    <row r="93" spans="1:41" ht="21">
      <c r="A93" s="10" t="s">
        <v>199</v>
      </c>
      <c r="B93" s="468">
        <v>1</v>
      </c>
      <c r="C93" s="1196">
        <v>165.2</v>
      </c>
      <c r="D93" s="468"/>
      <c r="E93" s="1196"/>
      <c r="F93" s="468"/>
      <c r="G93" s="466"/>
      <c r="H93" s="471"/>
      <c r="I93" s="401"/>
      <c r="J93" s="471"/>
      <c r="K93" s="401"/>
      <c r="L93" s="471"/>
      <c r="M93" s="401"/>
      <c r="N93" s="471"/>
      <c r="O93" s="401"/>
      <c r="P93" s="471"/>
      <c r="Q93" s="466"/>
      <c r="R93" s="471"/>
      <c r="S93" s="401"/>
      <c r="T93" s="471"/>
      <c r="U93" s="401"/>
      <c r="V93" s="471">
        <v>1</v>
      </c>
      <c r="W93" s="401">
        <v>240.4</v>
      </c>
      <c r="X93" s="468">
        <v>1</v>
      </c>
      <c r="Y93" s="466">
        <v>52.1</v>
      </c>
      <c r="Z93" s="468"/>
      <c r="AA93" s="466"/>
      <c r="AB93" s="468"/>
      <c r="AC93" s="466"/>
      <c r="AD93" s="471"/>
      <c r="AE93" s="401"/>
      <c r="AF93" s="471"/>
      <c r="AG93" s="401"/>
      <c r="AH93" s="471"/>
      <c r="AI93" s="401"/>
      <c r="AJ93" s="471"/>
      <c r="AK93" s="401"/>
      <c r="AL93" s="471"/>
      <c r="AM93" s="401"/>
      <c r="AN93" s="476">
        <f t="shared" si="7"/>
        <v>3</v>
      </c>
      <c r="AO93" s="478">
        <f t="shared" si="7"/>
        <v>457.70000000000005</v>
      </c>
    </row>
    <row r="94" spans="1:41" ht="21">
      <c r="A94" s="10" t="s">
        <v>370</v>
      </c>
      <c r="B94" s="468"/>
      <c r="C94" s="1196"/>
      <c r="D94" s="468"/>
      <c r="E94" s="1196"/>
      <c r="F94" s="468"/>
      <c r="G94" s="466"/>
      <c r="H94" s="471"/>
      <c r="I94" s="401"/>
      <c r="J94" s="471"/>
      <c r="K94" s="401"/>
      <c r="L94" s="471"/>
      <c r="M94" s="401"/>
      <c r="N94" s="471"/>
      <c r="O94" s="401"/>
      <c r="P94" s="471"/>
      <c r="Q94" s="466"/>
      <c r="R94" s="471"/>
      <c r="S94" s="401"/>
      <c r="T94" s="471"/>
      <c r="U94" s="401"/>
      <c r="V94" s="471">
        <v>1</v>
      </c>
      <c r="W94" s="401">
        <v>267.7</v>
      </c>
      <c r="X94" s="468"/>
      <c r="Y94" s="466"/>
      <c r="Z94" s="468"/>
      <c r="AA94" s="466"/>
      <c r="AB94" s="468"/>
      <c r="AC94" s="466"/>
      <c r="AD94" s="471"/>
      <c r="AE94" s="401"/>
      <c r="AF94" s="471"/>
      <c r="AG94" s="401"/>
      <c r="AH94" s="471"/>
      <c r="AI94" s="401"/>
      <c r="AJ94" s="471"/>
      <c r="AK94" s="401"/>
      <c r="AL94" s="471"/>
      <c r="AM94" s="401"/>
      <c r="AN94" s="476">
        <f t="shared" si="7"/>
        <v>1</v>
      </c>
      <c r="AO94" s="478">
        <f t="shared" si="7"/>
        <v>267.7</v>
      </c>
    </row>
    <row r="95" spans="1:41" ht="21">
      <c r="A95" s="10" t="s">
        <v>58</v>
      </c>
      <c r="B95" s="468"/>
      <c r="C95" s="1196"/>
      <c r="D95" s="468"/>
      <c r="E95" s="1196"/>
      <c r="F95" s="468"/>
      <c r="G95" s="466"/>
      <c r="H95" s="471"/>
      <c r="I95" s="401"/>
      <c r="J95" s="471"/>
      <c r="K95" s="401"/>
      <c r="L95" s="471"/>
      <c r="M95" s="401"/>
      <c r="N95" s="471"/>
      <c r="O95" s="401"/>
      <c r="P95" s="471"/>
      <c r="Q95" s="466"/>
      <c r="R95" s="471">
        <v>1</v>
      </c>
      <c r="S95" s="401">
        <v>21</v>
      </c>
      <c r="T95" s="471"/>
      <c r="U95" s="401"/>
      <c r="V95" s="471">
        <v>1</v>
      </c>
      <c r="W95" s="401">
        <v>218.8</v>
      </c>
      <c r="X95" s="468">
        <v>1</v>
      </c>
      <c r="Y95" s="466">
        <v>130.4</v>
      </c>
      <c r="Z95" s="468">
        <v>2</v>
      </c>
      <c r="AA95" s="466">
        <v>527.5</v>
      </c>
      <c r="AB95" s="468"/>
      <c r="AC95" s="466"/>
      <c r="AD95" s="471"/>
      <c r="AE95" s="401"/>
      <c r="AF95" s="471"/>
      <c r="AG95" s="401"/>
      <c r="AH95" s="471"/>
      <c r="AI95" s="401"/>
      <c r="AJ95" s="471"/>
      <c r="AK95" s="401"/>
      <c r="AL95" s="471"/>
      <c r="AM95" s="401"/>
      <c r="AN95" s="476">
        <f t="shared" si="7"/>
        <v>5</v>
      </c>
      <c r="AO95" s="478">
        <f t="shared" si="7"/>
        <v>897.6999999999999</v>
      </c>
    </row>
    <row r="96" spans="1:41" ht="21">
      <c r="A96" s="10" t="s">
        <v>201</v>
      </c>
      <c r="B96" s="468">
        <v>1</v>
      </c>
      <c r="C96" s="1196">
        <v>232.2</v>
      </c>
      <c r="D96" s="468"/>
      <c r="E96" s="1196"/>
      <c r="F96" s="468"/>
      <c r="G96" s="466"/>
      <c r="H96" s="471"/>
      <c r="I96" s="401"/>
      <c r="J96" s="471"/>
      <c r="K96" s="401"/>
      <c r="L96" s="471"/>
      <c r="M96" s="401"/>
      <c r="N96" s="471"/>
      <c r="O96" s="401"/>
      <c r="P96" s="471"/>
      <c r="Q96" s="466"/>
      <c r="R96" s="471"/>
      <c r="S96" s="401"/>
      <c r="T96" s="471"/>
      <c r="U96" s="401"/>
      <c r="V96" s="471"/>
      <c r="W96" s="401"/>
      <c r="X96" s="468">
        <v>1</v>
      </c>
      <c r="Y96" s="466">
        <v>138.3</v>
      </c>
      <c r="Z96" s="468"/>
      <c r="AA96" s="466"/>
      <c r="AB96" s="468"/>
      <c r="AC96" s="466"/>
      <c r="AD96" s="471"/>
      <c r="AE96" s="401"/>
      <c r="AF96" s="471"/>
      <c r="AG96" s="401"/>
      <c r="AH96" s="471"/>
      <c r="AI96" s="401"/>
      <c r="AJ96" s="471"/>
      <c r="AK96" s="401"/>
      <c r="AL96" s="471"/>
      <c r="AM96" s="401"/>
      <c r="AN96" s="476">
        <f t="shared" si="7"/>
        <v>2</v>
      </c>
      <c r="AO96" s="478">
        <f t="shared" si="7"/>
        <v>370.5</v>
      </c>
    </row>
    <row r="97" spans="1:41" ht="21">
      <c r="A97" s="10" t="s">
        <v>59</v>
      </c>
      <c r="B97" s="468">
        <f>2+3</f>
        <v>5</v>
      </c>
      <c r="C97" s="1196">
        <f>290.8+281.1+202.7+342+333.6</f>
        <v>1450.2000000000003</v>
      </c>
      <c r="D97" s="468"/>
      <c r="E97" s="1196"/>
      <c r="F97" s="468"/>
      <c r="G97" s="466"/>
      <c r="H97" s="471"/>
      <c r="I97" s="401"/>
      <c r="J97" s="471"/>
      <c r="K97" s="401"/>
      <c r="L97" s="471"/>
      <c r="M97" s="401"/>
      <c r="N97" s="471"/>
      <c r="O97" s="401"/>
      <c r="P97" s="471"/>
      <c r="Q97" s="466"/>
      <c r="R97" s="471">
        <v>2</v>
      </c>
      <c r="S97" s="401">
        <v>484.6</v>
      </c>
      <c r="T97" s="471"/>
      <c r="U97" s="401"/>
      <c r="V97" s="471">
        <v>3</v>
      </c>
      <c r="W97" s="401">
        <v>222.6</v>
      </c>
      <c r="X97" s="468"/>
      <c r="Y97" s="466"/>
      <c r="Z97" s="468"/>
      <c r="AA97" s="466">
        <v>360.2</v>
      </c>
      <c r="AB97" s="468"/>
      <c r="AC97" s="466"/>
      <c r="AD97" s="471"/>
      <c r="AE97" s="401"/>
      <c r="AF97" s="471"/>
      <c r="AG97" s="401">
        <v>1390.1</v>
      </c>
      <c r="AH97" s="471"/>
      <c r="AI97" s="401"/>
      <c r="AJ97" s="471"/>
      <c r="AK97" s="401"/>
      <c r="AL97" s="471"/>
      <c r="AM97" s="401"/>
      <c r="AN97" s="476">
        <f t="shared" si="7"/>
        <v>10</v>
      </c>
      <c r="AO97" s="478">
        <f t="shared" si="7"/>
        <v>3907.7</v>
      </c>
    </row>
    <row r="98" spans="1:41" ht="21">
      <c r="A98" s="10" t="s">
        <v>244</v>
      </c>
      <c r="B98" s="468">
        <v>1</v>
      </c>
      <c r="C98" s="1196">
        <v>244.3</v>
      </c>
      <c r="D98" s="468"/>
      <c r="E98" s="1196"/>
      <c r="F98" s="468"/>
      <c r="G98" s="466"/>
      <c r="H98" s="471"/>
      <c r="I98" s="401"/>
      <c r="J98" s="471"/>
      <c r="K98" s="401"/>
      <c r="L98" s="471"/>
      <c r="M98" s="401"/>
      <c r="N98" s="471"/>
      <c r="O98" s="401"/>
      <c r="P98" s="471"/>
      <c r="Q98" s="466"/>
      <c r="R98" s="471"/>
      <c r="S98" s="401"/>
      <c r="T98" s="471"/>
      <c r="U98" s="401"/>
      <c r="V98" s="471"/>
      <c r="W98" s="401"/>
      <c r="X98" s="468"/>
      <c r="Y98" s="466"/>
      <c r="Z98" s="468">
        <v>1</v>
      </c>
      <c r="AA98" s="466">
        <v>218</v>
      </c>
      <c r="AB98" s="468"/>
      <c r="AC98" s="466"/>
      <c r="AD98" s="471"/>
      <c r="AE98" s="401"/>
      <c r="AF98" s="471"/>
      <c r="AG98" s="401"/>
      <c r="AH98" s="471"/>
      <c r="AI98" s="401"/>
      <c r="AJ98" s="471"/>
      <c r="AK98" s="401"/>
      <c r="AL98" s="471"/>
      <c r="AM98" s="401"/>
      <c r="AN98" s="476">
        <f>SUM(B98,D98,F98,H98,J98,L98,N98,P98,R98,T98,V98,Z98,X98,AB98,AD98,AF98,AH98,AL98)</f>
        <v>2</v>
      </c>
      <c r="AO98" s="478">
        <f>SUM(C98,E98,G98,I98,K98,M98,O98,Q98,S98,U98,W98,AA98,Y98,AC98,AE98,AG98,AI98,AM98)</f>
        <v>462.3</v>
      </c>
    </row>
    <row r="99" spans="1:41" ht="21">
      <c r="A99" s="10" t="s">
        <v>160</v>
      </c>
      <c r="B99" s="468">
        <v>2</v>
      </c>
      <c r="C99" s="1196">
        <v>398.6</v>
      </c>
      <c r="D99" s="468"/>
      <c r="E99" s="1196"/>
      <c r="F99" s="468"/>
      <c r="G99" s="466"/>
      <c r="H99" s="471"/>
      <c r="I99" s="401"/>
      <c r="J99" s="471"/>
      <c r="K99" s="401"/>
      <c r="L99" s="471"/>
      <c r="M99" s="401"/>
      <c r="N99" s="471"/>
      <c r="O99" s="401"/>
      <c r="P99" s="471"/>
      <c r="Q99" s="466"/>
      <c r="R99" s="471"/>
      <c r="S99" s="401"/>
      <c r="T99" s="471"/>
      <c r="U99" s="401"/>
      <c r="V99" s="471">
        <v>1</v>
      </c>
      <c r="W99" s="401">
        <v>280.2</v>
      </c>
      <c r="X99" s="468"/>
      <c r="Y99" s="466"/>
      <c r="Z99" s="468"/>
      <c r="AA99" s="466"/>
      <c r="AB99" s="468"/>
      <c r="AC99" s="466"/>
      <c r="AD99" s="471"/>
      <c r="AE99" s="401"/>
      <c r="AF99" s="471"/>
      <c r="AG99" s="401"/>
      <c r="AH99" s="471"/>
      <c r="AI99" s="401"/>
      <c r="AJ99" s="471"/>
      <c r="AK99" s="401"/>
      <c r="AL99" s="471"/>
      <c r="AM99" s="401"/>
      <c r="AN99" s="476">
        <f t="shared" si="7"/>
        <v>3</v>
      </c>
      <c r="AO99" s="478">
        <f t="shared" si="7"/>
        <v>678.8</v>
      </c>
    </row>
    <row r="100" spans="1:41" ht="21.75" thickBot="1">
      <c r="A100" s="481" t="s">
        <v>622</v>
      </c>
      <c r="B100" s="519">
        <f>2+15+9</f>
        <v>26</v>
      </c>
      <c r="C100" s="747">
        <f>203.2+1068.6+1100.5+455.9</f>
        <v>2828.2000000000003</v>
      </c>
      <c r="D100" s="519"/>
      <c r="E100" s="747"/>
      <c r="F100" s="519">
        <v>2</v>
      </c>
      <c r="G100" s="520">
        <v>4.8</v>
      </c>
      <c r="H100" s="521"/>
      <c r="I100" s="522">
        <f>22643.7+66.9</f>
        <v>22710.600000000002</v>
      </c>
      <c r="J100" s="521"/>
      <c r="K100" s="522">
        <v>342.4</v>
      </c>
      <c r="L100" s="521"/>
      <c r="M100" s="522">
        <v>307.9</v>
      </c>
      <c r="N100" s="521"/>
      <c r="O100" s="522">
        <v>14.9</v>
      </c>
      <c r="P100" s="521"/>
      <c r="Q100" s="520"/>
      <c r="R100" s="521">
        <v>2</v>
      </c>
      <c r="S100" s="522">
        <v>42</v>
      </c>
      <c r="T100" s="521"/>
      <c r="U100" s="522"/>
      <c r="V100" s="521">
        <v>8</v>
      </c>
      <c r="W100" s="522">
        <v>406.3</v>
      </c>
      <c r="X100" s="521">
        <f>5+2+12+15</f>
        <v>34</v>
      </c>
      <c r="Y100" s="522">
        <f>155.1+175+89+60.6</f>
        <v>479.70000000000005</v>
      </c>
      <c r="Z100" s="519">
        <f>5+5+3</f>
        <v>13</v>
      </c>
      <c r="AA100" s="520">
        <f>1314.1+515.7+306.6+213.3</f>
        <v>2349.7000000000003</v>
      </c>
      <c r="AB100" s="519">
        <f>3+1</f>
        <v>4</v>
      </c>
      <c r="AC100" s="520">
        <f>306.5+1237.8+115.8</f>
        <v>1660.1</v>
      </c>
      <c r="AD100" s="519">
        <v>2</v>
      </c>
      <c r="AE100" s="747">
        <v>358.3</v>
      </c>
      <c r="AF100" s="519">
        <v>13</v>
      </c>
      <c r="AG100" s="520">
        <v>76.9</v>
      </c>
      <c r="AH100" s="519"/>
      <c r="AI100" s="520"/>
      <c r="AJ100" s="519"/>
      <c r="AK100" s="520"/>
      <c r="AL100" s="519"/>
      <c r="AM100" s="520"/>
      <c r="AN100" s="523">
        <f>SUM(B100,D100,F100,H100,J100,L100,N100,P100,R100,T100,V100,Z100,X100,AB100,AD100,AF100,AH100,AL100)</f>
        <v>104</v>
      </c>
      <c r="AO100" s="525">
        <f>SUM(C100,E100,G100,I100,K100,M100,O100,Q100,S100,U100,W100,AA100,Y100,AC100,AE100,AG100,AI100,AM100)</f>
        <v>31581.800000000007</v>
      </c>
    </row>
    <row r="101" spans="1:41" ht="21.75" thickBot="1">
      <c r="A101" s="506" t="s">
        <v>60</v>
      </c>
      <c r="B101" s="507">
        <f aca="true" t="shared" si="8" ref="B101:AO101">SUM(B4:B100)</f>
        <v>450</v>
      </c>
      <c r="C101" s="748">
        <f t="shared" si="8"/>
        <v>57483.59999999999</v>
      </c>
      <c r="D101" s="507">
        <f t="shared" si="8"/>
        <v>27</v>
      </c>
      <c r="E101" s="748">
        <f t="shared" si="8"/>
        <v>2250.2</v>
      </c>
      <c r="F101" s="507">
        <f t="shared" si="8"/>
        <v>60</v>
      </c>
      <c r="G101" s="748">
        <f t="shared" si="8"/>
        <v>9759.9</v>
      </c>
      <c r="H101" s="508">
        <f t="shared" si="8"/>
        <v>200</v>
      </c>
      <c r="I101" s="749">
        <f t="shared" si="8"/>
        <v>106556.1</v>
      </c>
      <c r="J101" s="508">
        <f t="shared" si="8"/>
        <v>70</v>
      </c>
      <c r="K101" s="749">
        <f t="shared" si="8"/>
        <v>9325.9</v>
      </c>
      <c r="L101" s="508">
        <f t="shared" si="8"/>
        <v>48</v>
      </c>
      <c r="M101" s="749">
        <f t="shared" si="8"/>
        <v>4374.3</v>
      </c>
      <c r="N101" s="508">
        <f t="shared" si="8"/>
        <v>23</v>
      </c>
      <c r="O101" s="749">
        <f t="shared" si="8"/>
        <v>6975.199999999999</v>
      </c>
      <c r="P101" s="508">
        <f t="shared" si="8"/>
        <v>2</v>
      </c>
      <c r="Q101" s="748">
        <f t="shared" si="8"/>
        <v>7846</v>
      </c>
      <c r="R101" s="508">
        <f t="shared" si="8"/>
        <v>24</v>
      </c>
      <c r="S101" s="749">
        <f t="shared" si="8"/>
        <v>4443.3</v>
      </c>
      <c r="T101" s="508">
        <f t="shared" si="8"/>
        <v>25</v>
      </c>
      <c r="U101" s="509">
        <f t="shared" si="8"/>
        <v>4420</v>
      </c>
      <c r="V101" s="508">
        <f t="shared" si="8"/>
        <v>174</v>
      </c>
      <c r="W101" s="749">
        <f t="shared" si="8"/>
        <v>22659.699999999997</v>
      </c>
      <c r="X101" s="508">
        <f t="shared" si="8"/>
        <v>434</v>
      </c>
      <c r="Y101" s="749">
        <f t="shared" si="8"/>
        <v>52406.40000000001</v>
      </c>
      <c r="Z101" s="507">
        <f t="shared" si="8"/>
        <v>527</v>
      </c>
      <c r="AA101" s="748">
        <f t="shared" si="8"/>
        <v>63710.799999999996</v>
      </c>
      <c r="AB101" s="507">
        <f t="shared" si="8"/>
        <v>65</v>
      </c>
      <c r="AC101" s="748">
        <f t="shared" si="8"/>
        <v>16367.1</v>
      </c>
      <c r="AD101" s="507">
        <f t="shared" si="8"/>
        <v>153</v>
      </c>
      <c r="AE101" s="748">
        <f t="shared" si="8"/>
        <v>31649</v>
      </c>
      <c r="AF101" s="507">
        <f t="shared" si="8"/>
        <v>60</v>
      </c>
      <c r="AG101" s="748">
        <f t="shared" si="8"/>
        <v>7522.9</v>
      </c>
      <c r="AH101" s="507">
        <f t="shared" si="8"/>
        <v>144</v>
      </c>
      <c r="AI101" s="748">
        <f t="shared" si="8"/>
        <v>20041.5</v>
      </c>
      <c r="AJ101" s="507">
        <f t="shared" si="8"/>
        <v>24</v>
      </c>
      <c r="AK101" s="748">
        <f t="shared" si="8"/>
        <v>2602.5</v>
      </c>
      <c r="AL101" s="507">
        <f t="shared" si="8"/>
        <v>21</v>
      </c>
      <c r="AM101" s="748">
        <f t="shared" si="8"/>
        <v>979.0999999999999</v>
      </c>
      <c r="AN101" s="750">
        <f t="shared" si="8"/>
        <v>2531</v>
      </c>
      <c r="AO101" s="749">
        <f t="shared" si="8"/>
        <v>431373.5000000001</v>
      </c>
    </row>
    <row r="102" spans="1:41" ht="12.75">
      <c r="A102" s="65"/>
      <c r="B102" s="470"/>
      <c r="C102" s="1199"/>
      <c r="D102" s="470"/>
      <c r="E102" s="1199"/>
      <c r="F102" s="470"/>
      <c r="G102" s="464"/>
      <c r="H102" s="474"/>
      <c r="I102" s="475"/>
      <c r="J102" s="474"/>
      <c r="K102" s="475"/>
      <c r="L102" s="474"/>
      <c r="M102" s="475"/>
      <c r="N102" s="474"/>
      <c r="O102" s="475"/>
      <c r="P102" s="474"/>
      <c r="Q102" s="464"/>
      <c r="R102" s="474"/>
      <c r="S102" s="475"/>
      <c r="T102" s="474"/>
      <c r="U102" s="475"/>
      <c r="V102" s="474"/>
      <c r="W102" s="475"/>
      <c r="X102" s="474"/>
      <c r="Y102" s="475"/>
      <c r="Z102" s="470"/>
      <c r="AA102" s="464"/>
      <c r="AB102" s="470"/>
      <c r="AC102" s="464"/>
      <c r="AD102" s="470"/>
      <c r="AE102" s="464"/>
      <c r="AF102" s="470"/>
      <c r="AG102" s="464"/>
      <c r="AH102" s="470"/>
      <c r="AI102" s="464"/>
      <c r="AJ102" s="470"/>
      <c r="AK102" s="464"/>
      <c r="AL102" s="470"/>
      <c r="AM102" s="464"/>
      <c r="AN102" s="470"/>
      <c r="AO102" s="475"/>
    </row>
    <row r="103" spans="1:41" ht="12.75">
      <c r="A103" s="65"/>
      <c r="B103" s="470"/>
      <c r="C103" s="1199"/>
      <c r="D103" s="470"/>
      <c r="E103" s="1199"/>
      <c r="F103" s="470"/>
      <c r="G103" s="464"/>
      <c r="H103" s="474"/>
      <c r="I103" s="475"/>
      <c r="J103" s="474"/>
      <c r="K103" s="475"/>
      <c r="L103" s="474"/>
      <c r="M103" s="475"/>
      <c r="N103" s="474"/>
      <c r="O103" s="475"/>
      <c r="P103" s="474"/>
      <c r="Q103" s="464"/>
      <c r="R103" s="474"/>
      <c r="S103" s="475"/>
      <c r="T103" s="474"/>
      <c r="U103" s="475"/>
      <c r="V103" s="474"/>
      <c r="W103" s="475"/>
      <c r="X103" s="474"/>
      <c r="Y103" s="475"/>
      <c r="Z103" s="470"/>
      <c r="AA103" s="464"/>
      <c r="AB103" s="470"/>
      <c r="AC103" s="464"/>
      <c r="AD103" s="470"/>
      <c r="AE103" s="464"/>
      <c r="AF103" s="470"/>
      <c r="AG103" s="464"/>
      <c r="AH103" s="470"/>
      <c r="AI103" s="464"/>
      <c r="AJ103" s="470"/>
      <c r="AK103" s="464"/>
      <c r="AL103" s="470"/>
      <c r="AM103" s="464"/>
      <c r="AN103" s="470"/>
      <c r="AO103" s="475"/>
    </row>
  </sheetData>
  <sheetProtection/>
  <mergeCells count="21">
    <mergeCell ref="AJ1:AK1"/>
    <mergeCell ref="AL1:AM1"/>
    <mergeCell ref="AN1:AO1"/>
    <mergeCell ref="X1:Y1"/>
    <mergeCell ref="Z1:AA1"/>
    <mergeCell ref="AB1:AC1"/>
    <mergeCell ref="AD1:AE1"/>
    <mergeCell ref="AF1:AG1"/>
    <mergeCell ref="AH1:AI1"/>
    <mergeCell ref="L1:M1"/>
    <mergeCell ref="N1:O1"/>
    <mergeCell ref="P1:Q1"/>
    <mergeCell ref="R1:S1"/>
    <mergeCell ref="T1:U1"/>
    <mergeCell ref="V1:W1"/>
    <mergeCell ref="A1:A2"/>
    <mergeCell ref="B1:C1"/>
    <mergeCell ref="D1:E1"/>
    <mergeCell ref="F1:G1"/>
    <mergeCell ref="H1:I1"/>
    <mergeCell ref="J1:K1"/>
  </mergeCells>
  <printOptions/>
  <pageMargins left="0" right="0" top="0.7480314960629921" bottom="0.7480314960629921" header="0.31496062992125984" footer="0.31496062992125984"/>
  <pageSetup horizontalDpi="600" verticalDpi="600" orientation="landscape" paperSize="9" r:id="rId1"/>
  <headerFooter>
    <oddHeader>&amp;LAppendix II : Total Value of Thai International Cooperation Programme by Sector (TICP FY 2013)</oddHeader>
  </headerFooter>
</worksheet>
</file>

<file path=xl/worksheets/sheet3.xml><?xml version="1.0" encoding="utf-8"?>
<worksheet xmlns="http://schemas.openxmlformats.org/spreadsheetml/2006/main" xmlns:r="http://schemas.openxmlformats.org/officeDocument/2006/relationships">
  <sheetPr>
    <tabColor indexed="45"/>
  </sheetPr>
  <dimension ref="A1:X110"/>
  <sheetViews>
    <sheetView zoomScale="120" zoomScaleNormal="120" zoomScalePageLayoutView="0" workbookViewId="0" topLeftCell="A1">
      <pane xSplit="1" ySplit="5" topLeftCell="B36" activePane="bottomRight" state="frozen"/>
      <selection pane="topLeft" activeCell="A1" sqref="A1"/>
      <selection pane="topRight" activeCell="B1" sqref="B1"/>
      <selection pane="bottomLeft" activeCell="A6" sqref="A6"/>
      <selection pane="bottomRight" activeCell="A65" sqref="A65:IV65"/>
    </sheetView>
  </sheetViews>
  <sheetFormatPr defaultColWidth="10.57421875" defaultRowHeight="12.75"/>
  <cols>
    <col min="1" max="1" width="20.7109375" style="40" customWidth="1"/>
    <col min="2" max="2" width="6.28125" style="35" bestFit="1" customWidth="1"/>
    <col min="3" max="3" width="8.7109375" style="404" customWidth="1"/>
    <col min="4" max="4" width="5.00390625" style="36" customWidth="1"/>
    <col min="5" max="5" width="8.57421875" style="404" customWidth="1"/>
    <col min="6" max="6" width="5.00390625" style="404" customWidth="1"/>
    <col min="7" max="7" width="8.8515625" style="404" customWidth="1"/>
    <col min="8" max="8" width="4.140625" style="35" customWidth="1"/>
    <col min="9" max="9" width="8.57421875" style="404" customWidth="1"/>
    <col min="10" max="10" width="4.8515625" style="37" customWidth="1"/>
    <col min="11" max="11" width="8.7109375" style="404" customWidth="1"/>
    <col min="12" max="12" width="8.8515625" style="404" customWidth="1"/>
    <col min="13" max="13" width="8.7109375" style="404" customWidth="1"/>
    <col min="14" max="14" width="4.140625" style="35" customWidth="1"/>
    <col min="15" max="15" width="6.7109375" style="36" customWidth="1"/>
    <col min="16" max="16" width="8.00390625" style="81" customWidth="1"/>
    <col min="17" max="17" width="6.28125" style="35" customWidth="1"/>
    <col min="18" max="18" width="5.8515625" style="36" customWidth="1"/>
    <col min="19" max="19" width="8.7109375" style="404" customWidth="1"/>
    <col min="20" max="20" width="15.57421875" style="40" customWidth="1"/>
    <col min="21" max="21" width="9.57421875" style="133" customWidth="1"/>
    <col min="22" max="24" width="10.57421875" style="133" customWidth="1"/>
    <col min="25" max="16384" width="10.57421875" style="40" customWidth="1"/>
  </cols>
  <sheetData>
    <row r="1" spans="1:19" ht="18.75" customHeight="1" thickBot="1">
      <c r="A1" s="34" t="s">
        <v>326</v>
      </c>
      <c r="Q1" s="38"/>
      <c r="R1" s="38"/>
      <c r="S1" s="335" t="s">
        <v>0</v>
      </c>
    </row>
    <row r="2" spans="1:24" s="41" customFormat="1" ht="17.25" customHeight="1">
      <c r="A2" s="1258" t="s">
        <v>1</v>
      </c>
      <c r="B2" s="1261" t="s">
        <v>233</v>
      </c>
      <c r="C2" s="1262"/>
      <c r="D2" s="1262"/>
      <c r="E2" s="1263"/>
      <c r="F2" s="1254" t="s">
        <v>61</v>
      </c>
      <c r="G2" s="1255"/>
      <c r="H2" s="1255"/>
      <c r="I2" s="1255"/>
      <c r="J2" s="1255"/>
      <c r="K2" s="1255"/>
      <c r="L2" s="1255"/>
      <c r="M2" s="1256"/>
      <c r="N2" s="1249" t="s">
        <v>62</v>
      </c>
      <c r="O2" s="1250"/>
      <c r="P2" s="1264" t="s">
        <v>63</v>
      </c>
      <c r="Q2" s="1266" t="s">
        <v>64</v>
      </c>
      <c r="R2" s="1245" t="s">
        <v>65</v>
      </c>
      <c r="S2" s="1245"/>
      <c r="U2" s="42"/>
      <c r="V2" s="42"/>
      <c r="W2" s="42"/>
      <c r="X2" s="42"/>
    </row>
    <row r="3" spans="1:24" s="41" customFormat="1" ht="18" customHeight="1">
      <c r="A3" s="1259"/>
      <c r="B3" s="1253" t="s">
        <v>118</v>
      </c>
      <c r="C3" s="1247"/>
      <c r="D3" s="1247" t="s">
        <v>66</v>
      </c>
      <c r="E3" s="1248"/>
      <c r="F3" s="1253" t="s">
        <v>118</v>
      </c>
      <c r="G3" s="1247"/>
      <c r="H3" s="1247" t="s">
        <v>66</v>
      </c>
      <c r="I3" s="1248"/>
      <c r="J3" s="1257" t="s">
        <v>67</v>
      </c>
      <c r="K3" s="1257"/>
      <c r="L3" s="526" t="s">
        <v>63</v>
      </c>
      <c r="M3" s="527" t="s">
        <v>64</v>
      </c>
      <c r="N3" s="1251"/>
      <c r="O3" s="1252"/>
      <c r="P3" s="1265"/>
      <c r="Q3" s="1267"/>
      <c r="R3" s="1246"/>
      <c r="S3" s="1246"/>
      <c r="U3" s="42"/>
      <c r="V3" s="42"/>
      <c r="W3" s="42"/>
      <c r="X3" s="42"/>
    </row>
    <row r="4" spans="1:24" s="43" customFormat="1" ht="15.75" customHeight="1" thickBot="1">
      <c r="A4" s="1260"/>
      <c r="B4" s="528" t="s">
        <v>10</v>
      </c>
      <c r="C4" s="529" t="s">
        <v>9</v>
      </c>
      <c r="D4" s="530" t="s">
        <v>10</v>
      </c>
      <c r="E4" s="531" t="s">
        <v>9</v>
      </c>
      <c r="F4" s="528" t="s">
        <v>10</v>
      </c>
      <c r="G4" s="529" t="s">
        <v>9</v>
      </c>
      <c r="H4" s="530" t="s">
        <v>10</v>
      </c>
      <c r="I4" s="531" t="s">
        <v>9</v>
      </c>
      <c r="J4" s="530" t="s">
        <v>10</v>
      </c>
      <c r="K4" s="529" t="s">
        <v>9</v>
      </c>
      <c r="L4" s="529" t="s">
        <v>9</v>
      </c>
      <c r="M4" s="531" t="s">
        <v>9</v>
      </c>
      <c r="N4" s="528" t="s">
        <v>10</v>
      </c>
      <c r="O4" s="532" t="s">
        <v>9</v>
      </c>
      <c r="P4" s="533" t="s">
        <v>9</v>
      </c>
      <c r="Q4" s="534" t="s">
        <v>9</v>
      </c>
      <c r="R4" s="530" t="s">
        <v>8</v>
      </c>
      <c r="S4" s="529" t="s">
        <v>9</v>
      </c>
      <c r="U4" s="42"/>
      <c r="V4" s="42"/>
      <c r="W4" s="42"/>
      <c r="X4" s="42"/>
    </row>
    <row r="5" spans="1:19" ht="18" customHeight="1">
      <c r="A5" s="535" t="s">
        <v>68</v>
      </c>
      <c r="B5" s="536"/>
      <c r="C5" s="537"/>
      <c r="D5" s="538"/>
      <c r="E5" s="539"/>
      <c r="F5" s="536"/>
      <c r="G5" s="537"/>
      <c r="H5" s="538"/>
      <c r="I5" s="539"/>
      <c r="J5" s="541"/>
      <c r="K5" s="540"/>
      <c r="L5" s="540"/>
      <c r="M5" s="542"/>
      <c r="N5" s="536"/>
      <c r="O5" s="538"/>
      <c r="P5" s="543"/>
      <c r="Q5" s="544"/>
      <c r="R5" s="545"/>
      <c r="S5" s="546"/>
    </row>
    <row r="6" spans="1:21" ht="17.25" customHeight="1">
      <c r="A6" s="44" t="s">
        <v>11</v>
      </c>
      <c r="B6" s="410">
        <v>72</v>
      </c>
      <c r="C6" s="421">
        <f>4607.3-39.9-32.5</f>
        <v>4534.900000000001</v>
      </c>
      <c r="D6" s="50">
        <v>1</v>
      </c>
      <c r="E6" s="740">
        <v>4478.5</v>
      </c>
      <c r="F6" s="410">
        <f>ApV!D34</f>
        <v>6</v>
      </c>
      <c r="G6" s="421">
        <f>ApV!E34</f>
        <v>198</v>
      </c>
      <c r="H6" s="50">
        <f>ApV!F34</f>
        <v>2</v>
      </c>
      <c r="I6" s="421">
        <f>ApV!G34</f>
        <v>973</v>
      </c>
      <c r="J6" s="50">
        <f>ApV!H34</f>
        <v>20</v>
      </c>
      <c r="K6" s="421">
        <f>ApV!I34</f>
        <v>3942.000000000001</v>
      </c>
      <c r="L6" s="421">
        <f>ApV!J34</f>
        <v>29.5</v>
      </c>
      <c r="M6" s="427">
        <f>ApV!K34</f>
        <v>35086.399999999994</v>
      </c>
      <c r="N6" s="410"/>
      <c r="O6" s="421"/>
      <c r="P6" s="421" t="s">
        <v>12</v>
      </c>
      <c r="Q6" s="427"/>
      <c r="R6" s="51">
        <f>SUM(B6,H6,D6,F6)</f>
        <v>81</v>
      </c>
      <c r="S6" s="741">
        <f>SUM(C6,E6,G6,I6,K6,L6,M6,O6,P6,Q6)</f>
        <v>49242.299999999996</v>
      </c>
      <c r="T6" s="134"/>
      <c r="U6" s="134"/>
    </row>
    <row r="7" spans="1:22" ht="17.25" customHeight="1">
      <c r="A7" s="44" t="s">
        <v>13</v>
      </c>
      <c r="B7" s="410">
        <v>192</v>
      </c>
      <c r="C7" s="745">
        <f>13255-32.6-32.6</f>
        <v>13189.8</v>
      </c>
      <c r="D7" s="50">
        <v>34</v>
      </c>
      <c r="E7" s="740">
        <v>40334</v>
      </c>
      <c r="F7" s="410">
        <f>ApV!D70</f>
        <v>212</v>
      </c>
      <c r="G7" s="421">
        <f>ApV!E70</f>
        <v>24222.600000000002</v>
      </c>
      <c r="H7" s="50">
        <f>ApV!F70</f>
        <v>19</v>
      </c>
      <c r="I7" s="421">
        <f>ApV!G70</f>
        <v>17789.299999999996</v>
      </c>
      <c r="J7" s="50">
        <f>ApV!H70</f>
        <v>93</v>
      </c>
      <c r="K7" s="421">
        <f>ApV!I70</f>
        <v>5974.8</v>
      </c>
      <c r="L7" s="421">
        <f>ApV!J70</f>
        <v>1552</v>
      </c>
      <c r="M7" s="428">
        <f>ApV!K70</f>
        <v>0</v>
      </c>
      <c r="N7" s="410"/>
      <c r="O7" s="421"/>
      <c r="P7" s="421" t="s">
        <v>12</v>
      </c>
      <c r="Q7" s="427">
        <f>6.8*1.1</f>
        <v>7.48</v>
      </c>
      <c r="R7" s="51">
        <f>SUM(B7,H7,D7,F7)</f>
        <v>457</v>
      </c>
      <c r="S7" s="741">
        <f>SUM(C7,E7,G7,I7,K7,L7,M7,O7,P7,Q7)</f>
        <v>103069.98000000001</v>
      </c>
      <c r="T7" s="134"/>
      <c r="U7" s="134"/>
      <c r="V7" s="45"/>
    </row>
    <row r="8" spans="1:21" ht="17.25" customHeight="1">
      <c r="A8" s="44" t="s">
        <v>14</v>
      </c>
      <c r="B8" s="410">
        <v>398</v>
      </c>
      <c r="C8" s="745">
        <f>22021.8-31.8-31.8</f>
        <v>21958.2</v>
      </c>
      <c r="D8" s="50">
        <v>14</v>
      </c>
      <c r="E8" s="740">
        <v>6944</v>
      </c>
      <c r="F8" s="410">
        <f>ApV!D100</f>
        <v>86</v>
      </c>
      <c r="G8" s="421">
        <f>ApV!E100</f>
        <v>4904.3</v>
      </c>
      <c r="H8" s="50">
        <f>ApV!F100</f>
        <v>2</v>
      </c>
      <c r="I8" s="421">
        <f>ApV!G100</f>
        <v>908</v>
      </c>
      <c r="J8" s="50">
        <f>ApV!H100</f>
        <v>35</v>
      </c>
      <c r="K8" s="421">
        <f>ApV!I100</f>
        <v>2788.0000000000005</v>
      </c>
      <c r="L8" s="421">
        <f>ApV!J100</f>
        <v>818.8000000000001</v>
      </c>
      <c r="M8" s="427">
        <f>ApV!K100</f>
        <v>8.8</v>
      </c>
      <c r="N8" s="410"/>
      <c r="O8" s="421"/>
      <c r="P8" s="421"/>
      <c r="Q8" s="427"/>
      <c r="R8" s="51">
        <f>SUM(B8,H8,D8,F8)</f>
        <v>500</v>
      </c>
      <c r="S8" s="741">
        <f>SUM(C8,E8,G8,I8,K8,L8,M8,O8,P8,Q8)</f>
        <v>38330.100000000006</v>
      </c>
      <c r="T8" s="134"/>
      <c r="U8" s="46"/>
    </row>
    <row r="9" spans="1:24" s="260" customFormat="1" ht="17.25" customHeight="1">
      <c r="A9" s="49" t="s">
        <v>15</v>
      </c>
      <c r="B9" s="411">
        <v>128</v>
      </c>
      <c r="C9" s="746">
        <f>10453.8-34.3-34.3</f>
        <v>10385.2</v>
      </c>
      <c r="D9" s="406"/>
      <c r="E9" s="413"/>
      <c r="F9" s="411">
        <f>ApV!D131</f>
        <v>0</v>
      </c>
      <c r="G9" s="268">
        <f>ApV!E131</f>
        <v>0</v>
      </c>
      <c r="H9" s="268">
        <f>ApV!F131</f>
        <v>0</v>
      </c>
      <c r="I9" s="422">
        <f>ApV!G131</f>
        <v>633.1</v>
      </c>
      <c r="J9" s="268">
        <f>ApV!H131</f>
        <v>2</v>
      </c>
      <c r="K9" s="422">
        <f>ApV!I131</f>
        <v>434.2</v>
      </c>
      <c r="L9" s="268">
        <f>ApV!J131</f>
        <v>0</v>
      </c>
      <c r="M9" s="429">
        <f>ApV!K131</f>
        <v>0</v>
      </c>
      <c r="N9" s="411"/>
      <c r="O9" s="422"/>
      <c r="P9" s="422" t="s">
        <v>12</v>
      </c>
      <c r="Q9" s="725"/>
      <c r="R9" s="726">
        <f>SUM(B9,H9,D9,F9)</f>
        <v>128</v>
      </c>
      <c r="S9" s="742">
        <f>SUM(C9,E9,G9,I9,K9,L9,M9,O9,P9,Q9)</f>
        <v>11452.500000000002</v>
      </c>
      <c r="T9" s="269"/>
      <c r="U9" s="269"/>
      <c r="V9" s="271"/>
      <c r="W9" s="271"/>
      <c r="X9" s="271"/>
    </row>
    <row r="10" spans="1:21" ht="18" customHeight="1">
      <c r="A10" s="535" t="s">
        <v>16</v>
      </c>
      <c r="B10" s="718"/>
      <c r="C10" s="483"/>
      <c r="D10" s="720"/>
      <c r="E10" s="721"/>
      <c r="F10" s="718"/>
      <c r="G10" s="719"/>
      <c r="H10" s="720"/>
      <c r="I10" s="719"/>
      <c r="J10" s="720"/>
      <c r="K10" s="719"/>
      <c r="L10" s="719"/>
      <c r="M10" s="721"/>
      <c r="N10" s="718"/>
      <c r="O10" s="720"/>
      <c r="P10" s="723"/>
      <c r="Q10" s="724"/>
      <c r="R10" s="547"/>
      <c r="S10" s="483"/>
      <c r="T10" s="134"/>
      <c r="U10" s="134"/>
    </row>
    <row r="11" spans="1:21" ht="17.25" customHeight="1">
      <c r="A11" s="44" t="s">
        <v>17</v>
      </c>
      <c r="B11" s="410">
        <v>1</v>
      </c>
      <c r="C11" s="745">
        <f>947.3-924.2-21</f>
        <v>2.099999999999909</v>
      </c>
      <c r="D11" s="50"/>
      <c r="E11" s="412"/>
      <c r="F11" s="410"/>
      <c r="G11" s="421"/>
      <c r="H11" s="50"/>
      <c r="I11" s="50"/>
      <c r="J11" s="50"/>
      <c r="K11" s="50"/>
      <c r="L11" s="421">
        <v>38.5</v>
      </c>
      <c r="M11" s="50"/>
      <c r="N11" s="410"/>
      <c r="O11" s="50"/>
      <c r="P11" s="421" t="s">
        <v>12</v>
      </c>
      <c r="Q11" s="428" t="s">
        <v>12</v>
      </c>
      <c r="R11" s="51">
        <f>SUM(B11,H11,D11,F11)</f>
        <v>1</v>
      </c>
      <c r="S11" s="741">
        <f>SUM(C11,E11,G11,I11,K11,L11,M11,O11,P11,Q11)</f>
        <v>40.59999999999991</v>
      </c>
      <c r="T11" s="134"/>
      <c r="U11" s="134"/>
    </row>
    <row r="12" spans="1:21" ht="17.25" customHeight="1">
      <c r="A12" s="44" t="s">
        <v>19</v>
      </c>
      <c r="B12" s="410">
        <v>1</v>
      </c>
      <c r="C12" s="745">
        <f>2.1</f>
        <v>2.1</v>
      </c>
      <c r="D12" s="50"/>
      <c r="E12" s="412"/>
      <c r="F12" s="410"/>
      <c r="G12" s="421"/>
      <c r="H12" s="50"/>
      <c r="I12" s="50"/>
      <c r="J12" s="50"/>
      <c r="K12" s="50"/>
      <c r="L12" s="421"/>
      <c r="M12" s="50"/>
      <c r="N12" s="410"/>
      <c r="O12" s="50"/>
      <c r="P12" s="421"/>
      <c r="Q12" s="428"/>
      <c r="R12" s="51">
        <f>SUM(B12,H12,D12,F12)</f>
        <v>1</v>
      </c>
      <c r="S12" s="741">
        <f>SUM(C12,E12,G12,I12,K12,L12,M12,O12,P12,Q12)</f>
        <v>2.1</v>
      </c>
      <c r="T12" s="134"/>
      <c r="U12" s="134"/>
    </row>
    <row r="13" spans="1:24" s="260" customFormat="1" ht="17.25" customHeight="1">
      <c r="A13" s="49" t="s">
        <v>20</v>
      </c>
      <c r="B13" s="411">
        <v>15</v>
      </c>
      <c r="C13" s="746">
        <f>565+924.2</f>
        <v>1489.2</v>
      </c>
      <c r="D13" s="268"/>
      <c r="E13" s="413"/>
      <c r="F13" s="411"/>
      <c r="G13" s="422"/>
      <c r="H13" s="268"/>
      <c r="I13" s="422"/>
      <c r="J13" s="268"/>
      <c r="K13" s="422"/>
      <c r="L13" s="268"/>
      <c r="M13" s="429"/>
      <c r="N13" s="411"/>
      <c r="O13" s="422"/>
      <c r="P13" s="422"/>
      <c r="Q13" s="429"/>
      <c r="R13" s="994">
        <f>SUM(B13,H13,D13,F13)</f>
        <v>15</v>
      </c>
      <c r="S13" s="742">
        <f>SUM(C13,E13,G13,I13,K13,L13,M13,O13,P13,Q13)</f>
        <v>1489.2</v>
      </c>
      <c r="T13" s="269"/>
      <c r="U13" s="269"/>
      <c r="V13" s="271"/>
      <c r="W13" s="271"/>
      <c r="X13" s="271"/>
    </row>
    <row r="14" spans="1:21" ht="17.25" customHeight="1">
      <c r="A14" s="535" t="s">
        <v>21</v>
      </c>
      <c r="B14" s="548"/>
      <c r="C14" s="486"/>
      <c r="D14" s="550"/>
      <c r="E14" s="551"/>
      <c r="F14" s="548"/>
      <c r="G14" s="549"/>
      <c r="H14" s="550"/>
      <c r="I14" s="549"/>
      <c r="J14" s="550"/>
      <c r="K14" s="549"/>
      <c r="L14" s="549"/>
      <c r="M14" s="551"/>
      <c r="N14" s="548"/>
      <c r="O14" s="550"/>
      <c r="P14" s="552"/>
      <c r="Q14" s="553"/>
      <c r="R14" s="547">
        <f>SUM(B14,H14,N14,D14,J14)</f>
        <v>0</v>
      </c>
      <c r="S14" s="483"/>
      <c r="T14" s="134"/>
      <c r="U14" s="134"/>
    </row>
    <row r="15" spans="1:24" s="260" customFormat="1" ht="17.25" customHeight="1">
      <c r="A15" s="49" t="s">
        <v>23</v>
      </c>
      <c r="B15" s="950">
        <v>11</v>
      </c>
      <c r="C15" s="746">
        <v>1419.1</v>
      </c>
      <c r="D15" s="951">
        <v>2</v>
      </c>
      <c r="E15" s="413">
        <v>2997.4</v>
      </c>
      <c r="F15" s="411"/>
      <c r="G15" s="268"/>
      <c r="H15" s="268"/>
      <c r="I15" s="268"/>
      <c r="J15" s="268"/>
      <c r="K15" s="268"/>
      <c r="L15" s="268"/>
      <c r="M15" s="725"/>
      <c r="N15" s="411" t="s">
        <v>12</v>
      </c>
      <c r="O15" s="268" t="s">
        <v>12</v>
      </c>
      <c r="P15" s="422" t="s">
        <v>12</v>
      </c>
      <c r="Q15" s="429" t="s">
        <v>12</v>
      </c>
      <c r="R15" s="726">
        <f>SUM(B15,H15,D15,F15)</f>
        <v>13</v>
      </c>
      <c r="S15" s="742">
        <f>SUM(C15,E15,G15,I15,K15,L15,M15,O15,P15,Q15)</f>
        <v>4416.5</v>
      </c>
      <c r="T15" s="269"/>
      <c r="U15" s="269"/>
      <c r="V15" s="271"/>
      <c r="W15" s="271"/>
      <c r="X15" s="271"/>
    </row>
    <row r="16" spans="1:21" ht="17.25" customHeight="1">
      <c r="A16" s="535" t="s">
        <v>24</v>
      </c>
      <c r="B16" s="718"/>
      <c r="C16" s="483"/>
      <c r="D16" s="720"/>
      <c r="E16" s="721"/>
      <c r="F16" s="718"/>
      <c r="G16" s="719"/>
      <c r="H16" s="720"/>
      <c r="I16" s="719"/>
      <c r="J16" s="720"/>
      <c r="K16" s="719"/>
      <c r="L16" s="719"/>
      <c r="M16" s="721"/>
      <c r="N16" s="718"/>
      <c r="O16" s="720"/>
      <c r="P16" s="723"/>
      <c r="Q16" s="724"/>
      <c r="R16" s="547"/>
      <c r="S16" s="483"/>
      <c r="T16" s="134"/>
      <c r="U16" s="134"/>
    </row>
    <row r="17" spans="1:21" ht="18" customHeight="1">
      <c r="A17" s="44" t="s">
        <v>565</v>
      </c>
      <c r="B17" s="410">
        <v>1</v>
      </c>
      <c r="C17" s="745">
        <v>66.1</v>
      </c>
      <c r="D17" s="50"/>
      <c r="E17" s="428"/>
      <c r="F17" s="410">
        <f>ApV!D11</f>
        <v>0</v>
      </c>
      <c r="G17" s="50">
        <f>ApV!E11</f>
        <v>0</v>
      </c>
      <c r="H17" s="50">
        <f>ApV!F11</f>
        <v>0</v>
      </c>
      <c r="I17" s="50">
        <f>ApV!G11</f>
        <v>0</v>
      </c>
      <c r="J17" s="50"/>
      <c r="K17" s="421"/>
      <c r="L17" s="421"/>
      <c r="M17" s="428">
        <f>ApV!K11</f>
        <v>0</v>
      </c>
      <c r="N17" s="410"/>
      <c r="O17" s="50"/>
      <c r="P17" s="421"/>
      <c r="Q17" s="428" t="s">
        <v>12</v>
      </c>
      <c r="R17" s="51">
        <f>SUM(B17,H17,D17,F17)</f>
        <v>1</v>
      </c>
      <c r="S17" s="741">
        <f>SUM(C17,E17,G17,I17,K17,L17,M17,O17,P17,Q17)</f>
        <v>66.1</v>
      </c>
      <c r="T17" s="134"/>
      <c r="U17" s="134"/>
    </row>
    <row r="18" spans="1:21" ht="18" customHeight="1">
      <c r="A18" s="44" t="s">
        <v>26</v>
      </c>
      <c r="B18" s="410">
        <v>1</v>
      </c>
      <c r="C18" s="745">
        <v>50.8</v>
      </c>
      <c r="D18" s="50">
        <v>2</v>
      </c>
      <c r="E18" s="427">
        <v>83.7</v>
      </c>
      <c r="F18" s="410">
        <f>ApV!D12</f>
        <v>0</v>
      </c>
      <c r="G18" s="50">
        <f>ApV!E12</f>
        <v>0</v>
      </c>
      <c r="H18" s="50">
        <f>ApV!F12</f>
        <v>0</v>
      </c>
      <c r="I18" s="50">
        <f>ApV!G12</f>
        <v>0</v>
      </c>
      <c r="J18" s="50">
        <f>ApV!H12</f>
        <v>67</v>
      </c>
      <c r="K18" s="421">
        <f>ApV!I12</f>
        <v>5335.7</v>
      </c>
      <c r="L18" s="421">
        <f>ApV!J12</f>
        <v>565.7</v>
      </c>
      <c r="M18" s="428">
        <f>ApV!K12</f>
        <v>0</v>
      </c>
      <c r="N18" s="410"/>
      <c r="O18" s="50"/>
      <c r="P18" s="421"/>
      <c r="Q18" s="428" t="s">
        <v>12</v>
      </c>
      <c r="R18" s="51">
        <f aca="true" t="shared" si="0" ref="R18:R25">SUM(B18,H18,D18,F18)</f>
        <v>3</v>
      </c>
      <c r="S18" s="741">
        <f aca="true" t="shared" si="1" ref="S18:S25">SUM(C18,E18,G18,I18,K18,L18,M18,O18,P18,Q18)</f>
        <v>6035.9</v>
      </c>
      <c r="T18" s="134"/>
      <c r="U18" s="134"/>
    </row>
    <row r="19" spans="1:21" ht="18" customHeight="1">
      <c r="A19" s="44" t="s">
        <v>27</v>
      </c>
      <c r="B19" s="410">
        <v>30</v>
      </c>
      <c r="C19" s="745">
        <v>2292.2</v>
      </c>
      <c r="D19" s="50">
        <v>38</v>
      </c>
      <c r="E19" s="740">
        <v>30219.7</v>
      </c>
      <c r="F19" s="410">
        <f>ApV!D19</f>
        <v>10</v>
      </c>
      <c r="G19" s="421">
        <f>ApV!E19</f>
        <v>876.2</v>
      </c>
      <c r="H19" s="50">
        <f>ApV!F19</f>
        <v>0</v>
      </c>
      <c r="I19" s="421">
        <f>ApV!G19</f>
        <v>306.6</v>
      </c>
      <c r="J19" s="50">
        <f>ApV!H19</f>
        <v>40</v>
      </c>
      <c r="K19" s="421">
        <f>ApV!I19</f>
        <v>3503.9000000000005</v>
      </c>
      <c r="L19" s="50">
        <f>ApV!J19</f>
        <v>0</v>
      </c>
      <c r="M19" s="428">
        <f>ApV!K19</f>
        <v>0</v>
      </c>
      <c r="N19" s="410"/>
      <c r="O19" s="421"/>
      <c r="P19" s="421"/>
      <c r="Q19" s="427"/>
      <c r="R19" s="51">
        <f t="shared" si="0"/>
        <v>78</v>
      </c>
      <c r="S19" s="741">
        <f t="shared" si="1"/>
        <v>37198.6</v>
      </c>
      <c r="T19" s="134"/>
      <c r="U19" s="134"/>
    </row>
    <row r="20" spans="1:21" ht="18" customHeight="1">
      <c r="A20" s="44" t="s">
        <v>29</v>
      </c>
      <c r="B20" s="410">
        <v>3</v>
      </c>
      <c r="C20" s="745">
        <v>343.2</v>
      </c>
      <c r="D20" s="50"/>
      <c r="E20" s="412"/>
      <c r="F20" s="410"/>
      <c r="G20" s="405"/>
      <c r="H20" s="50"/>
      <c r="I20" s="405"/>
      <c r="J20" s="50"/>
      <c r="K20" s="405"/>
      <c r="L20" s="405"/>
      <c r="M20" s="412"/>
      <c r="N20" s="410"/>
      <c r="O20" s="50"/>
      <c r="P20" s="421"/>
      <c r="Q20" s="428" t="s">
        <v>12</v>
      </c>
      <c r="R20" s="51">
        <f t="shared" si="0"/>
        <v>3</v>
      </c>
      <c r="S20" s="741">
        <f t="shared" si="1"/>
        <v>343.2</v>
      </c>
      <c r="T20" s="134"/>
      <c r="U20" s="134"/>
    </row>
    <row r="21" spans="1:21" ht="18" customHeight="1">
      <c r="A21" s="44" t="s">
        <v>30</v>
      </c>
      <c r="B21" s="410">
        <v>11</v>
      </c>
      <c r="C21" s="745">
        <v>413.7</v>
      </c>
      <c r="D21" s="50"/>
      <c r="E21" s="412"/>
      <c r="F21" s="410"/>
      <c r="G21" s="405"/>
      <c r="H21" s="50"/>
      <c r="I21" s="405"/>
      <c r="J21" s="50"/>
      <c r="K21" s="405"/>
      <c r="L21" s="405"/>
      <c r="M21" s="412"/>
      <c r="N21" s="410"/>
      <c r="O21" s="50"/>
      <c r="P21" s="421"/>
      <c r="Q21" s="428" t="s">
        <v>12</v>
      </c>
      <c r="R21" s="51">
        <f t="shared" si="0"/>
        <v>11</v>
      </c>
      <c r="S21" s="741">
        <f t="shared" si="1"/>
        <v>413.7</v>
      </c>
      <c r="T21" s="134"/>
      <c r="U21" s="134"/>
    </row>
    <row r="22" spans="1:21" ht="18" customHeight="1">
      <c r="A22" s="44" t="s">
        <v>31</v>
      </c>
      <c r="B22" s="410">
        <v>3</v>
      </c>
      <c r="C22" s="745">
        <v>248.9</v>
      </c>
      <c r="D22" s="50"/>
      <c r="E22" s="412"/>
      <c r="F22" s="410"/>
      <c r="G22" s="421"/>
      <c r="H22" s="50"/>
      <c r="I22" s="50"/>
      <c r="J22" s="50">
        <f>ApV!H77</f>
        <v>5</v>
      </c>
      <c r="K22" s="421">
        <f>ApV!I77</f>
        <v>371.29999999999995</v>
      </c>
      <c r="L22" s="50"/>
      <c r="M22" s="50"/>
      <c r="N22" s="410"/>
      <c r="O22" s="50"/>
      <c r="P22" s="421"/>
      <c r="Q22" s="428" t="s">
        <v>12</v>
      </c>
      <c r="R22" s="51">
        <f t="shared" si="0"/>
        <v>3</v>
      </c>
      <c r="S22" s="741">
        <f t="shared" si="1"/>
        <v>620.1999999999999</v>
      </c>
      <c r="T22" s="134"/>
      <c r="U22" s="134"/>
    </row>
    <row r="23" spans="1:21" ht="18" customHeight="1">
      <c r="A23" s="44" t="s">
        <v>32</v>
      </c>
      <c r="B23" s="410">
        <v>2</v>
      </c>
      <c r="C23" s="745">
        <v>52.9</v>
      </c>
      <c r="D23" s="50"/>
      <c r="E23" s="412"/>
      <c r="F23" s="410"/>
      <c r="G23" s="421"/>
      <c r="H23" s="50"/>
      <c r="I23" s="50"/>
      <c r="J23" s="50">
        <f>ApV!H103</f>
        <v>1</v>
      </c>
      <c r="K23" s="421">
        <f>ApV!I103</f>
        <v>47.9</v>
      </c>
      <c r="L23" s="421"/>
      <c r="M23" s="50"/>
      <c r="N23" s="410"/>
      <c r="O23" s="50"/>
      <c r="P23" s="421"/>
      <c r="Q23" s="428" t="s">
        <v>12</v>
      </c>
      <c r="R23" s="51">
        <f t="shared" si="0"/>
        <v>2</v>
      </c>
      <c r="S23" s="741">
        <f t="shared" si="1"/>
        <v>100.8</v>
      </c>
      <c r="T23" s="134"/>
      <c r="U23" s="134"/>
    </row>
    <row r="24" spans="1:21" ht="18" customHeight="1">
      <c r="A24" s="44" t="s">
        <v>547</v>
      </c>
      <c r="B24" s="410">
        <v>1</v>
      </c>
      <c r="C24" s="745">
        <v>66.1</v>
      </c>
      <c r="D24" s="50"/>
      <c r="E24" s="412"/>
      <c r="F24" s="410"/>
      <c r="G24" s="421"/>
      <c r="H24" s="50"/>
      <c r="I24" s="50"/>
      <c r="J24" s="50"/>
      <c r="K24" s="421"/>
      <c r="L24" s="421"/>
      <c r="M24" s="50"/>
      <c r="N24" s="410"/>
      <c r="O24" s="50"/>
      <c r="P24" s="421"/>
      <c r="Q24" s="428"/>
      <c r="R24" s="51">
        <f>SUM(B24,H24,D24,F24)</f>
        <v>1</v>
      </c>
      <c r="S24" s="741">
        <f>SUM(C24,E24,G24,I24,K24,L24,M24,O24,P24,Q24)</f>
        <v>66.1</v>
      </c>
      <c r="T24" s="134"/>
      <c r="U24" s="134"/>
    </row>
    <row r="25" spans="1:24" s="342" customFormat="1" ht="17.25" customHeight="1">
      <c r="A25" s="44" t="s">
        <v>33</v>
      </c>
      <c r="B25" s="410">
        <v>1</v>
      </c>
      <c r="C25" s="745">
        <v>81.9</v>
      </c>
      <c r="D25" s="50"/>
      <c r="E25" s="412"/>
      <c r="F25" s="410"/>
      <c r="G25" s="405"/>
      <c r="H25" s="50"/>
      <c r="I25" s="405"/>
      <c r="J25" s="50"/>
      <c r="K25" s="405"/>
      <c r="L25" s="405"/>
      <c r="M25" s="412"/>
      <c r="N25" s="410"/>
      <c r="O25" s="50"/>
      <c r="P25" s="421"/>
      <c r="Q25" s="428" t="s">
        <v>12</v>
      </c>
      <c r="R25" s="51">
        <f t="shared" si="0"/>
        <v>1</v>
      </c>
      <c r="S25" s="452">
        <f t="shared" si="1"/>
        <v>81.9</v>
      </c>
      <c r="T25" s="955"/>
      <c r="U25" s="955"/>
      <c r="V25" s="418"/>
      <c r="W25" s="418"/>
      <c r="X25" s="418"/>
    </row>
    <row r="26" spans="1:24" s="342" customFormat="1" ht="17.25" customHeight="1">
      <c r="A26" s="44" t="s">
        <v>297</v>
      </c>
      <c r="B26" s="410">
        <v>8</v>
      </c>
      <c r="C26" s="745">
        <v>793.8</v>
      </c>
      <c r="D26" s="50"/>
      <c r="E26" s="412"/>
      <c r="F26" s="410"/>
      <c r="G26" s="405"/>
      <c r="H26" s="50"/>
      <c r="I26" s="405"/>
      <c r="J26" s="50"/>
      <c r="K26" s="405"/>
      <c r="L26" s="405"/>
      <c r="M26" s="412"/>
      <c r="N26" s="410"/>
      <c r="O26" s="50"/>
      <c r="P26" s="421"/>
      <c r="Q26" s="428"/>
      <c r="R26" s="51">
        <f>SUM(B26,H26,D26,F26)</f>
        <v>8</v>
      </c>
      <c r="S26" s="452">
        <f>SUM(C26,E26,G26,I26,K26,L26,M26,O26,P26,Q26)</f>
        <v>793.8</v>
      </c>
      <c r="T26" s="955"/>
      <c r="U26" s="955"/>
      <c r="V26" s="418"/>
      <c r="W26" s="418"/>
      <c r="X26" s="418"/>
    </row>
    <row r="27" spans="1:19" ht="19.5">
      <c r="A27" s="243" t="s">
        <v>34</v>
      </c>
      <c r="B27" s="410">
        <v>1</v>
      </c>
      <c r="C27" s="745">
        <v>48.9</v>
      </c>
      <c r="F27" s="1084"/>
      <c r="G27" s="1085"/>
      <c r="H27" s="1085"/>
      <c r="I27" s="1085"/>
      <c r="J27" s="1119">
        <f>ApV!H119</f>
        <v>3</v>
      </c>
      <c r="K27" s="1120">
        <f>ApV!I119</f>
        <v>201.1</v>
      </c>
      <c r="L27" s="1085"/>
      <c r="M27" s="1088"/>
      <c r="N27" s="1123"/>
      <c r="O27" s="1122"/>
      <c r="P27" s="698"/>
      <c r="Q27" s="1124"/>
      <c r="R27" s="51">
        <f>SUM(B27,H27,D27,F27)</f>
        <v>1</v>
      </c>
      <c r="S27" s="741">
        <f>SUM(C27,E27,G27,I27,K27,L27,M27,O27,P27,Q27)</f>
        <v>250</v>
      </c>
    </row>
    <row r="28" spans="1:19" ht="19.5">
      <c r="A28" s="243" t="s">
        <v>299</v>
      </c>
      <c r="B28" s="410">
        <v>1</v>
      </c>
      <c r="C28" s="745">
        <v>51.9</v>
      </c>
      <c r="D28" s="1122"/>
      <c r="E28" s="1085"/>
      <c r="F28" s="1084"/>
      <c r="G28" s="1085"/>
      <c r="H28" s="1085"/>
      <c r="I28" s="1085"/>
      <c r="J28" s="1119"/>
      <c r="K28" s="1120"/>
      <c r="L28" s="1085"/>
      <c r="M28" s="1088"/>
      <c r="N28" s="1123"/>
      <c r="O28" s="1122"/>
      <c r="P28" s="698"/>
      <c r="Q28" s="1124"/>
      <c r="R28" s="51">
        <f>SUM(B28,H28,D28,F28)</f>
        <v>1</v>
      </c>
      <c r="S28" s="452">
        <f>SUM(C28,E28,G28,I28,K28,L28,M28,O28,P28,Q28)</f>
        <v>51.9</v>
      </c>
    </row>
    <row r="29" spans="1:24" s="342" customFormat="1" ht="19.5">
      <c r="A29" s="243" t="s">
        <v>573</v>
      </c>
      <c r="B29" s="410">
        <v>1</v>
      </c>
      <c r="C29" s="745">
        <v>180.8</v>
      </c>
      <c r="D29" s="1122"/>
      <c r="E29" s="1085"/>
      <c r="F29" s="1084"/>
      <c r="G29" s="1085"/>
      <c r="H29" s="1085"/>
      <c r="I29" s="1085"/>
      <c r="J29" s="1119"/>
      <c r="K29" s="1120"/>
      <c r="L29" s="1085"/>
      <c r="M29" s="1088"/>
      <c r="N29" s="1123"/>
      <c r="O29" s="1122"/>
      <c r="P29" s="698"/>
      <c r="Q29" s="1124"/>
      <c r="R29" s="51">
        <f>SUM(B29,H29,D29,F29)</f>
        <v>1</v>
      </c>
      <c r="S29" s="452">
        <f>SUM(C29,E29,G29,I29,K29,L29,M29,O29,P29,Q29)</f>
        <v>180.8</v>
      </c>
      <c r="U29" s="418"/>
      <c r="V29" s="418"/>
      <c r="W29" s="418"/>
      <c r="X29" s="418"/>
    </row>
    <row r="30" spans="1:24" s="260" customFormat="1" ht="19.5">
      <c r="A30" s="727" t="s">
        <v>574</v>
      </c>
      <c r="B30" s="411">
        <v>1</v>
      </c>
      <c r="C30" s="746">
        <v>85.8</v>
      </c>
      <c r="D30" s="1121"/>
      <c r="E30" s="961"/>
      <c r="F30" s="960"/>
      <c r="G30" s="961"/>
      <c r="H30" s="961"/>
      <c r="I30" s="961"/>
      <c r="J30" s="1117"/>
      <c r="K30" s="1118"/>
      <c r="L30" s="961"/>
      <c r="M30" s="962"/>
      <c r="N30" s="1125"/>
      <c r="O30" s="1121"/>
      <c r="P30" s="273"/>
      <c r="Q30" s="1126"/>
      <c r="R30" s="51">
        <f>SUM(B30,H30,D30,F30)</f>
        <v>1</v>
      </c>
      <c r="S30" s="452">
        <f>SUM(C30,E30,G30,I30,K30,L30,M30,O30,P30,Q30)</f>
        <v>85.8</v>
      </c>
      <c r="U30" s="271"/>
      <c r="V30" s="271"/>
      <c r="W30" s="271"/>
      <c r="X30" s="271"/>
    </row>
    <row r="31" spans="1:19" ht="19.5">
      <c r="A31" s="535" t="s">
        <v>35</v>
      </c>
      <c r="B31" s="718"/>
      <c r="C31" s="483"/>
      <c r="D31" s="720"/>
      <c r="E31" s="721"/>
      <c r="F31" s="718"/>
      <c r="G31" s="719"/>
      <c r="H31" s="720"/>
      <c r="I31" s="719"/>
      <c r="J31" s="720"/>
      <c r="K31" s="719"/>
      <c r="L31" s="719"/>
      <c r="M31" s="721"/>
      <c r="N31" s="718"/>
      <c r="O31" s="720"/>
      <c r="P31" s="723"/>
      <c r="Q31" s="724"/>
      <c r="R31" s="547">
        <f>SUM(B31,H31,N31,D31,J31)</f>
        <v>0</v>
      </c>
      <c r="S31" s="483"/>
    </row>
    <row r="32" spans="1:19" ht="19.5">
      <c r="A32" s="44" t="s">
        <v>214</v>
      </c>
      <c r="B32" s="410">
        <v>1</v>
      </c>
      <c r="C32" s="745">
        <v>208.5</v>
      </c>
      <c r="F32" s="1084"/>
      <c r="G32" s="1085"/>
      <c r="H32" s="1086"/>
      <c r="I32" s="1085"/>
      <c r="J32" s="1087"/>
      <c r="K32" s="1085"/>
      <c r="L32" s="1085"/>
      <c r="M32" s="1088"/>
      <c r="N32" s="1127"/>
      <c r="O32" s="417"/>
      <c r="P32" s="698"/>
      <c r="Q32" s="1124"/>
      <c r="R32" s="51">
        <f aca="true" t="shared" si="2" ref="R32:R38">SUM(B32,H32,D32,F32)</f>
        <v>1</v>
      </c>
      <c r="S32" s="452">
        <f aca="true" t="shared" si="3" ref="S32:S38">SUM(C32,E32,G32,I32,K32,L32,M32,O32,P32,Q32)</f>
        <v>208.5</v>
      </c>
    </row>
    <row r="33" spans="1:19" ht="19.5">
      <c r="A33" s="44" t="s">
        <v>153</v>
      </c>
      <c r="B33" s="410">
        <v>1</v>
      </c>
      <c r="C33" s="745">
        <v>175.6</v>
      </c>
      <c r="F33" s="1084"/>
      <c r="G33" s="1085"/>
      <c r="H33" s="1086"/>
      <c r="I33" s="1085"/>
      <c r="J33" s="1087"/>
      <c r="K33" s="1085"/>
      <c r="L33" s="1085"/>
      <c r="M33" s="1088"/>
      <c r="N33" s="1127"/>
      <c r="O33" s="417"/>
      <c r="P33" s="698"/>
      <c r="Q33" s="1124"/>
      <c r="R33" s="51">
        <f t="shared" si="2"/>
        <v>1</v>
      </c>
      <c r="S33" s="452">
        <f t="shared" si="3"/>
        <v>175.6</v>
      </c>
    </row>
    <row r="34" spans="1:19" ht="19.5">
      <c r="A34" s="44" t="s">
        <v>568</v>
      </c>
      <c r="B34" s="410">
        <v>1</v>
      </c>
      <c r="C34" s="745">
        <v>236.1</v>
      </c>
      <c r="F34" s="1084"/>
      <c r="G34" s="1085"/>
      <c r="H34" s="1086"/>
      <c r="I34" s="1085"/>
      <c r="J34" s="1087"/>
      <c r="K34" s="1085"/>
      <c r="L34" s="1085"/>
      <c r="M34" s="1088"/>
      <c r="N34" s="1127"/>
      <c r="O34" s="417"/>
      <c r="P34" s="698"/>
      <c r="Q34" s="1124"/>
      <c r="R34" s="51">
        <f t="shared" si="2"/>
        <v>1</v>
      </c>
      <c r="S34" s="452">
        <f t="shared" si="3"/>
        <v>236.1</v>
      </c>
    </row>
    <row r="35" spans="1:19" ht="19.5">
      <c r="A35" s="44" t="s">
        <v>534</v>
      </c>
      <c r="B35" s="410"/>
      <c r="C35" s="745"/>
      <c r="F35" s="1084"/>
      <c r="G35" s="1085"/>
      <c r="H35" s="1086"/>
      <c r="I35" s="1085"/>
      <c r="J35" s="1087"/>
      <c r="K35" s="1085"/>
      <c r="L35" s="1085"/>
      <c r="M35" s="1088"/>
      <c r="N35" s="1127">
        <v>3</v>
      </c>
      <c r="O35" s="417">
        <v>419.6</v>
      </c>
      <c r="P35" s="698"/>
      <c r="Q35" s="1124"/>
      <c r="R35" s="51">
        <f t="shared" si="2"/>
        <v>0</v>
      </c>
      <c r="S35" s="452">
        <f t="shared" si="3"/>
        <v>419.6</v>
      </c>
    </row>
    <row r="36" spans="1:19" ht="19.5">
      <c r="A36" s="44" t="s">
        <v>374</v>
      </c>
      <c r="B36" s="410">
        <v>1</v>
      </c>
      <c r="C36" s="745">
        <v>196.3</v>
      </c>
      <c r="F36" s="1084"/>
      <c r="G36" s="1085"/>
      <c r="H36" s="1086"/>
      <c r="I36" s="1085"/>
      <c r="J36" s="1087"/>
      <c r="K36" s="1085"/>
      <c r="L36" s="1085"/>
      <c r="M36" s="1088"/>
      <c r="N36" s="1127"/>
      <c r="O36" s="417"/>
      <c r="P36" s="698"/>
      <c r="Q36" s="1124"/>
      <c r="R36" s="51">
        <f t="shared" si="2"/>
        <v>1</v>
      </c>
      <c r="S36" s="452">
        <f t="shared" si="3"/>
        <v>196.3</v>
      </c>
    </row>
    <row r="37" spans="1:19" ht="19.5">
      <c r="A37" s="44" t="s">
        <v>570</v>
      </c>
      <c r="B37" s="410">
        <v>1</v>
      </c>
      <c r="C37" s="745">
        <v>156.2</v>
      </c>
      <c r="F37" s="1084"/>
      <c r="G37" s="1085"/>
      <c r="H37" s="1086"/>
      <c r="I37" s="1085"/>
      <c r="J37" s="1087"/>
      <c r="K37" s="1085"/>
      <c r="L37" s="1085"/>
      <c r="M37" s="1088"/>
      <c r="N37" s="1127"/>
      <c r="O37" s="417"/>
      <c r="P37" s="698"/>
      <c r="Q37" s="1124"/>
      <c r="R37" s="51">
        <f t="shared" si="2"/>
        <v>1</v>
      </c>
      <c r="S37" s="452">
        <f t="shared" si="3"/>
        <v>156.2</v>
      </c>
    </row>
    <row r="38" spans="1:19" ht="19.5">
      <c r="A38" s="44" t="s">
        <v>572</v>
      </c>
      <c r="B38" s="410">
        <v>1</v>
      </c>
      <c r="C38" s="745">
        <v>167</v>
      </c>
      <c r="F38" s="1084"/>
      <c r="G38" s="1085"/>
      <c r="H38" s="1086"/>
      <c r="I38" s="1085"/>
      <c r="J38" s="1087"/>
      <c r="K38" s="1085"/>
      <c r="L38" s="1085"/>
      <c r="M38" s="1088"/>
      <c r="N38" s="1127"/>
      <c r="O38" s="417"/>
      <c r="P38" s="698"/>
      <c r="Q38" s="1124"/>
      <c r="R38" s="51">
        <f t="shared" si="2"/>
        <v>1</v>
      </c>
      <c r="S38" s="452">
        <f t="shared" si="3"/>
        <v>167</v>
      </c>
    </row>
    <row r="39" spans="1:21" ht="18" customHeight="1">
      <c r="A39" s="535" t="s">
        <v>69</v>
      </c>
      <c r="B39" s="718"/>
      <c r="C39" s="483"/>
      <c r="D39" s="720"/>
      <c r="E39" s="721"/>
      <c r="F39" s="718"/>
      <c r="G39" s="719"/>
      <c r="H39" s="720"/>
      <c r="I39" s="719"/>
      <c r="J39" s="720"/>
      <c r="K39" s="719"/>
      <c r="L39" s="719"/>
      <c r="M39" s="721"/>
      <c r="N39" s="718"/>
      <c r="O39" s="720"/>
      <c r="P39" s="723"/>
      <c r="Q39" s="724"/>
      <c r="R39" s="547">
        <f>SUM(B39,H39,N39,D39,J39)</f>
        <v>0</v>
      </c>
      <c r="S39" s="483"/>
      <c r="T39" s="134"/>
      <c r="U39" s="134"/>
    </row>
    <row r="40" spans="1:21" ht="17.25" customHeight="1">
      <c r="A40" s="44" t="s">
        <v>173</v>
      </c>
      <c r="B40" s="410"/>
      <c r="C40" s="745"/>
      <c r="D40" s="50"/>
      <c r="E40" s="412">
        <v>1430.7</v>
      </c>
      <c r="F40" s="410"/>
      <c r="G40" s="405"/>
      <c r="H40" s="50"/>
      <c r="I40" s="405"/>
      <c r="J40" s="50"/>
      <c r="K40" s="421"/>
      <c r="L40" s="50"/>
      <c r="M40" s="428"/>
      <c r="N40" s="410"/>
      <c r="O40" s="421"/>
      <c r="P40" s="421"/>
      <c r="Q40" s="428" t="s">
        <v>12</v>
      </c>
      <c r="R40" s="51">
        <f aca="true" t="shared" si="4" ref="R40:R50">SUM(B40,H40,D40,F40)</f>
        <v>0</v>
      </c>
      <c r="S40" s="741">
        <f aca="true" t="shared" si="5" ref="S40:S50">SUM(C40,E40,G40,I40,K40,L40,M40,O40,P40,Q40)</f>
        <v>1430.7</v>
      </c>
      <c r="T40" s="134"/>
      <c r="U40" s="134"/>
    </row>
    <row r="41" spans="1:21" ht="17.25" customHeight="1">
      <c r="A41" s="44" t="s">
        <v>596</v>
      </c>
      <c r="B41" s="410">
        <v>2</v>
      </c>
      <c r="C41" s="745">
        <v>498.2</v>
      </c>
      <c r="D41" s="50"/>
      <c r="E41" s="412"/>
      <c r="F41" s="410"/>
      <c r="G41" s="405"/>
      <c r="H41" s="50"/>
      <c r="I41" s="405"/>
      <c r="J41" s="50"/>
      <c r="K41" s="421"/>
      <c r="L41" s="50"/>
      <c r="M41" s="50"/>
      <c r="N41" s="410"/>
      <c r="O41" s="421"/>
      <c r="P41" s="421"/>
      <c r="Q41" s="428"/>
      <c r="R41" s="51">
        <f t="shared" si="4"/>
        <v>2</v>
      </c>
      <c r="S41" s="741">
        <f t="shared" si="5"/>
        <v>498.2</v>
      </c>
      <c r="T41" s="134"/>
      <c r="U41" s="134"/>
    </row>
    <row r="42" spans="1:21" ht="17.25" customHeight="1">
      <c r="A42" s="44" t="s">
        <v>40</v>
      </c>
      <c r="B42" s="410">
        <v>2</v>
      </c>
      <c r="C42" s="745">
        <v>124.3</v>
      </c>
      <c r="D42" s="50"/>
      <c r="E42" s="412"/>
      <c r="F42" s="410"/>
      <c r="G42" s="50"/>
      <c r="H42" s="50"/>
      <c r="I42" s="50"/>
      <c r="J42" s="50"/>
      <c r="K42" s="50"/>
      <c r="L42" s="421"/>
      <c r="M42" s="50"/>
      <c r="N42" s="410">
        <v>3</v>
      </c>
      <c r="O42" s="421">
        <f>137.097*1.1/2</f>
        <v>75.40335000000002</v>
      </c>
      <c r="P42" s="421"/>
      <c r="Q42" s="428"/>
      <c r="R42" s="51">
        <f t="shared" si="4"/>
        <v>2</v>
      </c>
      <c r="S42" s="741">
        <f t="shared" si="5"/>
        <v>199.70335</v>
      </c>
      <c r="T42" s="134"/>
      <c r="U42" s="134"/>
    </row>
    <row r="43" spans="1:21" ht="17.25" customHeight="1">
      <c r="A43" s="44" t="s">
        <v>567</v>
      </c>
      <c r="B43" s="410">
        <v>2</v>
      </c>
      <c r="C43" s="745">
        <v>377.2</v>
      </c>
      <c r="D43" s="50"/>
      <c r="E43" s="412"/>
      <c r="F43" s="410"/>
      <c r="G43" s="50"/>
      <c r="H43" s="50"/>
      <c r="I43" s="50"/>
      <c r="J43" s="50"/>
      <c r="K43" s="50"/>
      <c r="L43" s="421"/>
      <c r="M43" s="50"/>
      <c r="N43" s="410"/>
      <c r="O43" s="421"/>
      <c r="P43" s="421"/>
      <c r="Q43" s="428"/>
      <c r="R43" s="51">
        <f t="shared" si="4"/>
        <v>2</v>
      </c>
      <c r="S43" s="741">
        <f t="shared" si="5"/>
        <v>377.2</v>
      </c>
      <c r="T43" s="134"/>
      <c r="U43" s="134"/>
    </row>
    <row r="44" spans="1:21" ht="17.25" customHeight="1">
      <c r="A44" s="44" t="s">
        <v>216</v>
      </c>
      <c r="B44" s="410"/>
      <c r="C44" s="745"/>
      <c r="D44" s="50"/>
      <c r="E44" s="412"/>
      <c r="F44" s="410"/>
      <c r="G44" s="405"/>
      <c r="H44" s="50"/>
      <c r="I44" s="405"/>
      <c r="J44" s="50">
        <v>1</v>
      </c>
      <c r="K44" s="405">
        <v>80.8</v>
      </c>
      <c r="L44" s="405"/>
      <c r="M44" s="412"/>
      <c r="N44" s="410"/>
      <c r="O44" s="50"/>
      <c r="P44" s="421"/>
      <c r="Q44" s="428" t="s">
        <v>12</v>
      </c>
      <c r="R44" s="51">
        <f t="shared" si="4"/>
        <v>0</v>
      </c>
      <c r="S44" s="741">
        <f t="shared" si="5"/>
        <v>80.8</v>
      </c>
      <c r="T44" s="134"/>
      <c r="U44" s="134"/>
    </row>
    <row r="45" spans="1:21" ht="17.25" customHeight="1">
      <c r="A45" s="44" t="s">
        <v>291</v>
      </c>
      <c r="B45" s="410">
        <v>9</v>
      </c>
      <c r="C45" s="745">
        <v>508.7</v>
      </c>
      <c r="D45" s="50"/>
      <c r="E45" s="412"/>
      <c r="F45" s="410"/>
      <c r="G45" s="405"/>
      <c r="H45" s="50"/>
      <c r="I45" s="405"/>
      <c r="J45" s="50"/>
      <c r="K45" s="405"/>
      <c r="L45" s="405"/>
      <c r="M45" s="412"/>
      <c r="N45" s="410"/>
      <c r="O45" s="50"/>
      <c r="P45" s="421"/>
      <c r="Q45" s="428"/>
      <c r="R45" s="51">
        <f t="shared" si="4"/>
        <v>9</v>
      </c>
      <c r="S45" s="741">
        <f t="shared" si="5"/>
        <v>508.7</v>
      </c>
      <c r="T45" s="134"/>
      <c r="U45" s="134"/>
    </row>
    <row r="46" spans="1:21" ht="17.25" customHeight="1">
      <c r="A46" s="44" t="s">
        <v>42</v>
      </c>
      <c r="B46" s="410">
        <v>2</v>
      </c>
      <c r="C46" s="745">
        <v>227.8</v>
      </c>
      <c r="D46" s="50"/>
      <c r="E46" s="412">
        <v>1365.3</v>
      </c>
      <c r="F46" s="410"/>
      <c r="G46" s="405"/>
      <c r="H46" s="50"/>
      <c r="I46" s="405"/>
      <c r="J46" s="50"/>
      <c r="K46" s="405">
        <v>80.8</v>
      </c>
      <c r="L46" s="405"/>
      <c r="M46" s="412"/>
      <c r="N46" s="410"/>
      <c r="O46" s="50"/>
      <c r="P46" s="421"/>
      <c r="Q46" s="428" t="s">
        <v>12</v>
      </c>
      <c r="R46" s="51">
        <f t="shared" si="4"/>
        <v>2</v>
      </c>
      <c r="S46" s="741">
        <f t="shared" si="5"/>
        <v>1673.8999999999999</v>
      </c>
      <c r="T46" s="134"/>
      <c r="U46" s="134"/>
    </row>
    <row r="47" spans="1:21" ht="17.25" customHeight="1">
      <c r="A47" s="44" t="s">
        <v>43</v>
      </c>
      <c r="B47" s="410">
        <v>5</v>
      </c>
      <c r="C47" s="745">
        <v>680.9</v>
      </c>
      <c r="D47" s="50"/>
      <c r="E47" s="412"/>
      <c r="F47" s="410"/>
      <c r="G47" s="50"/>
      <c r="H47" s="50"/>
      <c r="I47" s="50"/>
      <c r="J47" s="50">
        <f>ApV!H73</f>
        <v>6</v>
      </c>
      <c r="K47" s="421">
        <f>ApV!I73</f>
        <v>1728.7</v>
      </c>
      <c r="L47" s="421"/>
      <c r="M47" s="50"/>
      <c r="N47" s="410"/>
      <c r="O47" s="50"/>
      <c r="P47" s="421"/>
      <c r="Q47" s="428" t="s">
        <v>12</v>
      </c>
      <c r="R47" s="51">
        <f t="shared" si="4"/>
        <v>5</v>
      </c>
      <c r="S47" s="741">
        <f t="shared" si="5"/>
        <v>2409.6</v>
      </c>
      <c r="T47" s="134"/>
      <c r="U47" s="134"/>
    </row>
    <row r="48" spans="1:21" ht="17.25" customHeight="1">
      <c r="A48" s="44" t="s">
        <v>46</v>
      </c>
      <c r="B48" s="410">
        <v>2</v>
      </c>
      <c r="C48" s="745">
        <v>257</v>
      </c>
      <c r="D48" s="50"/>
      <c r="E48" s="412"/>
      <c r="F48" s="410"/>
      <c r="G48" s="50"/>
      <c r="H48" s="50"/>
      <c r="I48" s="50"/>
      <c r="J48" s="50"/>
      <c r="K48" s="421"/>
      <c r="L48" s="50"/>
      <c r="M48" s="428"/>
      <c r="N48" s="410">
        <v>3</v>
      </c>
      <c r="O48" s="421">
        <f>137.097*1.1/2</f>
        <v>75.40335000000002</v>
      </c>
      <c r="P48" s="421"/>
      <c r="Q48" s="428" t="s">
        <v>12</v>
      </c>
      <c r="R48" s="51">
        <f t="shared" si="4"/>
        <v>2</v>
      </c>
      <c r="S48" s="741">
        <f t="shared" si="5"/>
        <v>332.40335000000005</v>
      </c>
      <c r="T48" s="134"/>
      <c r="U48" s="134"/>
    </row>
    <row r="49" spans="1:21" ht="17.25" customHeight="1">
      <c r="A49" s="44" t="s">
        <v>47</v>
      </c>
      <c r="B49" s="410"/>
      <c r="C49" s="745"/>
      <c r="D49" s="50"/>
      <c r="E49" s="412"/>
      <c r="F49" s="410"/>
      <c r="G49" s="50"/>
      <c r="H49" s="50"/>
      <c r="I49" s="50"/>
      <c r="J49" s="50">
        <f>ApV!H81</f>
        <v>4</v>
      </c>
      <c r="K49" s="421">
        <f>ApV!I81</f>
        <v>688.3</v>
      </c>
      <c r="L49" s="421">
        <f>ApV!J81</f>
        <v>2379</v>
      </c>
      <c r="M49" s="50">
        <f>ApV!K81</f>
        <v>0</v>
      </c>
      <c r="N49" s="410"/>
      <c r="O49" s="50"/>
      <c r="P49" s="421"/>
      <c r="Q49" s="428" t="s">
        <v>12</v>
      </c>
      <c r="R49" s="51">
        <f t="shared" si="4"/>
        <v>0</v>
      </c>
      <c r="S49" s="741">
        <f t="shared" si="5"/>
        <v>3067.3</v>
      </c>
      <c r="T49" s="134"/>
      <c r="U49" s="134"/>
    </row>
    <row r="50" spans="1:21" ht="17.25" customHeight="1">
      <c r="A50" s="44" t="s">
        <v>48</v>
      </c>
      <c r="B50" s="410">
        <v>1</v>
      </c>
      <c r="C50" s="745">
        <v>211.6</v>
      </c>
      <c r="D50" s="50"/>
      <c r="E50" s="412">
        <v>121.8</v>
      </c>
      <c r="F50" s="410"/>
      <c r="G50" s="50"/>
      <c r="H50" s="50"/>
      <c r="I50" s="50"/>
      <c r="J50" s="50"/>
      <c r="K50" s="421"/>
      <c r="L50" s="50"/>
      <c r="M50" s="428"/>
      <c r="N50" s="410"/>
      <c r="O50" s="421"/>
      <c r="P50" s="421"/>
      <c r="Q50" s="428" t="s">
        <v>12</v>
      </c>
      <c r="R50" s="51">
        <f t="shared" si="4"/>
        <v>1</v>
      </c>
      <c r="S50" s="741">
        <f t="shared" si="5"/>
        <v>333.4</v>
      </c>
      <c r="T50" s="134"/>
      <c r="U50" s="134"/>
    </row>
    <row r="51" spans="1:21" ht="17.25" customHeight="1">
      <c r="A51" s="44" t="s">
        <v>50</v>
      </c>
      <c r="B51" s="410">
        <v>3</v>
      </c>
      <c r="C51" s="745">
        <v>825</v>
      </c>
      <c r="D51" s="50"/>
      <c r="E51" s="412"/>
      <c r="F51" s="410">
        <f>ApV!D116</f>
        <v>31</v>
      </c>
      <c r="G51" s="421">
        <f>ApV!E116</f>
        <v>2412.3</v>
      </c>
      <c r="H51" s="421">
        <f>ApV!F116</f>
        <v>0</v>
      </c>
      <c r="I51" s="421">
        <f>ApV!G116</f>
        <v>0</v>
      </c>
      <c r="J51" s="50">
        <f>ApV!H116</f>
        <v>3</v>
      </c>
      <c r="K51" s="421">
        <f>ApV!I116</f>
        <v>28.2</v>
      </c>
      <c r="L51" s="421">
        <f>ApV!J116</f>
        <v>3171.1</v>
      </c>
      <c r="M51" s="427">
        <f>ApV!K116</f>
        <v>0</v>
      </c>
      <c r="N51" s="410"/>
      <c r="O51" s="50"/>
      <c r="P51" s="421"/>
      <c r="Q51" s="428" t="s">
        <v>12</v>
      </c>
      <c r="R51" s="51">
        <f aca="true" t="shared" si="6" ref="R51:R56">SUM(B51,H51,D51,F51)</f>
        <v>34</v>
      </c>
      <c r="S51" s="741">
        <f aca="true" t="shared" si="7" ref="S51:S56">SUM(C51,E51,G51,I51,K51,L51,M51,O51,P51,Q51)</f>
        <v>6436.6</v>
      </c>
      <c r="T51" s="134"/>
      <c r="U51" s="134"/>
    </row>
    <row r="52" spans="1:21" ht="17.25" customHeight="1">
      <c r="A52" s="44" t="s">
        <v>236</v>
      </c>
      <c r="B52" s="410">
        <v>2</v>
      </c>
      <c r="C52" s="745">
        <v>279.5</v>
      </c>
      <c r="D52" s="50"/>
      <c r="E52" s="412"/>
      <c r="F52" s="410"/>
      <c r="G52" s="421"/>
      <c r="H52" s="421"/>
      <c r="I52" s="421"/>
      <c r="J52" s="50"/>
      <c r="K52" s="421"/>
      <c r="L52" s="421"/>
      <c r="M52" s="427"/>
      <c r="N52" s="410"/>
      <c r="O52" s="50"/>
      <c r="P52" s="421"/>
      <c r="Q52" s="428"/>
      <c r="R52" s="51">
        <f>SUM(B52,H52,D52,F52)</f>
        <v>2</v>
      </c>
      <c r="S52" s="741">
        <f>SUM(C52,E52,G52,I52,K52,L52,M52,O52,P52,Q52)</f>
        <v>279.5</v>
      </c>
      <c r="T52" s="134"/>
      <c r="U52" s="134"/>
    </row>
    <row r="53" spans="1:21" ht="17.25" customHeight="1">
      <c r="A53" s="44" t="s">
        <v>298</v>
      </c>
      <c r="B53" s="410"/>
      <c r="C53" s="745"/>
      <c r="D53" s="50"/>
      <c r="E53" s="412"/>
      <c r="F53" s="410"/>
      <c r="G53" s="421"/>
      <c r="H53" s="50"/>
      <c r="I53" s="50"/>
      <c r="J53" s="50"/>
      <c r="K53" s="421">
        <v>80.8</v>
      </c>
      <c r="L53" s="421"/>
      <c r="M53" s="428"/>
      <c r="N53" s="410"/>
      <c r="O53" s="50"/>
      <c r="P53" s="421"/>
      <c r="Q53" s="428"/>
      <c r="R53" s="51">
        <f t="shared" si="6"/>
        <v>0</v>
      </c>
      <c r="S53" s="741">
        <f t="shared" si="7"/>
        <v>80.8</v>
      </c>
      <c r="T53" s="134"/>
      <c r="U53" s="134"/>
    </row>
    <row r="54" spans="1:21" ht="17.25" customHeight="1">
      <c r="A54" s="44" t="s">
        <v>167</v>
      </c>
      <c r="B54" s="410">
        <v>8</v>
      </c>
      <c r="C54" s="745">
        <v>415.1</v>
      </c>
      <c r="D54" s="50">
        <v>2</v>
      </c>
      <c r="E54" s="412">
        <v>411.8</v>
      </c>
      <c r="F54" s="410"/>
      <c r="G54" s="50"/>
      <c r="H54" s="50"/>
      <c r="I54" s="50"/>
      <c r="J54" s="50"/>
      <c r="K54" s="421"/>
      <c r="L54" s="50"/>
      <c r="M54" s="428"/>
      <c r="N54" s="410"/>
      <c r="O54" s="421"/>
      <c r="P54" s="421"/>
      <c r="Q54" s="428" t="s">
        <v>12</v>
      </c>
      <c r="R54" s="51">
        <f t="shared" si="6"/>
        <v>10</v>
      </c>
      <c r="S54" s="741">
        <f t="shared" si="7"/>
        <v>826.9000000000001</v>
      </c>
      <c r="T54" s="134"/>
      <c r="U54" s="134"/>
    </row>
    <row r="55" spans="1:21" ht="17.25" customHeight="1">
      <c r="A55" s="44" t="s">
        <v>52</v>
      </c>
      <c r="B55" s="410">
        <v>2</v>
      </c>
      <c r="C55" s="745">
        <v>276.3</v>
      </c>
      <c r="D55" s="50"/>
      <c r="E55" s="412"/>
      <c r="F55" s="410"/>
      <c r="G55" s="50"/>
      <c r="H55" s="50"/>
      <c r="I55" s="50"/>
      <c r="J55" s="50"/>
      <c r="K55" s="421"/>
      <c r="L55" s="421">
        <v>2379</v>
      </c>
      <c r="M55" s="428"/>
      <c r="N55" s="410"/>
      <c r="O55" s="421"/>
      <c r="P55" s="421"/>
      <c r="Q55" s="428"/>
      <c r="R55" s="51">
        <f t="shared" si="6"/>
        <v>2</v>
      </c>
      <c r="S55" s="741">
        <f t="shared" si="7"/>
        <v>2655.3</v>
      </c>
      <c r="T55" s="134"/>
      <c r="U55" s="134"/>
    </row>
    <row r="56" spans="1:24" s="260" customFormat="1" ht="17.25" customHeight="1">
      <c r="A56" s="49" t="s">
        <v>53</v>
      </c>
      <c r="B56" s="411">
        <v>2</v>
      </c>
      <c r="C56" s="746">
        <v>225.3</v>
      </c>
      <c r="D56" s="268"/>
      <c r="E56" s="413"/>
      <c r="F56" s="411"/>
      <c r="G56" s="406"/>
      <c r="H56" s="268"/>
      <c r="I56" s="406"/>
      <c r="J56" s="268">
        <f>ApV!H126</f>
        <v>1</v>
      </c>
      <c r="K56" s="422">
        <f>ApV!I126</f>
        <v>109.1</v>
      </c>
      <c r="L56" s="422">
        <f>ApV!J126</f>
        <v>2379</v>
      </c>
      <c r="M56" s="268">
        <f>ApV!K126</f>
        <v>0</v>
      </c>
      <c r="N56" s="411"/>
      <c r="O56" s="268"/>
      <c r="P56" s="422"/>
      <c r="Q56" s="429" t="s">
        <v>12</v>
      </c>
      <c r="R56" s="726">
        <f t="shared" si="6"/>
        <v>2</v>
      </c>
      <c r="S56" s="742">
        <f t="shared" si="7"/>
        <v>2713.4</v>
      </c>
      <c r="T56" s="269"/>
      <c r="U56" s="269"/>
      <c r="V56" s="271"/>
      <c r="W56" s="271"/>
      <c r="X56" s="271"/>
    </row>
    <row r="57" spans="1:21" ht="17.25" customHeight="1">
      <c r="A57" s="535" t="s">
        <v>146</v>
      </c>
      <c r="B57" s="548"/>
      <c r="C57" s="486"/>
      <c r="D57" s="550"/>
      <c r="E57" s="551"/>
      <c r="F57" s="548"/>
      <c r="G57" s="549"/>
      <c r="H57" s="550"/>
      <c r="I57" s="549"/>
      <c r="J57" s="550"/>
      <c r="K57" s="549"/>
      <c r="L57" s="549"/>
      <c r="M57" s="551"/>
      <c r="N57" s="548"/>
      <c r="O57" s="550"/>
      <c r="P57" s="552"/>
      <c r="Q57" s="553"/>
      <c r="R57" s="547"/>
      <c r="S57" s="743"/>
      <c r="T57" s="134"/>
      <c r="U57" s="134"/>
    </row>
    <row r="58" spans="1:24" s="958" customFormat="1" ht="17.25" customHeight="1">
      <c r="A58" s="243" t="s">
        <v>295</v>
      </c>
      <c r="B58" s="410">
        <v>1</v>
      </c>
      <c r="C58" s="745">
        <v>48.9</v>
      </c>
      <c r="D58" s="50"/>
      <c r="E58" s="412"/>
      <c r="F58" s="410"/>
      <c r="G58" s="405"/>
      <c r="H58" s="50"/>
      <c r="I58" s="405"/>
      <c r="J58" s="50"/>
      <c r="K58" s="405"/>
      <c r="L58" s="405"/>
      <c r="M58" s="412"/>
      <c r="N58" s="410"/>
      <c r="O58" s="50"/>
      <c r="P58" s="421"/>
      <c r="Q58" s="428" t="s">
        <v>12</v>
      </c>
      <c r="R58" s="51">
        <f>SUM(B58,H58,D58,F58)</f>
        <v>1</v>
      </c>
      <c r="S58" s="452">
        <f>SUM(C58,E58,G58,I58,K58,L58,M58,O58,P58,Q58)</f>
        <v>48.9</v>
      </c>
      <c r="T58" s="956"/>
      <c r="U58" s="956"/>
      <c r="V58" s="957"/>
      <c r="W58" s="957"/>
      <c r="X58" s="957"/>
    </row>
    <row r="59" spans="1:24" s="958" customFormat="1" ht="17.25" customHeight="1">
      <c r="A59" s="243" t="s">
        <v>296</v>
      </c>
      <c r="B59" s="410">
        <v>4</v>
      </c>
      <c r="C59" s="745">
        <v>528.8</v>
      </c>
      <c r="D59" s="50"/>
      <c r="E59" s="412"/>
      <c r="F59" s="410"/>
      <c r="G59" s="405"/>
      <c r="H59" s="50"/>
      <c r="I59" s="405"/>
      <c r="J59" s="50"/>
      <c r="K59" s="405"/>
      <c r="L59" s="405"/>
      <c r="M59" s="412"/>
      <c r="N59" s="410"/>
      <c r="O59" s="50"/>
      <c r="P59" s="421"/>
      <c r="Q59" s="428" t="s">
        <v>12</v>
      </c>
      <c r="R59" s="51">
        <f>SUM(B59,H59,D59,F59)</f>
        <v>4</v>
      </c>
      <c r="S59" s="452">
        <f>SUM(C59,E59,G59,I59,K59,L59,M59,O59,P59,Q59)</f>
        <v>528.8</v>
      </c>
      <c r="T59" s="956"/>
      <c r="U59" s="956"/>
      <c r="V59" s="957"/>
      <c r="W59" s="957"/>
      <c r="X59" s="957"/>
    </row>
    <row r="60" spans="1:24" s="730" customFormat="1" ht="17.25" customHeight="1">
      <c r="A60" s="243" t="s">
        <v>36</v>
      </c>
      <c r="B60" s="410">
        <v>4</v>
      </c>
      <c r="C60" s="745">
        <v>619.2</v>
      </c>
      <c r="D60" s="50"/>
      <c r="E60" s="412"/>
      <c r="F60" s="410"/>
      <c r="G60" s="405"/>
      <c r="H60" s="50"/>
      <c r="I60" s="405"/>
      <c r="J60" s="50"/>
      <c r="K60" s="405"/>
      <c r="L60" s="405"/>
      <c r="M60" s="412"/>
      <c r="N60" s="410"/>
      <c r="O60" s="50"/>
      <c r="P60" s="421"/>
      <c r="Q60" s="428" t="s">
        <v>12</v>
      </c>
      <c r="R60" s="51">
        <f>SUM(B60,H60,D60,F60)</f>
        <v>4</v>
      </c>
      <c r="S60" s="452">
        <f>SUM(C60,E60,G60,I60,K60,L60,M60,O60,P60,Q60)</f>
        <v>619.2</v>
      </c>
      <c r="T60" s="728"/>
      <c r="U60" s="728"/>
      <c r="V60" s="729"/>
      <c r="W60" s="729"/>
      <c r="X60" s="729"/>
    </row>
    <row r="61" spans="1:24" s="958" customFormat="1" ht="17.25" customHeight="1">
      <c r="A61" s="243" t="s">
        <v>571</v>
      </c>
      <c r="B61" s="410">
        <v>5</v>
      </c>
      <c r="C61" s="745">
        <v>570.4</v>
      </c>
      <c r="D61" s="50"/>
      <c r="E61" s="412"/>
      <c r="F61" s="410"/>
      <c r="G61" s="405"/>
      <c r="H61" s="50"/>
      <c r="I61" s="405"/>
      <c r="J61" s="50"/>
      <c r="K61" s="405"/>
      <c r="L61" s="405"/>
      <c r="M61" s="412"/>
      <c r="N61" s="410"/>
      <c r="O61" s="50"/>
      <c r="P61" s="421"/>
      <c r="Q61" s="428"/>
      <c r="R61" s="51">
        <f>SUM(B61,H61,D61,F61)</f>
        <v>5</v>
      </c>
      <c r="S61" s="452">
        <f>SUM(C61,E61,G61,I61,K61,L61,M61,O61,P61,Q61)</f>
        <v>570.4</v>
      </c>
      <c r="T61" s="956"/>
      <c r="U61" s="956"/>
      <c r="V61" s="957"/>
      <c r="W61" s="957"/>
      <c r="X61" s="957"/>
    </row>
    <row r="62" spans="1:24" s="958" customFormat="1" ht="17.25" customHeight="1">
      <c r="A62" s="727" t="s">
        <v>37</v>
      </c>
      <c r="B62" s="411">
        <v>10</v>
      </c>
      <c r="C62" s="746">
        <v>1549.8</v>
      </c>
      <c r="D62" s="268"/>
      <c r="E62" s="413"/>
      <c r="F62" s="411"/>
      <c r="G62" s="406"/>
      <c r="H62" s="268"/>
      <c r="I62" s="406"/>
      <c r="J62" s="268"/>
      <c r="K62" s="406"/>
      <c r="L62" s="406"/>
      <c r="M62" s="413"/>
      <c r="N62" s="411"/>
      <c r="O62" s="268"/>
      <c r="P62" s="422"/>
      <c r="Q62" s="429"/>
      <c r="R62" s="726">
        <f>SUM(B62,H62,D62,F62)</f>
        <v>10</v>
      </c>
      <c r="S62" s="452">
        <f>SUM(C62,E62,G62,I62,K62,L62,M62,O62,P62,Q62)</f>
        <v>1549.8</v>
      </c>
      <c r="T62" s="956"/>
      <c r="U62" s="956"/>
      <c r="V62" s="957"/>
      <c r="W62" s="957"/>
      <c r="X62" s="957"/>
    </row>
    <row r="63" spans="1:21" ht="18.75" customHeight="1">
      <c r="A63" s="535" t="s">
        <v>147</v>
      </c>
      <c r="B63" s="548"/>
      <c r="C63" s="486"/>
      <c r="D63" s="550"/>
      <c r="E63" s="551"/>
      <c r="F63" s="548"/>
      <c r="G63" s="549"/>
      <c r="H63" s="550"/>
      <c r="I63" s="549"/>
      <c r="J63" s="550"/>
      <c r="K63" s="549"/>
      <c r="L63" s="549"/>
      <c r="M63" s="551"/>
      <c r="N63" s="548"/>
      <c r="O63" s="550"/>
      <c r="P63" s="552"/>
      <c r="Q63" s="553"/>
      <c r="R63" s="547"/>
      <c r="S63" s="483"/>
      <c r="T63" s="134"/>
      <c r="U63" s="134"/>
    </row>
    <row r="64" spans="1:21" ht="18.75" customHeight="1">
      <c r="A64" s="44" t="s">
        <v>177</v>
      </c>
      <c r="B64" s="410">
        <v>11</v>
      </c>
      <c r="C64" s="745">
        <v>935.4</v>
      </c>
      <c r="D64" s="50"/>
      <c r="E64" s="412"/>
      <c r="F64" s="410">
        <f>ApV!D9</f>
        <v>9</v>
      </c>
      <c r="G64" s="421">
        <f>ApV!E9</f>
        <v>190.29999999999998</v>
      </c>
      <c r="H64" s="50">
        <f>ApV!F9</f>
        <v>0</v>
      </c>
      <c r="I64" s="50">
        <f>ApV!G9</f>
        <v>0</v>
      </c>
      <c r="J64" s="50">
        <f>ApV!H9</f>
        <v>5</v>
      </c>
      <c r="K64" s="421">
        <f>ApV!I9</f>
        <v>610.3</v>
      </c>
      <c r="L64" s="50">
        <f>ApV!J9</f>
        <v>0</v>
      </c>
      <c r="M64" s="428">
        <f>ApV!K9</f>
        <v>0</v>
      </c>
      <c r="N64" s="410"/>
      <c r="O64" s="50"/>
      <c r="P64" s="421"/>
      <c r="Q64" s="428" t="s">
        <v>12</v>
      </c>
      <c r="R64" s="51">
        <f aca="true" t="shared" si="8" ref="R64:R73">SUM(B64,H64,D64,F64)</f>
        <v>20</v>
      </c>
      <c r="S64" s="741">
        <f aca="true" t="shared" si="9" ref="S64:S73">SUM(C64,E64,G64,I64,K64,L64,M64,O64,P64,Q64)</f>
        <v>1736</v>
      </c>
      <c r="T64" s="134"/>
      <c r="U64" s="134"/>
    </row>
    <row r="65" spans="1:21" ht="17.25" customHeight="1">
      <c r="A65" s="44" t="s">
        <v>55</v>
      </c>
      <c r="B65" s="410">
        <v>1</v>
      </c>
      <c r="C65" s="745">
        <f>164.9-21</f>
        <v>143.9</v>
      </c>
      <c r="D65" s="50"/>
      <c r="E65" s="412"/>
      <c r="F65" s="410"/>
      <c r="G65" s="405"/>
      <c r="H65" s="50"/>
      <c r="I65" s="405"/>
      <c r="J65" s="50"/>
      <c r="K65" s="405"/>
      <c r="L65" s="405"/>
      <c r="M65" s="412"/>
      <c r="N65" s="410"/>
      <c r="O65" s="50"/>
      <c r="P65" s="421"/>
      <c r="Q65" s="428" t="s">
        <v>12</v>
      </c>
      <c r="R65" s="51">
        <f t="shared" si="8"/>
        <v>1</v>
      </c>
      <c r="S65" s="741">
        <f t="shared" si="9"/>
        <v>143.9</v>
      </c>
      <c r="T65" s="134"/>
      <c r="U65" s="134"/>
    </row>
    <row r="66" spans="1:21" ht="17.25" customHeight="1">
      <c r="A66" s="44" t="s">
        <v>56</v>
      </c>
      <c r="B66" s="410">
        <v>1</v>
      </c>
      <c r="C66" s="745">
        <v>222.2</v>
      </c>
      <c r="D66" s="50"/>
      <c r="E66" s="412"/>
      <c r="F66" s="410"/>
      <c r="G66" s="405"/>
      <c r="H66" s="50"/>
      <c r="I66" s="405"/>
      <c r="J66" s="50"/>
      <c r="K66" s="405"/>
      <c r="L66" s="405"/>
      <c r="M66" s="412"/>
      <c r="N66" s="410"/>
      <c r="O66" s="50"/>
      <c r="P66" s="421"/>
      <c r="Q66" s="428"/>
      <c r="R66" s="51">
        <f>SUM(B66,H66,D66,F66)</f>
        <v>1</v>
      </c>
      <c r="S66" s="741">
        <f>SUM(C66,E66,G66,I66,K66,L66,M66,O66,P66,Q66)</f>
        <v>222.2</v>
      </c>
      <c r="T66" s="134"/>
      <c r="U66" s="134"/>
    </row>
    <row r="67" spans="1:21" ht="17.25" customHeight="1">
      <c r="A67" s="44" t="s">
        <v>199</v>
      </c>
      <c r="B67" s="410">
        <v>1</v>
      </c>
      <c r="C67" s="745">
        <v>52.1</v>
      </c>
      <c r="D67" s="50"/>
      <c r="E67" s="412"/>
      <c r="F67" s="410"/>
      <c r="G67" s="405"/>
      <c r="H67" s="50"/>
      <c r="I67" s="405"/>
      <c r="J67" s="50"/>
      <c r="K67" s="405"/>
      <c r="L67" s="405"/>
      <c r="M67" s="412"/>
      <c r="N67" s="410"/>
      <c r="O67" s="50"/>
      <c r="P67" s="421"/>
      <c r="Q67" s="428" t="s">
        <v>12</v>
      </c>
      <c r="R67" s="51">
        <f t="shared" si="8"/>
        <v>1</v>
      </c>
      <c r="S67" s="741">
        <f t="shared" si="9"/>
        <v>52.1</v>
      </c>
      <c r="T67" s="134"/>
      <c r="U67" s="134"/>
    </row>
    <row r="68" spans="1:22" ht="17.25" customHeight="1">
      <c r="A68" s="44" t="s">
        <v>58</v>
      </c>
      <c r="B68" s="410">
        <v>1</v>
      </c>
      <c r="C68" s="745">
        <f>151.4-21</f>
        <v>130.4</v>
      </c>
      <c r="D68" s="50"/>
      <c r="E68" s="412"/>
      <c r="F68" s="410"/>
      <c r="G68" s="405"/>
      <c r="H68" s="50"/>
      <c r="I68" s="405"/>
      <c r="J68" s="50"/>
      <c r="K68" s="405"/>
      <c r="L68" s="405"/>
      <c r="M68" s="412"/>
      <c r="N68" s="410"/>
      <c r="O68" s="50"/>
      <c r="P68" s="421"/>
      <c r="Q68" s="428" t="s">
        <v>12</v>
      </c>
      <c r="R68" s="51">
        <f t="shared" si="8"/>
        <v>1</v>
      </c>
      <c r="S68" s="741">
        <f t="shared" si="9"/>
        <v>130.4</v>
      </c>
      <c r="T68" s="134"/>
      <c r="U68" s="134"/>
      <c r="V68" s="135"/>
    </row>
    <row r="69" spans="1:22" ht="17.25" customHeight="1">
      <c r="A69" s="243" t="s">
        <v>201</v>
      </c>
      <c r="B69" s="410">
        <v>1</v>
      </c>
      <c r="C69" s="745">
        <v>138.3</v>
      </c>
      <c r="D69" s="50"/>
      <c r="E69" s="412"/>
      <c r="F69" s="410"/>
      <c r="G69" s="405"/>
      <c r="H69" s="50"/>
      <c r="I69" s="405"/>
      <c r="J69" s="50"/>
      <c r="K69" s="405"/>
      <c r="L69" s="405"/>
      <c r="M69" s="412"/>
      <c r="N69" s="410"/>
      <c r="O69" s="50"/>
      <c r="P69" s="421"/>
      <c r="Q69" s="428"/>
      <c r="R69" s="51">
        <f>SUM(B69,H69,D69,F69)</f>
        <v>1</v>
      </c>
      <c r="S69" s="741">
        <f>SUM(C69,E69,G69,I69,K69,L69,M69,O69,P69,Q69)</f>
        <v>138.3</v>
      </c>
      <c r="T69" s="134"/>
      <c r="U69" s="134"/>
      <c r="V69" s="135"/>
    </row>
    <row r="70" spans="1:24" s="245" customFormat="1" ht="17.25" customHeight="1">
      <c r="A70" s="243" t="s">
        <v>59</v>
      </c>
      <c r="B70" s="410">
        <v>2</v>
      </c>
      <c r="C70" s="745">
        <f>775.4-242.3-242.3</f>
        <v>290.7999999999999</v>
      </c>
      <c r="D70" s="50"/>
      <c r="E70" s="412"/>
      <c r="F70" s="410">
        <f>ApV!D112</f>
        <v>6</v>
      </c>
      <c r="G70" s="421">
        <f>ApV!E112</f>
        <v>425.29999999999995</v>
      </c>
      <c r="H70" s="50">
        <f>ApV!F112</f>
        <v>0</v>
      </c>
      <c r="I70" s="50">
        <f>ApV!G112</f>
        <v>0</v>
      </c>
      <c r="J70" s="50">
        <f>ApV!H112</f>
        <v>14</v>
      </c>
      <c r="K70" s="421">
        <f>ApV!I112</f>
        <v>2707</v>
      </c>
      <c r="L70" s="50">
        <f>ApV!J112</f>
        <v>0</v>
      </c>
      <c r="M70" s="428">
        <f>ApV!K112</f>
        <v>0</v>
      </c>
      <c r="N70" s="410"/>
      <c r="O70" s="50"/>
      <c r="P70" s="421"/>
      <c r="Q70" s="428" t="s">
        <v>12</v>
      </c>
      <c r="R70" s="51">
        <f t="shared" si="8"/>
        <v>8</v>
      </c>
      <c r="S70" s="741">
        <f t="shared" si="9"/>
        <v>3423.1</v>
      </c>
      <c r="T70" s="244"/>
      <c r="U70" s="244"/>
      <c r="V70" s="206"/>
      <c r="W70" s="206"/>
      <c r="X70" s="206"/>
    </row>
    <row r="71" spans="1:24" s="52" customFormat="1" ht="17.25" customHeight="1">
      <c r="A71" s="535" t="s">
        <v>535</v>
      </c>
      <c r="B71" s="952"/>
      <c r="C71" s="953"/>
      <c r="D71" s="953"/>
      <c r="E71" s="954"/>
      <c r="F71" s="722"/>
      <c r="G71" s="552"/>
      <c r="H71" s="552"/>
      <c r="I71" s="552"/>
      <c r="J71" s="552"/>
      <c r="K71" s="552"/>
      <c r="L71" s="552"/>
      <c r="M71" s="552"/>
      <c r="N71" s="550"/>
      <c r="O71" s="552"/>
      <c r="P71" s="552"/>
      <c r="Q71" s="554"/>
      <c r="R71" s="547">
        <f t="shared" si="8"/>
        <v>0</v>
      </c>
      <c r="S71" s="743">
        <f t="shared" si="9"/>
        <v>0</v>
      </c>
      <c r="T71" s="134"/>
      <c r="U71" s="134"/>
      <c r="W71" s="133"/>
      <c r="X71" s="133"/>
    </row>
    <row r="72" spans="1:24" s="260" customFormat="1" ht="17.25" customHeight="1">
      <c r="A72" s="49" t="s">
        <v>294</v>
      </c>
      <c r="B72" s="411"/>
      <c r="C72" s="746"/>
      <c r="D72" s="268">
        <v>1</v>
      </c>
      <c r="E72" s="413">
        <v>1353</v>
      </c>
      <c r="F72" s="411"/>
      <c r="G72" s="406"/>
      <c r="H72" s="268"/>
      <c r="I72" s="406"/>
      <c r="J72" s="268"/>
      <c r="K72" s="406"/>
      <c r="L72" s="406"/>
      <c r="M72" s="413"/>
      <c r="N72" s="411"/>
      <c r="O72" s="268"/>
      <c r="P72" s="422"/>
      <c r="Q72" s="429" t="s">
        <v>12</v>
      </c>
      <c r="R72" s="726">
        <f t="shared" si="8"/>
        <v>1</v>
      </c>
      <c r="S72" s="742">
        <f t="shared" si="9"/>
        <v>1353</v>
      </c>
      <c r="T72" s="269"/>
      <c r="U72" s="269"/>
      <c r="V72" s="270"/>
      <c r="W72" s="271"/>
      <c r="X72" s="271"/>
    </row>
    <row r="73" spans="1:24" s="52" customFormat="1" ht="17.25" customHeight="1" thickBot="1">
      <c r="A73" s="535" t="s">
        <v>536</v>
      </c>
      <c r="B73" s="959">
        <f>10</f>
        <v>10</v>
      </c>
      <c r="C73" s="736">
        <f>664.8</f>
        <v>664.8</v>
      </c>
      <c r="D73" s="736"/>
      <c r="E73" s="737"/>
      <c r="F73" s="963"/>
      <c r="G73" s="964"/>
      <c r="H73" s="964"/>
      <c r="I73" s="964"/>
      <c r="J73" s="964"/>
      <c r="K73" s="964"/>
      <c r="L73" s="964"/>
      <c r="M73" s="965">
        <f>ApV!K134</f>
        <v>22643.7</v>
      </c>
      <c r="N73" s="550"/>
      <c r="O73" s="552"/>
      <c r="P73" s="552"/>
      <c r="Q73" s="554"/>
      <c r="R73" s="547">
        <f t="shared" si="8"/>
        <v>10</v>
      </c>
      <c r="S73" s="743">
        <f t="shared" si="9"/>
        <v>23308.5</v>
      </c>
      <c r="T73" s="134"/>
      <c r="U73" s="134"/>
      <c r="W73" s="133"/>
      <c r="X73" s="133"/>
    </row>
    <row r="74" spans="1:24" s="734" customFormat="1" ht="17.25" customHeight="1" thickBot="1">
      <c r="A74" s="731" t="s">
        <v>60</v>
      </c>
      <c r="B74" s="1133">
        <f>SUM(B6:B73)</f>
        <v>983</v>
      </c>
      <c r="C74" s="1200">
        <f>SUM(C6:C73)</f>
        <v>69699.2</v>
      </c>
      <c r="D74" s="1201">
        <f>SUM(D6:D73)</f>
        <v>94</v>
      </c>
      <c r="E74" s="1202">
        <f>SUM(E6:E73)</f>
        <v>89739.90000000001</v>
      </c>
      <c r="F74" s="1133">
        <f>SUM(F6:F73)</f>
        <v>360</v>
      </c>
      <c r="G74" s="1200">
        <f aca="true" t="shared" si="10" ref="G74:P74">SUM(G6:G73)</f>
        <v>33229.00000000001</v>
      </c>
      <c r="H74" s="1201">
        <f t="shared" si="10"/>
        <v>23</v>
      </c>
      <c r="I74" s="1202">
        <f t="shared" si="10"/>
        <v>20609.999999999993</v>
      </c>
      <c r="J74" s="1133">
        <f t="shared" si="10"/>
        <v>300</v>
      </c>
      <c r="K74" s="1200">
        <f t="shared" si="10"/>
        <v>28712.899999999998</v>
      </c>
      <c r="L74" s="1200">
        <f t="shared" si="10"/>
        <v>13312.6</v>
      </c>
      <c r="M74" s="1202">
        <f t="shared" si="10"/>
        <v>57738.899999999994</v>
      </c>
      <c r="N74" s="1133">
        <f t="shared" si="10"/>
        <v>9</v>
      </c>
      <c r="O74" s="1200">
        <f t="shared" si="10"/>
        <v>570.4067000000001</v>
      </c>
      <c r="P74" s="1200">
        <f t="shared" si="10"/>
        <v>0</v>
      </c>
      <c r="Q74" s="1134">
        <f>SUM(Q6:Q73)</f>
        <v>7.48</v>
      </c>
      <c r="R74" s="432">
        <f>SUM(R6:R73)</f>
        <v>1460</v>
      </c>
      <c r="S74" s="744">
        <f>SUM(S6:S73)</f>
        <v>313620.3867000001</v>
      </c>
      <c r="T74" s="732"/>
      <c r="U74" s="733"/>
      <c r="W74" s="735"/>
      <c r="X74" s="735"/>
    </row>
    <row r="75" spans="1:24" s="52" customFormat="1" ht="17.25" customHeight="1">
      <c r="A75" s="9" t="s">
        <v>148</v>
      </c>
      <c r="B75" s="48"/>
      <c r="C75" s="407"/>
      <c r="D75" s="48"/>
      <c r="E75" s="407"/>
      <c r="F75" s="407"/>
      <c r="G75" s="407"/>
      <c r="H75" s="48"/>
      <c r="I75" s="407"/>
      <c r="J75" s="48"/>
      <c r="K75" s="407"/>
      <c r="L75" s="407"/>
      <c r="M75" s="407"/>
      <c r="N75" s="48"/>
      <c r="O75" s="48"/>
      <c r="P75" s="423"/>
      <c r="Q75" s="48"/>
      <c r="R75" s="48"/>
      <c r="S75" s="407"/>
      <c r="T75" s="51"/>
      <c r="W75" s="133"/>
      <c r="X75" s="133"/>
    </row>
    <row r="76" spans="1:24" s="55" customFormat="1" ht="17.25" customHeight="1">
      <c r="A76" s="53" t="s">
        <v>178</v>
      </c>
      <c r="B76" s="56"/>
      <c r="C76" s="408"/>
      <c r="D76" s="56"/>
      <c r="E76" s="408"/>
      <c r="F76" s="408"/>
      <c r="G76" s="408"/>
      <c r="H76" s="56"/>
      <c r="I76" s="408"/>
      <c r="J76" s="56"/>
      <c r="K76" s="408"/>
      <c r="L76" s="408"/>
      <c r="M76" s="408"/>
      <c r="N76" s="56"/>
      <c r="O76" s="56"/>
      <c r="P76" s="424"/>
      <c r="Q76" s="56"/>
      <c r="R76" s="56"/>
      <c r="S76" s="408"/>
      <c r="U76" s="56"/>
      <c r="V76" s="56"/>
      <c r="W76" s="56"/>
      <c r="X76" s="56"/>
    </row>
    <row r="77" spans="1:24" s="52" customFormat="1" ht="15.75" customHeight="1">
      <c r="A77" s="53"/>
      <c r="B77" s="54"/>
      <c r="C77" s="409"/>
      <c r="D77" s="54"/>
      <c r="E77" s="409"/>
      <c r="F77" s="409"/>
      <c r="G77" s="409"/>
      <c r="H77" s="54"/>
      <c r="I77" s="409"/>
      <c r="J77" s="54"/>
      <c r="K77" s="409"/>
      <c r="L77" s="409"/>
      <c r="M77" s="409"/>
      <c r="N77" s="54"/>
      <c r="O77" s="54"/>
      <c r="P77" s="425"/>
      <c r="Q77" s="133"/>
      <c r="R77" s="57"/>
      <c r="S77" s="420"/>
      <c r="T77" s="47"/>
      <c r="U77" s="133"/>
      <c r="V77" s="133"/>
      <c r="W77" s="133"/>
      <c r="X77" s="133"/>
    </row>
    <row r="78" spans="3:19" s="133" customFormat="1" ht="15.75" customHeight="1">
      <c r="C78" s="349"/>
      <c r="E78" s="349"/>
      <c r="F78" s="349"/>
      <c r="G78" s="349"/>
      <c r="I78" s="349"/>
      <c r="K78" s="349"/>
      <c r="L78" s="349"/>
      <c r="M78" s="349"/>
      <c r="P78" s="426"/>
      <c r="R78" s="57"/>
      <c r="S78" s="420"/>
    </row>
    <row r="79" spans="3:19" s="133" customFormat="1" ht="15.75" customHeight="1">
      <c r="C79" s="349"/>
      <c r="E79" s="349"/>
      <c r="F79" s="349"/>
      <c r="G79" s="349"/>
      <c r="I79" s="349"/>
      <c r="K79" s="349"/>
      <c r="L79" s="349"/>
      <c r="M79" s="349"/>
      <c r="P79" s="426"/>
      <c r="R79" s="57"/>
      <c r="S79" s="420"/>
    </row>
    <row r="80" spans="3:19" s="133" customFormat="1" ht="18" customHeight="1">
      <c r="C80" s="349"/>
      <c r="E80" s="349"/>
      <c r="F80" s="349"/>
      <c r="G80" s="349"/>
      <c r="I80" s="349"/>
      <c r="K80" s="349"/>
      <c r="L80" s="349"/>
      <c r="M80" s="349"/>
      <c r="P80" s="426"/>
      <c r="S80" s="349"/>
    </row>
    <row r="81" spans="3:19" s="133" customFormat="1" ht="18" customHeight="1">
      <c r="C81" s="349"/>
      <c r="E81" s="349"/>
      <c r="F81" s="349"/>
      <c r="G81" s="349"/>
      <c r="I81" s="349"/>
      <c r="K81" s="349"/>
      <c r="L81" s="349"/>
      <c r="M81" s="349"/>
      <c r="P81" s="426"/>
      <c r="S81" s="349"/>
    </row>
    <row r="82" spans="3:19" s="133" customFormat="1" ht="18" customHeight="1">
      <c r="C82" s="349"/>
      <c r="E82" s="349"/>
      <c r="F82" s="349"/>
      <c r="G82" s="349"/>
      <c r="I82" s="349"/>
      <c r="K82" s="349"/>
      <c r="L82" s="349"/>
      <c r="M82" s="349"/>
      <c r="P82" s="426"/>
      <c r="S82" s="349"/>
    </row>
    <row r="83" spans="3:19" s="133" customFormat="1" ht="16.5" customHeight="1">
      <c r="C83" s="349"/>
      <c r="E83" s="349"/>
      <c r="F83" s="349"/>
      <c r="G83" s="349"/>
      <c r="I83" s="349"/>
      <c r="K83" s="349"/>
      <c r="L83" s="349"/>
      <c r="M83" s="349"/>
      <c r="P83" s="426"/>
      <c r="S83" s="349"/>
    </row>
    <row r="84" spans="3:19" s="133" customFormat="1" ht="16.5" customHeight="1">
      <c r="C84" s="349"/>
      <c r="E84" s="349"/>
      <c r="F84" s="349"/>
      <c r="G84" s="349"/>
      <c r="I84" s="349"/>
      <c r="K84" s="349"/>
      <c r="L84" s="349"/>
      <c r="M84" s="349"/>
      <c r="P84" s="426"/>
      <c r="S84" s="349"/>
    </row>
    <row r="85" spans="3:19" s="133" customFormat="1" ht="16.5" customHeight="1">
      <c r="C85" s="349"/>
      <c r="E85" s="349"/>
      <c r="F85" s="349"/>
      <c r="G85" s="349"/>
      <c r="I85" s="349"/>
      <c r="K85" s="349"/>
      <c r="L85" s="349"/>
      <c r="M85" s="349"/>
      <c r="P85" s="426"/>
      <c r="S85" s="349"/>
    </row>
    <row r="86" spans="3:19" s="133" customFormat="1" ht="16.5" customHeight="1">
      <c r="C86" s="349"/>
      <c r="E86" s="349"/>
      <c r="F86" s="349"/>
      <c r="G86" s="349"/>
      <c r="I86" s="349"/>
      <c r="K86" s="349"/>
      <c r="L86" s="349"/>
      <c r="M86" s="349"/>
      <c r="P86" s="426"/>
      <c r="S86" s="349"/>
    </row>
    <row r="87" spans="3:19" s="133" customFormat="1" ht="16.5" customHeight="1">
      <c r="C87" s="349"/>
      <c r="E87" s="349"/>
      <c r="F87" s="349"/>
      <c r="G87" s="349"/>
      <c r="I87" s="349"/>
      <c r="K87" s="349"/>
      <c r="L87" s="349"/>
      <c r="M87" s="349"/>
      <c r="P87" s="426"/>
      <c r="S87" s="349"/>
    </row>
    <row r="88" spans="3:19" s="133" customFormat="1" ht="16.5" customHeight="1">
      <c r="C88" s="349"/>
      <c r="E88" s="349"/>
      <c r="F88" s="349"/>
      <c r="G88" s="349"/>
      <c r="I88" s="349"/>
      <c r="K88" s="349"/>
      <c r="L88" s="349"/>
      <c r="M88" s="349"/>
      <c r="P88" s="426"/>
      <c r="S88" s="349"/>
    </row>
    <row r="89" spans="3:19" s="133" customFormat="1" ht="16.5" customHeight="1">
      <c r="C89" s="349"/>
      <c r="E89" s="349"/>
      <c r="F89" s="349"/>
      <c r="G89" s="349"/>
      <c r="I89" s="349"/>
      <c r="K89" s="349"/>
      <c r="L89" s="349"/>
      <c r="M89" s="349"/>
      <c r="P89" s="426"/>
      <c r="S89" s="349"/>
    </row>
    <row r="90" spans="3:19" s="133" customFormat="1" ht="16.5" customHeight="1">
      <c r="C90" s="349"/>
      <c r="E90" s="349"/>
      <c r="F90" s="349"/>
      <c r="G90" s="349"/>
      <c r="I90" s="349"/>
      <c r="K90" s="349"/>
      <c r="L90" s="349"/>
      <c r="M90" s="349"/>
      <c r="P90" s="426"/>
      <c r="S90" s="349"/>
    </row>
    <row r="91" spans="3:19" s="133" customFormat="1" ht="17.25" customHeight="1">
      <c r="C91" s="349"/>
      <c r="E91" s="349"/>
      <c r="F91" s="349"/>
      <c r="G91" s="349"/>
      <c r="I91" s="349"/>
      <c r="K91" s="349"/>
      <c r="L91" s="349"/>
      <c r="M91" s="349"/>
      <c r="P91" s="426"/>
      <c r="S91" s="349"/>
    </row>
    <row r="92" spans="3:19" s="133" customFormat="1" ht="17.25" customHeight="1">
      <c r="C92" s="349"/>
      <c r="E92" s="349"/>
      <c r="F92" s="349"/>
      <c r="G92" s="349"/>
      <c r="I92" s="349"/>
      <c r="K92" s="349"/>
      <c r="L92" s="349"/>
      <c r="M92" s="349"/>
      <c r="P92" s="426"/>
      <c r="S92" s="349"/>
    </row>
    <row r="93" spans="3:19" s="133" customFormat="1" ht="17.25" customHeight="1">
      <c r="C93" s="349"/>
      <c r="E93" s="349"/>
      <c r="F93" s="349"/>
      <c r="G93" s="349"/>
      <c r="I93" s="349"/>
      <c r="K93" s="349"/>
      <c r="L93" s="349"/>
      <c r="M93" s="349"/>
      <c r="P93" s="426"/>
      <c r="S93" s="349"/>
    </row>
    <row r="94" spans="3:19" s="133" customFormat="1" ht="17.25" customHeight="1">
      <c r="C94" s="349"/>
      <c r="E94" s="349"/>
      <c r="F94" s="349"/>
      <c r="G94" s="349"/>
      <c r="I94" s="349"/>
      <c r="K94" s="349"/>
      <c r="L94" s="349"/>
      <c r="M94" s="349"/>
      <c r="P94" s="426"/>
      <c r="S94" s="349"/>
    </row>
    <row r="95" spans="3:19" s="133" customFormat="1" ht="16.5" customHeight="1">
      <c r="C95" s="349"/>
      <c r="E95" s="349"/>
      <c r="F95" s="349"/>
      <c r="G95" s="349"/>
      <c r="I95" s="349"/>
      <c r="K95" s="349"/>
      <c r="L95" s="349"/>
      <c r="M95" s="349"/>
      <c r="P95" s="426"/>
      <c r="S95" s="349"/>
    </row>
    <row r="96" spans="3:19" s="133" customFormat="1" ht="16.5" customHeight="1">
      <c r="C96" s="349"/>
      <c r="E96" s="349"/>
      <c r="F96" s="349"/>
      <c r="G96" s="349"/>
      <c r="I96" s="349"/>
      <c r="K96" s="349"/>
      <c r="L96" s="349"/>
      <c r="M96" s="349"/>
      <c r="P96" s="426"/>
      <c r="S96" s="349"/>
    </row>
    <row r="97" spans="3:19" s="133" customFormat="1" ht="16.5" customHeight="1">
      <c r="C97" s="349"/>
      <c r="E97" s="349"/>
      <c r="F97" s="349"/>
      <c r="G97" s="349"/>
      <c r="I97" s="349"/>
      <c r="K97" s="349"/>
      <c r="L97" s="349"/>
      <c r="M97" s="349"/>
      <c r="P97" s="426"/>
      <c r="S97" s="349"/>
    </row>
    <row r="98" spans="3:19" s="133" customFormat="1" ht="16.5" customHeight="1">
      <c r="C98" s="349"/>
      <c r="E98" s="349"/>
      <c r="F98" s="349"/>
      <c r="G98" s="349"/>
      <c r="I98" s="349"/>
      <c r="K98" s="349"/>
      <c r="L98" s="349"/>
      <c r="M98" s="349"/>
      <c r="P98" s="426"/>
      <c r="S98" s="349"/>
    </row>
    <row r="99" spans="3:19" s="133" customFormat="1" ht="16.5" customHeight="1">
      <c r="C99" s="349"/>
      <c r="E99" s="349"/>
      <c r="F99" s="349"/>
      <c r="G99" s="349"/>
      <c r="I99" s="349"/>
      <c r="K99" s="349"/>
      <c r="L99" s="349"/>
      <c r="M99" s="349"/>
      <c r="P99" s="426"/>
      <c r="S99" s="349"/>
    </row>
    <row r="100" spans="3:19" s="133" customFormat="1" ht="16.5" customHeight="1">
      <c r="C100" s="349"/>
      <c r="E100" s="349"/>
      <c r="F100" s="349"/>
      <c r="G100" s="349"/>
      <c r="I100" s="349"/>
      <c r="K100" s="349"/>
      <c r="L100" s="349"/>
      <c r="M100" s="349"/>
      <c r="P100" s="426"/>
      <c r="S100" s="349"/>
    </row>
    <row r="101" spans="3:19" s="133" customFormat="1" ht="18" customHeight="1">
      <c r="C101" s="349"/>
      <c r="E101" s="349"/>
      <c r="F101" s="349"/>
      <c r="G101" s="349"/>
      <c r="I101" s="349"/>
      <c r="K101" s="349"/>
      <c r="L101" s="349"/>
      <c r="M101" s="349"/>
      <c r="P101" s="426"/>
      <c r="S101" s="349"/>
    </row>
    <row r="102" spans="3:19" s="133" customFormat="1" ht="18" customHeight="1">
      <c r="C102" s="349"/>
      <c r="E102" s="349"/>
      <c r="F102" s="349"/>
      <c r="G102" s="349"/>
      <c r="I102" s="349"/>
      <c r="K102" s="349"/>
      <c r="L102" s="349"/>
      <c r="M102" s="349"/>
      <c r="P102" s="426"/>
      <c r="S102" s="349"/>
    </row>
    <row r="103" spans="3:19" s="133" customFormat="1" ht="18" customHeight="1">
      <c r="C103" s="349"/>
      <c r="E103" s="349"/>
      <c r="F103" s="349"/>
      <c r="G103" s="349"/>
      <c r="I103" s="349"/>
      <c r="K103" s="349"/>
      <c r="L103" s="349"/>
      <c r="M103" s="349"/>
      <c r="P103" s="426"/>
      <c r="S103" s="349"/>
    </row>
    <row r="104" spans="3:19" s="133" customFormat="1" ht="18" customHeight="1">
      <c r="C104" s="349"/>
      <c r="E104" s="349"/>
      <c r="F104" s="349"/>
      <c r="G104" s="349"/>
      <c r="I104" s="349"/>
      <c r="K104" s="349"/>
      <c r="L104" s="349"/>
      <c r="M104" s="349"/>
      <c r="P104" s="426"/>
      <c r="S104" s="349"/>
    </row>
    <row r="105" spans="3:19" s="133" customFormat="1" ht="18" customHeight="1">
      <c r="C105" s="349"/>
      <c r="E105" s="349"/>
      <c r="F105" s="349"/>
      <c r="G105" s="349"/>
      <c r="I105" s="349"/>
      <c r="K105" s="349"/>
      <c r="L105" s="349"/>
      <c r="M105" s="349"/>
      <c r="P105" s="426"/>
      <c r="S105" s="349"/>
    </row>
    <row r="106" spans="3:19" s="133" customFormat="1" ht="18" customHeight="1">
      <c r="C106" s="349"/>
      <c r="E106" s="349"/>
      <c r="F106" s="349"/>
      <c r="G106" s="349"/>
      <c r="I106" s="349"/>
      <c r="K106" s="349"/>
      <c r="L106" s="349"/>
      <c r="M106" s="349"/>
      <c r="P106" s="426"/>
      <c r="S106" s="349"/>
    </row>
    <row r="107" spans="3:19" s="133" customFormat="1" ht="18.75" customHeight="1">
      <c r="C107" s="349"/>
      <c r="E107" s="349"/>
      <c r="F107" s="349"/>
      <c r="G107" s="349"/>
      <c r="I107" s="349"/>
      <c r="K107" s="349"/>
      <c r="L107" s="349"/>
      <c r="M107" s="349"/>
      <c r="P107" s="426"/>
      <c r="S107" s="349"/>
    </row>
    <row r="108" spans="3:19" s="133" customFormat="1" ht="12.75">
      <c r="C108" s="349"/>
      <c r="E108" s="349"/>
      <c r="F108" s="349"/>
      <c r="G108" s="349"/>
      <c r="I108" s="349"/>
      <c r="K108" s="349"/>
      <c r="L108" s="349"/>
      <c r="M108" s="349"/>
      <c r="P108" s="426"/>
      <c r="S108" s="349"/>
    </row>
    <row r="109" spans="3:19" s="133" customFormat="1" ht="12.75">
      <c r="C109" s="349"/>
      <c r="E109" s="349"/>
      <c r="F109" s="349"/>
      <c r="G109" s="349"/>
      <c r="I109" s="349"/>
      <c r="K109" s="349"/>
      <c r="L109" s="349"/>
      <c r="M109" s="349"/>
      <c r="P109" s="426"/>
      <c r="S109" s="349"/>
    </row>
    <row r="110" spans="3:19" s="133" customFormat="1" ht="12.75">
      <c r="C110" s="349"/>
      <c r="E110" s="349"/>
      <c r="F110" s="349"/>
      <c r="G110" s="349"/>
      <c r="I110" s="349"/>
      <c r="K110" s="349"/>
      <c r="L110" s="349"/>
      <c r="M110" s="349"/>
      <c r="P110" s="426"/>
      <c r="S110" s="349"/>
    </row>
  </sheetData>
  <sheetProtection/>
  <mergeCells count="12">
    <mergeCell ref="A2:A4"/>
    <mergeCell ref="B3:C3"/>
    <mergeCell ref="B2:E2"/>
    <mergeCell ref="H3:I3"/>
    <mergeCell ref="P2:P3"/>
    <mergeCell ref="Q2:Q3"/>
    <mergeCell ref="R2:S3"/>
    <mergeCell ref="D3:E3"/>
    <mergeCell ref="N2:O3"/>
    <mergeCell ref="F3:G3"/>
    <mergeCell ref="F2:M2"/>
    <mergeCell ref="J3:K3"/>
  </mergeCells>
  <printOptions horizontalCentered="1"/>
  <pageMargins left="0.15748031496063" right="0.21" top="0.29" bottom="0.051574803" header="0.35" footer="0.2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99CC"/>
  </sheetPr>
  <dimension ref="A1:AQ132"/>
  <sheetViews>
    <sheetView zoomScalePageLayoutView="0" workbookViewId="0" topLeftCell="A1">
      <pane xSplit="1" ySplit="3" topLeftCell="Q61" activePane="bottomRight" state="frozen"/>
      <selection pane="topLeft" activeCell="A1" sqref="A1"/>
      <selection pane="topRight" activeCell="B1" sqref="B1"/>
      <selection pane="bottomLeft" activeCell="A4" sqref="A4"/>
      <selection pane="bottomRight" activeCell="A62" sqref="A62:IV62"/>
    </sheetView>
  </sheetViews>
  <sheetFormatPr defaultColWidth="9.140625" defaultRowHeight="12.75"/>
  <cols>
    <col min="1" max="1" width="21.421875" style="111" customWidth="1"/>
    <col min="2" max="2" width="4.28125" style="137" customWidth="1"/>
    <col min="3" max="3" width="8.28125" style="344" bestFit="1" customWidth="1"/>
    <col min="4" max="4" width="3.8515625" style="138" customWidth="1"/>
    <col min="5" max="5" width="8.140625" style="344" customWidth="1"/>
    <col min="6" max="6" width="3.8515625" style="137" customWidth="1"/>
    <col min="7" max="7" width="8.00390625" style="344" customWidth="1"/>
    <col min="8" max="8" width="3.8515625" style="138" customWidth="1"/>
    <col min="9" max="9" width="9.00390625" style="762" customWidth="1"/>
    <col min="10" max="10" width="3.7109375" style="139" hidden="1" customWidth="1"/>
    <col min="11" max="11" width="6.140625" style="111" hidden="1" customWidth="1"/>
    <col min="12" max="12" width="4.00390625" style="111" customWidth="1"/>
    <col min="13" max="13" width="8.00390625" style="762" customWidth="1"/>
    <col min="14" max="14" width="4.00390625" style="111" customWidth="1"/>
    <col min="15" max="15" width="8.140625" style="762" customWidth="1"/>
    <col min="16" max="16" width="4.00390625" style="111" customWidth="1"/>
    <col min="17" max="17" width="8.140625" style="762" customWidth="1"/>
    <col min="18" max="18" width="3.00390625" style="138" customWidth="1"/>
    <col min="19" max="19" width="8.140625" style="762" customWidth="1"/>
    <col min="20" max="20" width="4.00390625" style="111" customWidth="1"/>
    <col min="21" max="21" width="8.140625" style="762" customWidth="1"/>
    <col min="22" max="22" width="3.8515625" style="111" customWidth="1"/>
    <col min="23" max="23" width="8.00390625" style="762" customWidth="1"/>
    <col min="24" max="24" width="4.140625" style="139" customWidth="1"/>
    <col min="25" max="25" width="8.140625" style="762" customWidth="1"/>
    <col min="26" max="26" width="5.00390625" style="111" customWidth="1"/>
    <col min="27" max="27" width="9.00390625" style="762" customWidth="1"/>
    <col min="28" max="28" width="5.00390625" style="139" customWidth="1"/>
    <col min="29" max="29" width="9.140625" style="762" customWidth="1"/>
    <col min="30" max="30" width="3.8515625" style="138" customWidth="1"/>
    <col min="31" max="31" width="9.140625" style="762" customWidth="1"/>
    <col min="32" max="32" width="3.8515625" style="139" customWidth="1"/>
    <col min="33" max="33" width="9.00390625" style="762" customWidth="1"/>
    <col min="34" max="34" width="4.00390625" style="111" customWidth="1"/>
    <col min="35" max="35" width="8.140625" style="762" customWidth="1"/>
    <col min="36" max="36" width="4.8515625" style="139" customWidth="1"/>
    <col min="37" max="37" width="9.00390625" style="762" customWidth="1"/>
    <col min="38" max="38" width="3.28125" style="341" customWidth="1"/>
    <col min="39" max="39" width="6.7109375" style="341" bestFit="1" customWidth="1"/>
    <col min="40" max="40" width="3.8515625" style="139" customWidth="1"/>
    <col min="41" max="41" width="6.57421875" style="762" customWidth="1"/>
    <col min="42" max="42" width="6.421875" style="139" customWidth="1"/>
    <col min="43" max="43" width="10.00390625" style="465" customWidth="1"/>
    <col min="44" max="16384" width="9.140625" style="111" customWidth="1"/>
  </cols>
  <sheetData>
    <row r="1" spans="2:42" s="59" customFormat="1" ht="18.75" customHeight="1" thickBot="1">
      <c r="B1" s="137"/>
      <c r="C1" s="414"/>
      <c r="D1" s="138"/>
      <c r="E1" s="344"/>
      <c r="F1" s="137"/>
      <c r="G1" s="344"/>
      <c r="H1" s="138"/>
      <c r="I1" s="762"/>
      <c r="J1" s="139"/>
      <c r="K1" s="138"/>
      <c r="L1" s="138"/>
      <c r="M1" s="762"/>
      <c r="N1" s="138"/>
      <c r="O1" s="762"/>
      <c r="P1" s="138"/>
      <c r="Q1" s="762"/>
      <c r="R1" s="138"/>
      <c r="S1" s="762"/>
      <c r="T1" s="138"/>
      <c r="U1" s="762"/>
      <c r="V1" s="138"/>
      <c r="W1" s="762"/>
      <c r="X1" s="139"/>
      <c r="Y1" s="762"/>
      <c r="Z1" s="138"/>
      <c r="AA1" s="762"/>
      <c r="AC1" s="457"/>
      <c r="AE1" s="457"/>
      <c r="AF1" s="139"/>
      <c r="AG1" s="457"/>
      <c r="AH1" s="74"/>
      <c r="AI1" s="1191"/>
      <c r="AJ1" s="74"/>
      <c r="AK1" s="1193" t="s">
        <v>0</v>
      </c>
      <c r="AL1" s="969"/>
      <c r="AM1" s="969"/>
      <c r="AN1" s="74"/>
      <c r="AO1" s="1191"/>
      <c r="AP1" s="74"/>
    </row>
    <row r="2" spans="1:43" s="59" customFormat="1" ht="73.5" customHeight="1" thickBot="1">
      <c r="A2" s="1271" t="s">
        <v>1</v>
      </c>
      <c r="B2" s="1273" t="s">
        <v>70</v>
      </c>
      <c r="C2" s="1273"/>
      <c r="D2" s="1273" t="s">
        <v>71</v>
      </c>
      <c r="E2" s="1273"/>
      <c r="F2" s="1268" t="s">
        <v>83</v>
      </c>
      <c r="G2" s="1268"/>
      <c r="H2" s="1269" t="s">
        <v>72</v>
      </c>
      <c r="I2" s="1269"/>
      <c r="J2" s="1269" t="s">
        <v>72</v>
      </c>
      <c r="K2" s="1269"/>
      <c r="L2" s="1269" t="s">
        <v>84</v>
      </c>
      <c r="M2" s="1269"/>
      <c r="N2" s="1270" t="s">
        <v>154</v>
      </c>
      <c r="O2" s="1270"/>
      <c r="P2" s="1270" t="s">
        <v>73</v>
      </c>
      <c r="Q2" s="1270"/>
      <c r="R2" s="1270" t="s">
        <v>74</v>
      </c>
      <c r="S2" s="1270"/>
      <c r="T2" s="1270" t="s">
        <v>159</v>
      </c>
      <c r="U2" s="1270"/>
      <c r="V2" s="1270" t="s">
        <v>75</v>
      </c>
      <c r="W2" s="1270"/>
      <c r="X2" s="1273" t="s">
        <v>76</v>
      </c>
      <c r="Y2" s="1273"/>
      <c r="Z2" s="1270" t="s">
        <v>77</v>
      </c>
      <c r="AA2" s="1270"/>
      <c r="AB2" s="1270" t="s">
        <v>78</v>
      </c>
      <c r="AC2" s="1270"/>
      <c r="AD2" s="1270" t="s">
        <v>79</v>
      </c>
      <c r="AE2" s="1270"/>
      <c r="AF2" s="1270" t="s">
        <v>80</v>
      </c>
      <c r="AG2" s="1270"/>
      <c r="AH2" s="1270" t="s">
        <v>81</v>
      </c>
      <c r="AI2" s="1270"/>
      <c r="AJ2" s="1270" t="s">
        <v>92</v>
      </c>
      <c r="AK2" s="1270"/>
      <c r="AL2" s="1270" t="s">
        <v>530</v>
      </c>
      <c r="AM2" s="1270"/>
      <c r="AN2" s="1270" t="s">
        <v>583</v>
      </c>
      <c r="AO2" s="1270"/>
      <c r="AP2" s="1274" t="s">
        <v>65</v>
      </c>
      <c r="AQ2" s="1274"/>
    </row>
    <row r="3" spans="1:43" s="70" customFormat="1" ht="21.75" customHeight="1" thickBot="1">
      <c r="A3" s="1272"/>
      <c r="B3" s="967" t="s">
        <v>10</v>
      </c>
      <c r="C3" s="968" t="s">
        <v>9</v>
      </c>
      <c r="D3" s="967" t="s">
        <v>10</v>
      </c>
      <c r="E3" s="968" t="s">
        <v>9</v>
      </c>
      <c r="F3" s="967" t="s">
        <v>10</v>
      </c>
      <c r="G3" s="968" t="s">
        <v>9</v>
      </c>
      <c r="H3" s="91" t="s">
        <v>10</v>
      </c>
      <c r="I3" s="1182" t="s">
        <v>9</v>
      </c>
      <c r="J3" s="91" t="s">
        <v>10</v>
      </c>
      <c r="K3" s="91" t="s">
        <v>9</v>
      </c>
      <c r="L3" s="91" t="s">
        <v>10</v>
      </c>
      <c r="M3" s="1182" t="s">
        <v>9</v>
      </c>
      <c r="N3" s="91" t="s">
        <v>10</v>
      </c>
      <c r="O3" s="1182" t="s">
        <v>9</v>
      </c>
      <c r="P3" s="91" t="s">
        <v>10</v>
      </c>
      <c r="Q3" s="1182" t="s">
        <v>9</v>
      </c>
      <c r="R3" s="91" t="s">
        <v>10</v>
      </c>
      <c r="S3" s="1182" t="s">
        <v>9</v>
      </c>
      <c r="T3" s="91" t="s">
        <v>10</v>
      </c>
      <c r="U3" s="1182" t="s">
        <v>9</v>
      </c>
      <c r="V3" s="91" t="s">
        <v>10</v>
      </c>
      <c r="W3" s="1182" t="s">
        <v>9</v>
      </c>
      <c r="X3" s="91" t="s">
        <v>10</v>
      </c>
      <c r="Y3" s="1182" t="s">
        <v>9</v>
      </c>
      <c r="Z3" s="91" t="s">
        <v>10</v>
      </c>
      <c r="AA3" s="1182" t="s">
        <v>9</v>
      </c>
      <c r="AB3" s="91" t="s">
        <v>10</v>
      </c>
      <c r="AC3" s="1182" t="s">
        <v>9</v>
      </c>
      <c r="AD3" s="91" t="s">
        <v>10</v>
      </c>
      <c r="AE3" s="1182" t="s">
        <v>9</v>
      </c>
      <c r="AF3" s="91" t="s">
        <v>10</v>
      </c>
      <c r="AG3" s="1182" t="s">
        <v>9</v>
      </c>
      <c r="AH3" s="91" t="s">
        <v>10</v>
      </c>
      <c r="AI3" s="1182" t="s">
        <v>9</v>
      </c>
      <c r="AJ3" s="91" t="s">
        <v>10</v>
      </c>
      <c r="AK3" s="1182" t="s">
        <v>9</v>
      </c>
      <c r="AL3" s="91" t="s">
        <v>10</v>
      </c>
      <c r="AM3" s="968" t="s">
        <v>9</v>
      </c>
      <c r="AN3" s="91" t="s">
        <v>10</v>
      </c>
      <c r="AO3" s="1182" t="s">
        <v>9</v>
      </c>
      <c r="AP3" s="91" t="s">
        <v>10</v>
      </c>
      <c r="AQ3" s="970" t="s">
        <v>9</v>
      </c>
    </row>
    <row r="4" spans="1:43" s="59" customFormat="1" ht="26.25" customHeight="1">
      <c r="A4" s="75" t="s">
        <v>85</v>
      </c>
      <c r="B4" s="61"/>
      <c r="C4" s="337"/>
      <c r="D4" s="62"/>
      <c r="E4" s="337"/>
      <c r="F4" s="61"/>
      <c r="G4" s="337"/>
      <c r="H4" s="62"/>
      <c r="I4" s="1161"/>
      <c r="J4" s="63"/>
      <c r="K4" s="62"/>
      <c r="L4" s="62"/>
      <c r="M4" s="1161"/>
      <c r="N4" s="62"/>
      <c r="O4" s="1161"/>
      <c r="P4" s="62"/>
      <c r="Q4" s="1161"/>
      <c r="R4" s="62"/>
      <c r="S4" s="1161"/>
      <c r="T4" s="62"/>
      <c r="U4" s="1161"/>
      <c r="V4" s="62"/>
      <c r="W4" s="1161"/>
      <c r="X4" s="63"/>
      <c r="Y4" s="1161"/>
      <c r="Z4" s="62"/>
      <c r="AA4" s="1161"/>
      <c r="AB4" s="63"/>
      <c r="AC4" s="1161"/>
      <c r="AD4" s="62"/>
      <c r="AE4" s="1161"/>
      <c r="AF4" s="63"/>
      <c r="AG4" s="1161"/>
      <c r="AH4" s="62"/>
      <c r="AI4" s="1161"/>
      <c r="AJ4" s="63"/>
      <c r="AK4" s="1161"/>
      <c r="AL4" s="337"/>
      <c r="AM4" s="337"/>
      <c r="AN4" s="63"/>
      <c r="AO4" s="1161"/>
      <c r="AP4" s="63"/>
      <c r="AQ4" s="971"/>
    </row>
    <row r="5" spans="1:43" s="79" customFormat="1" ht="23.25" customHeight="1">
      <c r="A5" s="76" t="s">
        <v>86</v>
      </c>
      <c r="B5" s="156"/>
      <c r="C5" s="400">
        <v>373</v>
      </c>
      <c r="D5" s="12"/>
      <c r="E5" s="400"/>
      <c r="F5" s="156"/>
      <c r="G5" s="400">
        <v>866.8</v>
      </c>
      <c r="H5" s="15"/>
      <c r="I5" s="1183">
        <v>559.8</v>
      </c>
      <c r="J5" s="15"/>
      <c r="K5" s="12"/>
      <c r="L5" s="12">
        <v>10</v>
      </c>
      <c r="M5" s="458">
        <v>147.2</v>
      </c>
      <c r="N5" s="12"/>
      <c r="O5" s="458"/>
      <c r="P5" s="12">
        <v>11</v>
      </c>
      <c r="Q5" s="458">
        <v>383</v>
      </c>
      <c r="R5" s="12"/>
      <c r="S5" s="458"/>
      <c r="T5" s="12"/>
      <c r="U5" s="458"/>
      <c r="V5" s="12"/>
      <c r="W5" s="458"/>
      <c r="X5" s="11"/>
      <c r="Y5" s="453"/>
      <c r="Z5" s="11">
        <v>22</v>
      </c>
      <c r="AA5" s="453">
        <v>2323.1</v>
      </c>
      <c r="AB5" s="11"/>
      <c r="AC5" s="453">
        <v>949</v>
      </c>
      <c r="AD5" s="11"/>
      <c r="AE5" s="453"/>
      <c r="AF5" s="11">
        <v>20</v>
      </c>
      <c r="AG5" s="453">
        <v>2271.7</v>
      </c>
      <c r="AH5" s="11"/>
      <c r="AI5" s="453">
        <v>912.8</v>
      </c>
      <c r="AJ5" s="11"/>
      <c r="AK5" s="453">
        <v>184.9</v>
      </c>
      <c r="AL5" s="353"/>
      <c r="AM5" s="353"/>
      <c r="AN5" s="11">
        <v>10</v>
      </c>
      <c r="AO5" s="453">
        <v>42.1</v>
      </c>
      <c r="AP5" s="89">
        <f aca="true" t="shared" si="0" ref="AP5:AQ7">SUM(B5,D5,F5,H5,J5,L5,N5,P5,R5,T5,V5,X5,Z5,AB5,AD5,AF5,AH5,AJ5,AN5,AL5)</f>
        <v>73</v>
      </c>
      <c r="AQ5" s="1135">
        <f t="shared" si="0"/>
        <v>9013.4</v>
      </c>
    </row>
    <row r="6" spans="1:43" s="79" customFormat="1" ht="23.25" customHeight="1">
      <c r="A6" s="76" t="s">
        <v>87</v>
      </c>
      <c r="B6" s="156">
        <v>18</v>
      </c>
      <c r="C6" s="400">
        <v>3066.6</v>
      </c>
      <c r="D6" s="12">
        <v>7</v>
      </c>
      <c r="E6" s="400">
        <v>379.3</v>
      </c>
      <c r="F6" s="156">
        <v>12</v>
      </c>
      <c r="G6" s="400">
        <v>2727.4</v>
      </c>
      <c r="H6" s="15">
        <v>23</v>
      </c>
      <c r="I6" s="1183">
        <v>6691.5</v>
      </c>
      <c r="J6" s="15"/>
      <c r="K6" s="12"/>
      <c r="L6" s="12">
        <v>1</v>
      </c>
      <c r="M6" s="458">
        <v>750.3</v>
      </c>
      <c r="N6" s="12"/>
      <c r="O6" s="458">
        <v>348.5</v>
      </c>
      <c r="P6" s="12">
        <v>4</v>
      </c>
      <c r="Q6" s="458">
        <v>2344.6</v>
      </c>
      <c r="R6" s="12">
        <v>2</v>
      </c>
      <c r="S6" s="458">
        <v>328.7</v>
      </c>
      <c r="T6" s="12">
        <v>1</v>
      </c>
      <c r="U6" s="458">
        <f>3031.4-32.6-32.6</f>
        <v>2966.2000000000003</v>
      </c>
      <c r="V6" s="12">
        <v>10</v>
      </c>
      <c r="W6" s="458">
        <v>575.1</v>
      </c>
      <c r="X6" s="11">
        <v>18</v>
      </c>
      <c r="Y6" s="453">
        <v>2103.4</v>
      </c>
      <c r="Z6" s="11">
        <v>61</v>
      </c>
      <c r="AA6" s="453">
        <v>8869.4</v>
      </c>
      <c r="AB6" s="11">
        <v>15</v>
      </c>
      <c r="AC6" s="453">
        <v>4633.9</v>
      </c>
      <c r="AD6" s="11">
        <v>5</v>
      </c>
      <c r="AE6" s="453">
        <v>6359</v>
      </c>
      <c r="AF6" s="11">
        <v>3</v>
      </c>
      <c r="AG6" s="453">
        <v>2933.6</v>
      </c>
      <c r="AH6" s="11">
        <v>1</v>
      </c>
      <c r="AI6" s="453">
        <v>932</v>
      </c>
      <c r="AJ6" s="11">
        <v>45</v>
      </c>
      <c r="AK6" s="453">
        <v>7514.3</v>
      </c>
      <c r="AL6" s="353"/>
      <c r="AM6" s="353"/>
      <c r="AN6" s="11"/>
      <c r="AO6" s="453"/>
      <c r="AP6" s="89">
        <f t="shared" si="0"/>
        <v>226</v>
      </c>
      <c r="AQ6" s="1135">
        <f t="shared" si="0"/>
        <v>53523.8</v>
      </c>
    </row>
    <row r="7" spans="1:43" s="79" customFormat="1" ht="23.25" customHeight="1">
      <c r="A7" s="76" t="s">
        <v>88</v>
      </c>
      <c r="B7" s="156">
        <v>11</v>
      </c>
      <c r="C7" s="400">
        <v>831.8</v>
      </c>
      <c r="D7" s="12">
        <v>1</v>
      </c>
      <c r="E7" s="400">
        <v>176.5</v>
      </c>
      <c r="F7" s="156"/>
      <c r="G7" s="400"/>
      <c r="H7" s="15">
        <v>5</v>
      </c>
      <c r="I7" s="1183">
        <v>491.6</v>
      </c>
      <c r="J7" s="15"/>
      <c r="K7" s="12"/>
      <c r="L7" s="12">
        <v>29</v>
      </c>
      <c r="M7" s="458">
        <v>1412.2</v>
      </c>
      <c r="N7" s="12">
        <v>19</v>
      </c>
      <c r="O7" s="458">
        <v>1124.4</v>
      </c>
      <c r="P7" s="12">
        <v>1</v>
      </c>
      <c r="Q7" s="458">
        <v>993.4</v>
      </c>
      <c r="R7" s="12"/>
      <c r="S7" s="458"/>
      <c r="T7" s="12"/>
      <c r="U7" s="458"/>
      <c r="V7" s="12">
        <v>15</v>
      </c>
      <c r="W7" s="458">
        <v>1727.7</v>
      </c>
      <c r="X7" s="11"/>
      <c r="Y7" s="453"/>
      <c r="Z7" s="11">
        <v>124</v>
      </c>
      <c r="AA7" s="453">
        <v>4329.7</v>
      </c>
      <c r="AB7" s="11">
        <v>53</v>
      </c>
      <c r="AC7" s="453">
        <v>5129.5</v>
      </c>
      <c r="AD7" s="11">
        <v>4</v>
      </c>
      <c r="AE7" s="453">
        <v>1607.1</v>
      </c>
      <c r="AF7" s="11">
        <v>68</v>
      </c>
      <c r="AG7" s="453">
        <v>5107.4</v>
      </c>
      <c r="AH7" s="11">
        <v>30</v>
      </c>
      <c r="AI7" s="453">
        <v>2846.4</v>
      </c>
      <c r="AJ7" s="11">
        <v>34</v>
      </c>
      <c r="AK7" s="453">
        <v>1902.8</v>
      </c>
      <c r="AL7" s="353">
        <v>9</v>
      </c>
      <c r="AM7" s="353">
        <v>807</v>
      </c>
      <c r="AN7" s="11">
        <v>9</v>
      </c>
      <c r="AO7" s="453">
        <v>414.7</v>
      </c>
      <c r="AP7" s="89">
        <f t="shared" si="0"/>
        <v>412</v>
      </c>
      <c r="AQ7" s="1135">
        <f t="shared" si="0"/>
        <v>28902.199999999997</v>
      </c>
    </row>
    <row r="8" spans="1:43" s="419" customFormat="1" ht="22.5" customHeight="1">
      <c r="A8" s="239" t="s">
        <v>89</v>
      </c>
      <c r="B8" s="240"/>
      <c r="C8" s="753"/>
      <c r="D8" s="738">
        <v>14</v>
      </c>
      <c r="E8" s="753">
        <v>1104.1</v>
      </c>
      <c r="F8" s="240">
        <v>8</v>
      </c>
      <c r="G8" s="753">
        <v>390.1</v>
      </c>
      <c r="H8" s="18">
        <v>40</v>
      </c>
      <c r="I8" s="1184">
        <v>4546.7</v>
      </c>
      <c r="J8" s="18"/>
      <c r="K8" s="738"/>
      <c r="L8" s="738"/>
      <c r="M8" s="739"/>
      <c r="N8" s="738"/>
      <c r="O8" s="739"/>
      <c r="P8" s="738"/>
      <c r="Q8" s="739"/>
      <c r="R8" s="738"/>
      <c r="S8" s="739"/>
      <c r="T8" s="738"/>
      <c r="U8" s="739"/>
      <c r="V8" s="738"/>
      <c r="W8" s="739"/>
      <c r="X8" s="17"/>
      <c r="Y8" s="454"/>
      <c r="Z8" s="17">
        <v>2</v>
      </c>
      <c r="AA8" s="454">
        <v>4.2</v>
      </c>
      <c r="AB8" s="17">
        <v>64</v>
      </c>
      <c r="AC8" s="454">
        <v>4340.1</v>
      </c>
      <c r="AD8" s="17"/>
      <c r="AE8" s="454"/>
      <c r="AF8" s="17"/>
      <c r="AG8" s="454"/>
      <c r="AH8" s="17"/>
      <c r="AI8" s="454"/>
      <c r="AJ8" s="17"/>
      <c r="AK8" s="454"/>
      <c r="AL8" s="399"/>
      <c r="AM8" s="399"/>
      <c r="AN8" s="17"/>
      <c r="AO8" s="454"/>
      <c r="AP8" s="163">
        <f>SUM(B8,D8,F8,H8,J8,L8,N8,P8,R8,T8,V8,X8,Z8,AB8,AD8,AF8,AH8,AJ8,AN8)</f>
        <v>128</v>
      </c>
      <c r="AQ8" s="973">
        <f>SUM(C8,E8,G8,I8,K8,M8,O8,Q8,S8,U8,W8,Y8,AA8,AC8,AE8,AG8,AI8,AK8,AO8)</f>
        <v>10385.2</v>
      </c>
    </row>
    <row r="9" spans="1:43" s="78" customFormat="1" ht="22.5" customHeight="1">
      <c r="A9" s="109" t="s">
        <v>230</v>
      </c>
      <c r="B9" s="156"/>
      <c r="C9" s="353"/>
      <c r="D9" s="11"/>
      <c r="E9" s="353"/>
      <c r="F9" s="11"/>
      <c r="G9" s="353"/>
      <c r="H9" s="11"/>
      <c r="I9" s="453"/>
      <c r="J9" s="11"/>
      <c r="K9" s="11"/>
      <c r="L9" s="11"/>
      <c r="M9" s="453"/>
      <c r="N9" s="11"/>
      <c r="O9" s="453"/>
      <c r="P9" s="11"/>
      <c r="Q9" s="453"/>
      <c r="R9" s="11"/>
      <c r="S9" s="453"/>
      <c r="T9" s="11"/>
      <c r="U9" s="453"/>
      <c r="V9" s="11"/>
      <c r="W9" s="453"/>
      <c r="X9" s="11"/>
      <c r="Y9" s="453"/>
      <c r="Z9" s="11"/>
      <c r="AA9" s="453"/>
      <c r="AB9" s="11"/>
      <c r="AC9" s="453"/>
      <c r="AD9" s="11"/>
      <c r="AE9" s="453"/>
      <c r="AF9" s="11"/>
      <c r="AG9" s="453"/>
      <c r="AH9" s="11"/>
      <c r="AI9" s="453"/>
      <c r="AJ9" s="11"/>
      <c r="AK9" s="453"/>
      <c r="AL9" s="353"/>
      <c r="AM9" s="353"/>
      <c r="AN9" s="11"/>
      <c r="AO9" s="453"/>
      <c r="AP9" s="89"/>
      <c r="AQ9" s="972"/>
    </row>
    <row r="10" spans="1:43" s="59" customFormat="1" ht="24.75" customHeight="1">
      <c r="A10" s="697" t="s">
        <v>95</v>
      </c>
      <c r="B10" s="156"/>
      <c r="C10" s="400"/>
      <c r="D10" s="12"/>
      <c r="E10" s="400"/>
      <c r="F10" s="156"/>
      <c r="G10" s="400"/>
      <c r="H10" s="15"/>
      <c r="I10" s="1183"/>
      <c r="J10" s="15"/>
      <c r="K10" s="12"/>
      <c r="L10" s="12"/>
      <c r="M10" s="458"/>
      <c r="N10" s="12"/>
      <c r="O10" s="458"/>
      <c r="P10" s="12"/>
      <c r="Q10" s="458"/>
      <c r="R10" s="12"/>
      <c r="S10" s="458"/>
      <c r="T10" s="12"/>
      <c r="U10" s="458"/>
      <c r="V10" s="12"/>
      <c r="W10" s="458"/>
      <c r="X10" s="11"/>
      <c r="Y10" s="453"/>
      <c r="Z10" s="11">
        <v>1</v>
      </c>
      <c r="AA10" s="453">
        <v>2.1</v>
      </c>
      <c r="AB10" s="11"/>
      <c r="AC10" s="453"/>
      <c r="AD10" s="11"/>
      <c r="AE10" s="453"/>
      <c r="AF10" s="11"/>
      <c r="AG10" s="453"/>
      <c r="AH10" s="11"/>
      <c r="AI10" s="453"/>
      <c r="AJ10" s="11"/>
      <c r="AK10" s="453"/>
      <c r="AL10" s="353"/>
      <c r="AM10" s="353"/>
      <c r="AN10" s="11"/>
      <c r="AO10" s="453"/>
      <c r="AP10" s="89">
        <f aca="true" t="shared" si="1" ref="AP10:AQ12">SUM(B10,D10,F10,H10,J10,L10,N10,P10,R10,T10,V10,X10,Z10,AB10,AD10,AF10,AH10,AJ10,AN10)</f>
        <v>1</v>
      </c>
      <c r="AQ10" s="972">
        <f t="shared" si="1"/>
        <v>2.1</v>
      </c>
    </row>
    <row r="11" spans="1:43" s="59" customFormat="1" ht="24.75" customHeight="1">
      <c r="A11" s="1130" t="s">
        <v>96</v>
      </c>
      <c r="B11" s="1130"/>
      <c r="C11" s="1130"/>
      <c r="D11" s="1130"/>
      <c r="E11" s="1130"/>
      <c r="F11" s="1130"/>
      <c r="H11" s="1130"/>
      <c r="I11" s="1185"/>
      <c r="J11" s="1130" t="s">
        <v>96</v>
      </c>
      <c r="K11" s="1130" t="s">
        <v>96</v>
      </c>
      <c r="L11" s="1130"/>
      <c r="M11" s="1185"/>
      <c r="N11" s="1130"/>
      <c r="O11" s="1185"/>
      <c r="P11" s="12"/>
      <c r="Q11" s="458"/>
      <c r="R11" s="12"/>
      <c r="S11" s="458"/>
      <c r="T11" s="12"/>
      <c r="U11" s="458"/>
      <c r="V11" s="12"/>
      <c r="W11" s="458"/>
      <c r="X11" s="11"/>
      <c r="Y11" s="453"/>
      <c r="Z11" s="11">
        <v>1</v>
      </c>
      <c r="AA11" s="453">
        <v>2.1</v>
      </c>
      <c r="AB11" s="11"/>
      <c r="AC11" s="453"/>
      <c r="AD11" s="11"/>
      <c r="AE11" s="453"/>
      <c r="AF11" s="11"/>
      <c r="AG11" s="453"/>
      <c r="AH11" s="11"/>
      <c r="AI11" s="453"/>
      <c r="AJ11" s="11"/>
      <c r="AK11" s="453"/>
      <c r="AL11" s="353"/>
      <c r="AM11" s="353"/>
      <c r="AN11" s="11"/>
      <c r="AO11" s="453"/>
      <c r="AP11" s="89">
        <f t="shared" si="1"/>
        <v>1</v>
      </c>
      <c r="AQ11" s="972">
        <f t="shared" si="1"/>
        <v>2.1</v>
      </c>
    </row>
    <row r="12" spans="1:43" s="419" customFormat="1" ht="22.5" customHeight="1">
      <c r="A12" s="699" t="s">
        <v>91</v>
      </c>
      <c r="B12" s="240">
        <v>10</v>
      </c>
      <c r="C12" s="753">
        <v>924.2</v>
      </c>
      <c r="D12" s="738"/>
      <c r="E12" s="753"/>
      <c r="F12" s="240"/>
      <c r="G12" s="753"/>
      <c r="H12" s="18"/>
      <c r="I12" s="1184"/>
      <c r="J12" s="18"/>
      <c r="K12" s="738"/>
      <c r="L12" s="738"/>
      <c r="M12" s="739"/>
      <c r="N12" s="738"/>
      <c r="O12" s="739"/>
      <c r="P12" s="738"/>
      <c r="Q12" s="739"/>
      <c r="R12" s="738"/>
      <c r="S12" s="739"/>
      <c r="T12" s="738"/>
      <c r="U12" s="739"/>
      <c r="V12" s="738"/>
      <c r="W12" s="739"/>
      <c r="X12" s="17"/>
      <c r="Y12" s="454"/>
      <c r="Z12" s="17">
        <v>5</v>
      </c>
      <c r="AA12" s="454">
        <v>565</v>
      </c>
      <c r="AB12" s="17"/>
      <c r="AC12" s="454"/>
      <c r="AD12" s="17"/>
      <c r="AE12" s="454"/>
      <c r="AF12" s="17"/>
      <c r="AG12" s="454"/>
      <c r="AH12" s="17"/>
      <c r="AI12" s="454"/>
      <c r="AJ12" s="17"/>
      <c r="AK12" s="454"/>
      <c r="AL12" s="399"/>
      <c r="AM12" s="399"/>
      <c r="AN12" s="17"/>
      <c r="AO12" s="454"/>
      <c r="AP12" s="163">
        <f t="shared" si="1"/>
        <v>15</v>
      </c>
      <c r="AQ12" s="973">
        <f t="shared" si="1"/>
        <v>1489.2</v>
      </c>
    </row>
    <row r="13" spans="1:43" s="78" customFormat="1" ht="22.5" customHeight="1">
      <c r="A13" s="109" t="s">
        <v>21</v>
      </c>
      <c r="B13" s="156"/>
      <c r="C13" s="353"/>
      <c r="D13" s="11"/>
      <c r="E13" s="353"/>
      <c r="F13" s="11"/>
      <c r="G13" s="353"/>
      <c r="H13" s="11"/>
      <c r="I13" s="453"/>
      <c r="J13" s="11"/>
      <c r="K13" s="11"/>
      <c r="L13" s="11"/>
      <c r="M13" s="453"/>
      <c r="N13" s="11"/>
      <c r="O13" s="453"/>
      <c r="P13" s="11"/>
      <c r="Q13" s="453"/>
      <c r="R13" s="11"/>
      <c r="S13" s="453"/>
      <c r="T13" s="11"/>
      <c r="U13" s="453"/>
      <c r="V13" s="11"/>
      <c r="W13" s="453"/>
      <c r="X13" s="11"/>
      <c r="Y13" s="453"/>
      <c r="Z13" s="11"/>
      <c r="AA13" s="453"/>
      <c r="AB13" s="11"/>
      <c r="AC13" s="453"/>
      <c r="AD13" s="11"/>
      <c r="AE13" s="453"/>
      <c r="AF13" s="11"/>
      <c r="AG13" s="453"/>
      <c r="AH13" s="11"/>
      <c r="AI13" s="453"/>
      <c r="AJ13" s="11"/>
      <c r="AK13" s="453"/>
      <c r="AL13" s="353"/>
      <c r="AM13" s="353"/>
      <c r="AN13" s="11"/>
      <c r="AO13" s="453"/>
      <c r="AP13" s="89"/>
      <c r="AQ13" s="972"/>
    </row>
    <row r="14" spans="1:43" s="419" customFormat="1" ht="22.5" customHeight="1">
      <c r="A14" s="699" t="s">
        <v>90</v>
      </c>
      <c r="B14" s="240"/>
      <c r="C14" s="753"/>
      <c r="D14" s="738"/>
      <c r="E14" s="753"/>
      <c r="F14" s="240">
        <v>10</v>
      </c>
      <c r="G14" s="753">
        <v>1305.1</v>
      </c>
      <c r="H14" s="18"/>
      <c r="I14" s="1184"/>
      <c r="J14" s="18"/>
      <c r="K14" s="738"/>
      <c r="L14" s="738"/>
      <c r="M14" s="739"/>
      <c r="N14" s="738"/>
      <c r="O14" s="739"/>
      <c r="P14" s="738"/>
      <c r="Q14" s="739"/>
      <c r="R14" s="738"/>
      <c r="S14" s="739"/>
      <c r="T14" s="738"/>
      <c r="U14" s="739"/>
      <c r="V14" s="738"/>
      <c r="W14" s="739"/>
      <c r="X14" s="17"/>
      <c r="Y14" s="454"/>
      <c r="Z14" s="17">
        <v>1</v>
      </c>
      <c r="AA14" s="454">
        <v>1082.7</v>
      </c>
      <c r="AB14" s="17">
        <v>1</v>
      </c>
      <c r="AC14" s="454">
        <v>1959.1</v>
      </c>
      <c r="AD14" s="17"/>
      <c r="AE14" s="454"/>
      <c r="AF14" s="17">
        <v>1</v>
      </c>
      <c r="AG14" s="454">
        <v>69.6</v>
      </c>
      <c r="AH14" s="17"/>
      <c r="AI14" s="454"/>
      <c r="AJ14" s="17"/>
      <c r="AK14" s="454"/>
      <c r="AL14" s="399"/>
      <c r="AM14" s="399"/>
      <c r="AN14" s="17"/>
      <c r="AO14" s="454"/>
      <c r="AP14" s="163">
        <f>SUM(B14,D14,F14,H14,J14,L14,N14,P14,R14,T14,V14,X14,Z14,AB14,AD14,AF14,AH14,AJ14,AN14)</f>
        <v>13</v>
      </c>
      <c r="AQ14" s="973">
        <f>SUM(C14,E14,G14,I14,K14,M14,O14,Q14,S14,U14,W14,Y14,AA14,AC14,AE14,AG14,AI14,AK14,AO14)</f>
        <v>4416.5</v>
      </c>
    </row>
    <row r="15" spans="1:43" s="59" customFormat="1" ht="24.75" customHeight="1">
      <c r="A15" s="109" t="s">
        <v>24</v>
      </c>
      <c r="B15" s="156"/>
      <c r="C15" s="400"/>
      <c r="D15" s="12"/>
      <c r="E15" s="400"/>
      <c r="F15" s="156"/>
      <c r="G15" s="400"/>
      <c r="H15" s="15"/>
      <c r="I15" s="1183"/>
      <c r="J15" s="15"/>
      <c r="K15" s="12"/>
      <c r="L15" s="12"/>
      <c r="M15" s="458"/>
      <c r="N15" s="12"/>
      <c r="O15" s="458"/>
      <c r="P15" s="12"/>
      <c r="Q15" s="458"/>
      <c r="R15" s="12"/>
      <c r="S15" s="458"/>
      <c r="T15" s="12"/>
      <c r="U15" s="458"/>
      <c r="V15" s="12"/>
      <c r="W15" s="458"/>
      <c r="X15" s="11"/>
      <c r="Y15" s="453"/>
      <c r="Z15" s="11"/>
      <c r="AA15" s="453"/>
      <c r="AB15" s="11"/>
      <c r="AC15" s="453"/>
      <c r="AD15" s="11"/>
      <c r="AE15" s="453"/>
      <c r="AF15" s="11"/>
      <c r="AG15" s="453"/>
      <c r="AH15" s="11"/>
      <c r="AI15" s="453"/>
      <c r="AJ15" s="11"/>
      <c r="AK15" s="453"/>
      <c r="AL15" s="353"/>
      <c r="AM15" s="353"/>
      <c r="AN15" s="11"/>
      <c r="AO15" s="453"/>
      <c r="AP15" s="89"/>
      <c r="AQ15" s="972"/>
    </row>
    <row r="16" spans="1:43" s="59" customFormat="1" ht="24.75" customHeight="1">
      <c r="A16" s="1130" t="s">
        <v>575</v>
      </c>
      <c r="B16" s="156"/>
      <c r="C16" s="400"/>
      <c r="D16" s="12"/>
      <c r="E16" s="400"/>
      <c r="F16" s="156"/>
      <c r="G16" s="400"/>
      <c r="H16" s="15"/>
      <c r="I16" s="1183"/>
      <c r="J16" s="15"/>
      <c r="K16" s="12"/>
      <c r="L16" s="12"/>
      <c r="M16" s="458"/>
      <c r="N16" s="12"/>
      <c r="O16" s="458"/>
      <c r="P16" s="12"/>
      <c r="Q16" s="458"/>
      <c r="R16" s="12"/>
      <c r="S16" s="458"/>
      <c r="T16" s="12"/>
      <c r="U16" s="458"/>
      <c r="V16" s="12"/>
      <c r="W16" s="458"/>
      <c r="X16" s="11"/>
      <c r="Y16" s="453"/>
      <c r="Z16" s="11">
        <v>1</v>
      </c>
      <c r="AA16" s="453">
        <v>66.1</v>
      </c>
      <c r="AB16" s="11"/>
      <c r="AC16" s="453"/>
      <c r="AD16" s="11"/>
      <c r="AE16" s="453"/>
      <c r="AF16" s="11"/>
      <c r="AG16" s="453"/>
      <c r="AH16" s="11"/>
      <c r="AI16" s="453"/>
      <c r="AJ16" s="11"/>
      <c r="AK16" s="453"/>
      <c r="AL16" s="353"/>
      <c r="AM16" s="353"/>
      <c r="AN16" s="11"/>
      <c r="AO16" s="453"/>
      <c r="AP16" s="89">
        <f>SUM(B16,D16,F16,H16,J16,L16,N16,P16,R16,T16,V16,X16,Z16,AB16,AD16,AF16,AH16,AJ16,AN16,AL16)</f>
        <v>1</v>
      </c>
      <c r="AQ16" s="1135">
        <f>SUM(C16,E16,G16,I16,K16,M16,O16,Q16,S16,U16,W16,Y16,AA16,AC16,AE16,AG16,AI16,AK16,AO16,AM16)</f>
        <v>66.1</v>
      </c>
    </row>
    <row r="17" spans="1:43" s="59" customFormat="1" ht="24.75" customHeight="1">
      <c r="A17" s="1130" t="s">
        <v>98</v>
      </c>
      <c r="B17" s="156"/>
      <c r="C17" s="400"/>
      <c r="D17" s="12"/>
      <c r="E17" s="400"/>
      <c r="F17" s="156"/>
      <c r="G17" s="400"/>
      <c r="H17" s="15"/>
      <c r="I17" s="1183"/>
      <c r="J17" s="15"/>
      <c r="K17" s="12"/>
      <c r="L17" s="12"/>
      <c r="M17" s="458"/>
      <c r="N17" s="12"/>
      <c r="O17" s="458"/>
      <c r="P17" s="12"/>
      <c r="Q17" s="458"/>
      <c r="R17" s="12"/>
      <c r="S17" s="458"/>
      <c r="T17" s="12"/>
      <c r="U17" s="458"/>
      <c r="V17" s="12"/>
      <c r="W17" s="458"/>
      <c r="X17" s="11"/>
      <c r="Y17" s="453"/>
      <c r="Z17" s="11">
        <v>1</v>
      </c>
      <c r="AA17" s="453">
        <v>50.8</v>
      </c>
      <c r="AB17" s="11"/>
      <c r="AC17" s="453"/>
      <c r="AD17" s="11"/>
      <c r="AE17" s="453"/>
      <c r="AF17" s="11"/>
      <c r="AG17" s="453"/>
      <c r="AH17" s="11">
        <v>2</v>
      </c>
      <c r="AI17" s="453">
        <v>83.7</v>
      </c>
      <c r="AJ17" s="11"/>
      <c r="AK17" s="453"/>
      <c r="AL17" s="353"/>
      <c r="AM17" s="353"/>
      <c r="AN17" s="11"/>
      <c r="AO17" s="453"/>
      <c r="AP17" s="89">
        <f aca="true" t="shared" si="2" ref="AP17:AP28">SUM(B17,D17,F17,H17,J17,L17,N17,P17,R17,T17,V17,X17,Z17,AB17,AD17,AF17,AH17,AJ17,AN17,AL17)</f>
        <v>3</v>
      </c>
      <c r="AQ17" s="1135">
        <f aca="true" t="shared" si="3" ref="AQ17:AQ28">SUM(C17,E17,G17,I17,K17,M17,O17,Q17,S17,U17,W17,Y17,AA17,AC17,AE17,AG17,AI17,AK17,AO17,AM17)</f>
        <v>134.5</v>
      </c>
    </row>
    <row r="18" spans="1:43" s="59" customFormat="1" ht="24.75" customHeight="1">
      <c r="A18" s="697" t="s">
        <v>93</v>
      </c>
      <c r="B18" s="156"/>
      <c r="C18" s="400"/>
      <c r="D18" s="12"/>
      <c r="E18" s="400"/>
      <c r="F18" s="156">
        <v>3</v>
      </c>
      <c r="G18" s="400">
        <v>1881.4</v>
      </c>
      <c r="H18" s="15">
        <v>21</v>
      </c>
      <c r="I18" s="1183">
        <v>7757.6</v>
      </c>
      <c r="J18" s="15"/>
      <c r="K18" s="12"/>
      <c r="L18" s="12"/>
      <c r="M18" s="458"/>
      <c r="N18" s="12"/>
      <c r="O18" s="458"/>
      <c r="P18" s="12">
        <v>2</v>
      </c>
      <c r="Q18" s="458">
        <v>3137.1</v>
      </c>
      <c r="R18" s="12"/>
      <c r="S18" s="458">
        <v>1437.6</v>
      </c>
      <c r="T18" s="12"/>
      <c r="U18" s="458"/>
      <c r="V18" s="12"/>
      <c r="W18" s="458">
        <v>243.3</v>
      </c>
      <c r="X18" s="11"/>
      <c r="Y18" s="453"/>
      <c r="Z18" s="11">
        <v>20</v>
      </c>
      <c r="AA18" s="453">
        <v>3207.1</v>
      </c>
      <c r="AB18" s="11">
        <v>11</v>
      </c>
      <c r="AC18" s="453">
        <v>3826.1</v>
      </c>
      <c r="AD18" s="11">
        <v>8</v>
      </c>
      <c r="AE18" s="453">
        <v>3487</v>
      </c>
      <c r="AF18" s="11"/>
      <c r="AG18" s="453">
        <v>2390</v>
      </c>
      <c r="AH18" s="11">
        <v>2</v>
      </c>
      <c r="AI18" s="453">
        <v>1197.2</v>
      </c>
      <c r="AJ18" s="11">
        <v>1</v>
      </c>
      <c r="AK18" s="453">
        <v>3947.5</v>
      </c>
      <c r="AL18" s="353"/>
      <c r="AM18" s="353"/>
      <c r="AN18" s="11"/>
      <c r="AO18" s="453"/>
      <c r="AP18" s="89">
        <f t="shared" si="2"/>
        <v>68</v>
      </c>
      <c r="AQ18" s="1135">
        <f t="shared" si="3"/>
        <v>32511.899999999998</v>
      </c>
    </row>
    <row r="19" spans="1:43" s="92" customFormat="1" ht="24.75" customHeight="1">
      <c r="A19" s="275" t="s">
        <v>300</v>
      </c>
      <c r="B19" s="156">
        <v>2</v>
      </c>
      <c r="C19" s="400">
        <v>260.4</v>
      </c>
      <c r="D19" s="12"/>
      <c r="E19" s="400"/>
      <c r="F19" s="156"/>
      <c r="G19" s="400"/>
      <c r="H19" s="15"/>
      <c r="I19" s="1183"/>
      <c r="J19" s="15"/>
      <c r="K19" s="12"/>
      <c r="L19" s="12"/>
      <c r="M19" s="458"/>
      <c r="N19" s="12"/>
      <c r="O19" s="458"/>
      <c r="P19" s="12"/>
      <c r="Q19" s="458"/>
      <c r="R19" s="12"/>
      <c r="S19" s="458"/>
      <c r="T19" s="12"/>
      <c r="U19" s="458"/>
      <c r="V19" s="12"/>
      <c r="W19" s="458"/>
      <c r="X19" s="11"/>
      <c r="Y19" s="453"/>
      <c r="Z19" s="11">
        <v>1</v>
      </c>
      <c r="AA19" s="453">
        <v>82.8</v>
      </c>
      <c r="AB19" s="11"/>
      <c r="AC19" s="453"/>
      <c r="AD19" s="11"/>
      <c r="AE19" s="453"/>
      <c r="AF19" s="11"/>
      <c r="AG19" s="453"/>
      <c r="AH19" s="11"/>
      <c r="AI19" s="453"/>
      <c r="AJ19" s="11"/>
      <c r="AK19" s="453"/>
      <c r="AL19" s="353"/>
      <c r="AM19" s="353"/>
      <c r="AN19" s="11"/>
      <c r="AO19" s="453"/>
      <c r="AP19" s="89">
        <f t="shared" si="2"/>
        <v>3</v>
      </c>
      <c r="AQ19" s="1135">
        <f t="shared" si="3"/>
        <v>343.2</v>
      </c>
    </row>
    <row r="20" spans="1:43" s="92" customFormat="1" ht="24.75" customHeight="1">
      <c r="A20" s="275" t="s">
        <v>301</v>
      </c>
      <c r="B20" s="156">
        <v>9</v>
      </c>
      <c r="C20" s="400">
        <v>239.4</v>
      </c>
      <c r="D20" s="12"/>
      <c r="E20" s="400"/>
      <c r="F20" s="156"/>
      <c r="G20" s="400"/>
      <c r="H20" s="15"/>
      <c r="I20" s="1183"/>
      <c r="J20" s="15"/>
      <c r="K20" s="12"/>
      <c r="L20" s="12"/>
      <c r="M20" s="458"/>
      <c r="N20" s="12"/>
      <c r="O20" s="458"/>
      <c r="P20" s="12"/>
      <c r="Q20" s="458"/>
      <c r="R20" s="12"/>
      <c r="S20" s="458"/>
      <c r="T20" s="12"/>
      <c r="U20" s="458"/>
      <c r="V20" s="12"/>
      <c r="W20" s="458"/>
      <c r="X20" s="11"/>
      <c r="Y20" s="453"/>
      <c r="Z20" s="11">
        <v>2</v>
      </c>
      <c r="AA20" s="453">
        <v>174.3</v>
      </c>
      <c r="AB20" s="11"/>
      <c r="AC20" s="453"/>
      <c r="AD20" s="11"/>
      <c r="AE20" s="453"/>
      <c r="AF20" s="11"/>
      <c r="AG20" s="453"/>
      <c r="AH20" s="11"/>
      <c r="AI20" s="453"/>
      <c r="AJ20" s="11"/>
      <c r="AK20" s="453"/>
      <c r="AL20" s="353"/>
      <c r="AM20" s="353"/>
      <c r="AN20" s="11"/>
      <c r="AO20" s="453"/>
      <c r="AP20" s="89">
        <f t="shared" si="2"/>
        <v>11</v>
      </c>
      <c r="AQ20" s="1135">
        <f t="shared" si="3"/>
        <v>413.70000000000005</v>
      </c>
    </row>
    <row r="21" spans="1:43" s="92" customFormat="1" ht="24.75" customHeight="1">
      <c r="A21" s="275" t="s">
        <v>311</v>
      </c>
      <c r="B21" s="156"/>
      <c r="C21" s="400"/>
      <c r="D21" s="12"/>
      <c r="E21" s="400"/>
      <c r="F21" s="156"/>
      <c r="G21" s="400"/>
      <c r="H21" s="15"/>
      <c r="I21" s="1183"/>
      <c r="J21" s="15"/>
      <c r="K21" s="12"/>
      <c r="L21" s="12"/>
      <c r="M21" s="458"/>
      <c r="N21" s="12"/>
      <c r="O21" s="458"/>
      <c r="P21" s="12"/>
      <c r="Q21" s="458"/>
      <c r="R21" s="12"/>
      <c r="S21" s="458"/>
      <c r="T21" s="12"/>
      <c r="U21" s="458"/>
      <c r="V21" s="12"/>
      <c r="W21" s="458"/>
      <c r="X21" s="11"/>
      <c r="Y21" s="453"/>
      <c r="Z21" s="11">
        <v>3</v>
      </c>
      <c r="AA21" s="453">
        <v>248.9</v>
      </c>
      <c r="AB21" s="11"/>
      <c r="AC21" s="453"/>
      <c r="AD21" s="11"/>
      <c r="AE21" s="453"/>
      <c r="AF21" s="11"/>
      <c r="AG21" s="453"/>
      <c r="AH21" s="11"/>
      <c r="AI21" s="453"/>
      <c r="AJ21" s="11"/>
      <c r="AK21" s="453"/>
      <c r="AL21" s="353"/>
      <c r="AM21" s="353"/>
      <c r="AN21" s="11"/>
      <c r="AO21" s="453"/>
      <c r="AP21" s="89">
        <f t="shared" si="2"/>
        <v>3</v>
      </c>
      <c r="AQ21" s="1135">
        <f t="shared" si="3"/>
        <v>248.9</v>
      </c>
    </row>
    <row r="22" spans="1:43" s="92" customFormat="1" ht="24.75" customHeight="1">
      <c r="A22" s="275" t="s">
        <v>312</v>
      </c>
      <c r="B22" s="156"/>
      <c r="C22" s="400"/>
      <c r="D22" s="12"/>
      <c r="E22" s="400"/>
      <c r="F22" s="156"/>
      <c r="G22" s="400"/>
      <c r="H22" s="15"/>
      <c r="I22" s="1183"/>
      <c r="J22" s="15"/>
      <c r="K22" s="12"/>
      <c r="L22" s="12"/>
      <c r="M22" s="458"/>
      <c r="N22" s="12"/>
      <c r="O22" s="458"/>
      <c r="P22" s="12"/>
      <c r="Q22" s="458"/>
      <c r="R22" s="12"/>
      <c r="S22" s="458"/>
      <c r="T22" s="12"/>
      <c r="U22" s="458"/>
      <c r="V22" s="12"/>
      <c r="W22" s="458"/>
      <c r="X22" s="11"/>
      <c r="Y22" s="453"/>
      <c r="Z22" s="11">
        <v>2</v>
      </c>
      <c r="AA22" s="453">
        <v>52.9</v>
      </c>
      <c r="AB22" s="11"/>
      <c r="AC22" s="453"/>
      <c r="AD22" s="11"/>
      <c r="AE22" s="453"/>
      <c r="AF22" s="11"/>
      <c r="AG22" s="453"/>
      <c r="AH22" s="11"/>
      <c r="AI22" s="453"/>
      <c r="AJ22" s="11"/>
      <c r="AK22" s="453"/>
      <c r="AL22" s="353"/>
      <c r="AM22" s="353"/>
      <c r="AN22" s="11"/>
      <c r="AO22" s="453"/>
      <c r="AP22" s="89">
        <f t="shared" si="2"/>
        <v>2</v>
      </c>
      <c r="AQ22" s="1135">
        <f t="shared" si="3"/>
        <v>52.9</v>
      </c>
    </row>
    <row r="23" spans="1:43" s="92" customFormat="1" ht="24.75" customHeight="1">
      <c r="A23" s="704" t="s">
        <v>577</v>
      </c>
      <c r="B23" s="156"/>
      <c r="C23" s="400"/>
      <c r="D23" s="12"/>
      <c r="E23" s="400"/>
      <c r="F23" s="156"/>
      <c r="G23" s="400"/>
      <c r="H23" s="15"/>
      <c r="I23" s="1183"/>
      <c r="J23" s="15"/>
      <c r="K23" s="12"/>
      <c r="L23" s="12"/>
      <c r="M23" s="458"/>
      <c r="N23" s="12"/>
      <c r="O23" s="458"/>
      <c r="P23" s="12"/>
      <c r="Q23" s="458"/>
      <c r="R23" s="12"/>
      <c r="S23" s="458"/>
      <c r="T23" s="12"/>
      <c r="U23" s="458"/>
      <c r="V23" s="12"/>
      <c r="W23" s="458"/>
      <c r="X23" s="11"/>
      <c r="Y23" s="453"/>
      <c r="Z23" s="11">
        <v>1</v>
      </c>
      <c r="AA23" s="453">
        <v>66.1</v>
      </c>
      <c r="AB23" s="11"/>
      <c r="AC23" s="453"/>
      <c r="AD23" s="11"/>
      <c r="AE23" s="453"/>
      <c r="AF23" s="11"/>
      <c r="AG23" s="453"/>
      <c r="AH23" s="11"/>
      <c r="AI23" s="453"/>
      <c r="AJ23" s="11"/>
      <c r="AK23" s="453"/>
      <c r="AL23" s="353"/>
      <c r="AM23" s="353"/>
      <c r="AN23" s="11"/>
      <c r="AO23" s="453"/>
      <c r="AP23" s="89">
        <f t="shared" si="2"/>
        <v>1</v>
      </c>
      <c r="AQ23" s="1135">
        <f t="shared" si="3"/>
        <v>66.1</v>
      </c>
    </row>
    <row r="24" spans="1:43" s="92" customFormat="1" ht="24.75" customHeight="1">
      <c r="A24" s="275" t="s">
        <v>305</v>
      </c>
      <c r="B24" s="156"/>
      <c r="C24" s="400"/>
      <c r="D24" s="12"/>
      <c r="E24" s="400"/>
      <c r="F24" s="156"/>
      <c r="G24" s="400"/>
      <c r="H24" s="15"/>
      <c r="I24" s="1183"/>
      <c r="J24" s="15"/>
      <c r="K24" s="12"/>
      <c r="L24" s="12"/>
      <c r="M24" s="458"/>
      <c r="N24" s="12"/>
      <c r="O24" s="458"/>
      <c r="P24" s="12"/>
      <c r="Q24" s="458"/>
      <c r="R24" s="12"/>
      <c r="S24" s="458"/>
      <c r="T24" s="12"/>
      <c r="U24" s="458"/>
      <c r="V24" s="12"/>
      <c r="W24" s="458"/>
      <c r="X24" s="11"/>
      <c r="Y24" s="453"/>
      <c r="Z24" s="11">
        <v>1</v>
      </c>
      <c r="AA24" s="453">
        <v>81.9</v>
      </c>
      <c r="AB24" s="11"/>
      <c r="AC24" s="453"/>
      <c r="AD24" s="11"/>
      <c r="AE24" s="453"/>
      <c r="AF24" s="11"/>
      <c r="AG24" s="453"/>
      <c r="AH24" s="11"/>
      <c r="AI24" s="453"/>
      <c r="AJ24" s="11"/>
      <c r="AK24" s="453"/>
      <c r="AL24" s="353"/>
      <c r="AM24" s="353"/>
      <c r="AN24" s="11"/>
      <c r="AO24" s="453"/>
      <c r="AP24" s="89">
        <f t="shared" si="2"/>
        <v>1</v>
      </c>
      <c r="AQ24" s="1135">
        <f t="shared" si="3"/>
        <v>81.9</v>
      </c>
    </row>
    <row r="25" spans="1:43" s="92" customFormat="1" ht="24.75" customHeight="1">
      <c r="A25" s="275" t="s">
        <v>306</v>
      </c>
      <c r="B25" s="156">
        <v>6</v>
      </c>
      <c r="C25" s="400">
        <v>625.2</v>
      </c>
      <c r="D25" s="12"/>
      <c r="E25" s="400"/>
      <c r="F25" s="156"/>
      <c r="G25" s="400"/>
      <c r="H25" s="15"/>
      <c r="I25" s="1183"/>
      <c r="J25" s="15"/>
      <c r="K25" s="12"/>
      <c r="L25" s="12"/>
      <c r="M25" s="458"/>
      <c r="N25" s="12"/>
      <c r="O25" s="458"/>
      <c r="P25" s="12"/>
      <c r="Q25" s="458"/>
      <c r="R25" s="12"/>
      <c r="S25" s="458"/>
      <c r="T25" s="12"/>
      <c r="U25" s="458"/>
      <c r="V25" s="12"/>
      <c r="W25" s="458"/>
      <c r="X25" s="11"/>
      <c r="Y25" s="453"/>
      <c r="Z25" s="11">
        <v>2</v>
      </c>
      <c r="AA25" s="453">
        <v>168.6</v>
      </c>
      <c r="AB25" s="11"/>
      <c r="AC25" s="453"/>
      <c r="AD25" s="11"/>
      <c r="AE25" s="453"/>
      <c r="AF25" s="11"/>
      <c r="AG25" s="453"/>
      <c r="AH25" s="11"/>
      <c r="AI25" s="453"/>
      <c r="AJ25" s="11"/>
      <c r="AK25" s="453"/>
      <c r="AL25" s="353"/>
      <c r="AM25" s="353"/>
      <c r="AN25" s="11"/>
      <c r="AO25" s="453"/>
      <c r="AP25" s="89">
        <f t="shared" si="2"/>
        <v>8</v>
      </c>
      <c r="AQ25" s="1135">
        <f t="shared" si="3"/>
        <v>793.8000000000001</v>
      </c>
    </row>
    <row r="26" spans="1:43" s="92" customFormat="1" ht="24.75" customHeight="1">
      <c r="A26" s="1131" t="s">
        <v>584</v>
      </c>
      <c r="B26" s="156"/>
      <c r="C26" s="400"/>
      <c r="D26" s="12"/>
      <c r="E26" s="400"/>
      <c r="F26" s="156"/>
      <c r="G26" s="400"/>
      <c r="H26" s="15"/>
      <c r="I26" s="1183"/>
      <c r="J26" s="15"/>
      <c r="K26" s="12"/>
      <c r="L26" s="12"/>
      <c r="M26" s="458"/>
      <c r="N26" s="12"/>
      <c r="O26" s="458"/>
      <c r="P26" s="12"/>
      <c r="Q26" s="458"/>
      <c r="R26" s="12"/>
      <c r="S26" s="458"/>
      <c r="T26" s="12"/>
      <c r="U26" s="458"/>
      <c r="V26" s="12"/>
      <c r="W26" s="458"/>
      <c r="X26" s="11"/>
      <c r="Y26" s="453"/>
      <c r="Z26" s="11">
        <v>1</v>
      </c>
      <c r="AA26" s="453">
        <v>48.9</v>
      </c>
      <c r="AB26" s="11"/>
      <c r="AC26" s="453"/>
      <c r="AD26" s="11"/>
      <c r="AE26" s="453"/>
      <c r="AF26" s="11"/>
      <c r="AG26" s="453"/>
      <c r="AH26" s="11"/>
      <c r="AI26" s="453"/>
      <c r="AJ26" s="11"/>
      <c r="AK26" s="453"/>
      <c r="AL26" s="353"/>
      <c r="AM26" s="353"/>
      <c r="AN26" s="11"/>
      <c r="AO26" s="453"/>
      <c r="AP26" s="89">
        <f t="shared" si="2"/>
        <v>1</v>
      </c>
      <c r="AQ26" s="1135">
        <f t="shared" si="3"/>
        <v>48.9</v>
      </c>
    </row>
    <row r="27" spans="1:43" s="92" customFormat="1" ht="24.75" customHeight="1">
      <c r="A27" s="1131" t="s">
        <v>578</v>
      </c>
      <c r="B27" s="156"/>
      <c r="C27" s="400"/>
      <c r="D27" s="12"/>
      <c r="E27" s="400"/>
      <c r="F27" s="156"/>
      <c r="G27" s="400"/>
      <c r="H27" s="15"/>
      <c r="I27" s="1183"/>
      <c r="J27" s="15"/>
      <c r="K27" s="12"/>
      <c r="L27" s="12"/>
      <c r="M27" s="458"/>
      <c r="N27" s="12"/>
      <c r="O27" s="458"/>
      <c r="P27" s="12"/>
      <c r="Q27" s="458"/>
      <c r="R27" s="12"/>
      <c r="S27" s="458"/>
      <c r="T27" s="12"/>
      <c r="U27" s="458"/>
      <c r="V27" s="12"/>
      <c r="W27" s="458"/>
      <c r="X27" s="11"/>
      <c r="Y27" s="453"/>
      <c r="Z27" s="11">
        <v>1</v>
      </c>
      <c r="AA27" s="453">
        <v>51.9</v>
      </c>
      <c r="AB27" s="11"/>
      <c r="AC27" s="453"/>
      <c r="AD27" s="11"/>
      <c r="AE27" s="453"/>
      <c r="AF27" s="11"/>
      <c r="AG27" s="453"/>
      <c r="AH27" s="11"/>
      <c r="AI27" s="453"/>
      <c r="AJ27" s="11"/>
      <c r="AK27" s="453"/>
      <c r="AL27" s="353"/>
      <c r="AM27" s="353"/>
      <c r="AN27" s="11"/>
      <c r="AO27" s="453"/>
      <c r="AP27" s="89">
        <f t="shared" si="2"/>
        <v>1</v>
      </c>
      <c r="AQ27" s="1135">
        <f t="shared" si="3"/>
        <v>51.9</v>
      </c>
    </row>
    <row r="28" spans="1:43" s="92" customFormat="1" ht="24.75" customHeight="1">
      <c r="A28" s="1131" t="s">
        <v>579</v>
      </c>
      <c r="B28" s="156"/>
      <c r="C28" s="400"/>
      <c r="D28" s="12"/>
      <c r="E28" s="400"/>
      <c r="F28" s="156"/>
      <c r="G28" s="400"/>
      <c r="H28" s="15"/>
      <c r="I28" s="1183"/>
      <c r="J28" s="15"/>
      <c r="K28" s="12"/>
      <c r="L28" s="12"/>
      <c r="M28" s="458"/>
      <c r="N28" s="12"/>
      <c r="O28" s="458"/>
      <c r="P28" s="12"/>
      <c r="Q28" s="458"/>
      <c r="R28" s="12"/>
      <c r="S28" s="458"/>
      <c r="T28" s="12"/>
      <c r="U28" s="458"/>
      <c r="V28" s="12"/>
      <c r="W28" s="458"/>
      <c r="X28" s="11"/>
      <c r="Y28" s="453"/>
      <c r="Z28" s="11">
        <v>1</v>
      </c>
      <c r="AA28" s="453">
        <v>180.8</v>
      </c>
      <c r="AB28" s="11"/>
      <c r="AC28" s="453"/>
      <c r="AD28" s="11"/>
      <c r="AE28" s="453"/>
      <c r="AF28" s="11"/>
      <c r="AG28" s="453"/>
      <c r="AH28" s="11"/>
      <c r="AI28" s="453"/>
      <c r="AJ28" s="11"/>
      <c r="AK28" s="453"/>
      <c r="AL28" s="353"/>
      <c r="AM28" s="353"/>
      <c r="AN28" s="11"/>
      <c r="AO28" s="453"/>
      <c r="AP28" s="89">
        <f t="shared" si="2"/>
        <v>1</v>
      </c>
      <c r="AQ28" s="1135">
        <f t="shared" si="3"/>
        <v>180.8</v>
      </c>
    </row>
    <row r="29" spans="1:43" s="92" customFormat="1" ht="24.75" customHeight="1">
      <c r="A29" s="1132" t="s">
        <v>574</v>
      </c>
      <c r="B29" s="240"/>
      <c r="C29" s="753"/>
      <c r="D29" s="738"/>
      <c r="E29" s="753"/>
      <c r="F29" s="240"/>
      <c r="G29" s="753"/>
      <c r="H29" s="18"/>
      <c r="I29" s="1184"/>
      <c r="J29" s="18"/>
      <c r="K29" s="738"/>
      <c r="L29" s="738"/>
      <c r="M29" s="739"/>
      <c r="N29" s="738"/>
      <c r="O29" s="739"/>
      <c r="P29" s="738"/>
      <c r="Q29" s="739"/>
      <c r="R29" s="738"/>
      <c r="S29" s="739"/>
      <c r="T29" s="738"/>
      <c r="U29" s="739"/>
      <c r="V29" s="738"/>
      <c r="W29" s="739"/>
      <c r="X29" s="17"/>
      <c r="Y29" s="454"/>
      <c r="Z29" s="17">
        <v>1</v>
      </c>
      <c r="AA29" s="454">
        <v>85.8</v>
      </c>
      <c r="AB29" s="17"/>
      <c r="AC29" s="454"/>
      <c r="AD29" s="17"/>
      <c r="AE29" s="454"/>
      <c r="AF29" s="17"/>
      <c r="AG29" s="454"/>
      <c r="AH29" s="17"/>
      <c r="AI29" s="454"/>
      <c r="AJ29" s="17"/>
      <c r="AK29" s="454"/>
      <c r="AL29" s="399"/>
      <c r="AM29" s="399"/>
      <c r="AN29" s="17"/>
      <c r="AO29" s="454"/>
      <c r="AP29" s="163">
        <f>SUM(B29,D29,F29,H29,J29,L29,N29,P29,R29,T29,V29,X29,Z29,AB29,AD29,AF29,AH29,AJ29,AN29)</f>
        <v>1</v>
      </c>
      <c r="AQ29" s="973">
        <f>SUM(C29,E29,G29,I29,K29,M29,O29,Q29,S29,U29,W29,Y29,AA29,AC29,AE29,AG29,AI29,AK29,AO29)</f>
        <v>85.8</v>
      </c>
    </row>
    <row r="30" spans="1:43" s="92" customFormat="1" ht="24.75" customHeight="1">
      <c r="A30" s="109" t="s">
        <v>35</v>
      </c>
      <c r="B30" s="156"/>
      <c r="C30" s="400"/>
      <c r="D30" s="12"/>
      <c r="E30" s="400"/>
      <c r="F30" s="156"/>
      <c r="G30" s="400"/>
      <c r="H30" s="15"/>
      <c r="I30" s="1183"/>
      <c r="J30" s="15"/>
      <c r="K30" s="12"/>
      <c r="L30" s="12"/>
      <c r="M30" s="458"/>
      <c r="N30" s="12"/>
      <c r="O30" s="458"/>
      <c r="P30" s="12"/>
      <c r="Q30" s="458"/>
      <c r="R30" s="12"/>
      <c r="S30" s="458"/>
      <c r="T30" s="12"/>
      <c r="U30" s="458"/>
      <c r="V30" s="12"/>
      <c r="W30" s="458"/>
      <c r="X30" s="11"/>
      <c r="Y30" s="453"/>
      <c r="Z30" s="11"/>
      <c r="AA30" s="453"/>
      <c r="AB30" s="11"/>
      <c r="AC30" s="453"/>
      <c r="AD30" s="11"/>
      <c r="AE30" s="453"/>
      <c r="AF30" s="11"/>
      <c r="AG30" s="453"/>
      <c r="AH30" s="11"/>
      <c r="AI30" s="453"/>
      <c r="AJ30" s="11"/>
      <c r="AK30" s="453"/>
      <c r="AL30" s="353"/>
      <c r="AM30" s="353"/>
      <c r="AN30" s="11"/>
      <c r="AO30" s="453"/>
      <c r="AP30" s="89"/>
      <c r="AQ30" s="972"/>
    </row>
    <row r="31" spans="1:43" s="92" customFormat="1" ht="24.75" customHeight="1">
      <c r="A31" s="704" t="s">
        <v>215</v>
      </c>
      <c r="B31" s="156"/>
      <c r="C31" s="400"/>
      <c r="D31" s="12"/>
      <c r="E31" s="400"/>
      <c r="F31" s="156"/>
      <c r="G31" s="400"/>
      <c r="H31" s="15"/>
      <c r="I31" s="1183"/>
      <c r="J31" s="15"/>
      <c r="K31" s="12"/>
      <c r="L31" s="12"/>
      <c r="M31" s="458"/>
      <c r="N31" s="12"/>
      <c r="O31" s="458"/>
      <c r="P31" s="12"/>
      <c r="Q31" s="458"/>
      <c r="R31" s="12"/>
      <c r="S31" s="458"/>
      <c r="T31" s="12"/>
      <c r="U31" s="458"/>
      <c r="V31" s="12"/>
      <c r="W31" s="458"/>
      <c r="X31" s="11"/>
      <c r="Y31" s="453"/>
      <c r="Z31" s="11">
        <v>1</v>
      </c>
      <c r="AA31" s="453">
        <v>208.5</v>
      </c>
      <c r="AB31" s="11"/>
      <c r="AC31" s="453"/>
      <c r="AD31" s="11"/>
      <c r="AE31" s="453"/>
      <c r="AF31" s="11"/>
      <c r="AG31" s="453"/>
      <c r="AH31" s="11"/>
      <c r="AI31" s="453"/>
      <c r="AJ31" s="11"/>
      <c r="AK31" s="453"/>
      <c r="AL31" s="353"/>
      <c r="AM31" s="353"/>
      <c r="AN31" s="11"/>
      <c r="AO31" s="453"/>
      <c r="AP31" s="89">
        <f>SUM(B31,D31,F31,H31,J31,L31,N31,P31,R31,T31,V31,X31,Z31,AB31,AD31,AF31,AH31,AJ31,AN31,AL31)</f>
        <v>1</v>
      </c>
      <c r="AQ31" s="1135">
        <f>SUM(C31,E31,G31,I31,K31,M31,O31,Q31,S31,U31,W31,Y31,AA31,AC31,AE31,AG31,AI31,AK31,AO31,AM31)</f>
        <v>208.5</v>
      </c>
    </row>
    <row r="32" spans="1:43" s="92" customFormat="1" ht="24.75" customHeight="1">
      <c r="A32" s="704" t="s">
        <v>155</v>
      </c>
      <c r="B32" s="156"/>
      <c r="C32" s="400"/>
      <c r="D32" s="12"/>
      <c r="E32" s="400"/>
      <c r="F32" s="156"/>
      <c r="G32" s="400"/>
      <c r="H32" s="15"/>
      <c r="I32" s="1183"/>
      <c r="J32" s="15"/>
      <c r="K32" s="12"/>
      <c r="L32" s="12"/>
      <c r="M32" s="458"/>
      <c r="N32" s="12"/>
      <c r="O32" s="458"/>
      <c r="P32" s="12"/>
      <c r="Q32" s="458"/>
      <c r="R32" s="12"/>
      <c r="S32" s="458"/>
      <c r="T32" s="12"/>
      <c r="U32" s="458"/>
      <c r="V32" s="12"/>
      <c r="W32" s="458"/>
      <c r="X32" s="11"/>
      <c r="Y32" s="453"/>
      <c r="Z32" s="11">
        <v>1</v>
      </c>
      <c r="AA32" s="453">
        <v>175.6</v>
      </c>
      <c r="AB32" s="11"/>
      <c r="AC32" s="453"/>
      <c r="AD32" s="11"/>
      <c r="AE32" s="453"/>
      <c r="AF32" s="11"/>
      <c r="AG32" s="453"/>
      <c r="AH32" s="11"/>
      <c r="AI32" s="453"/>
      <c r="AJ32" s="11"/>
      <c r="AK32" s="453"/>
      <c r="AL32" s="353"/>
      <c r="AM32" s="353"/>
      <c r="AN32" s="11"/>
      <c r="AO32" s="453"/>
      <c r="AP32" s="89">
        <f aca="true" t="shared" si="4" ref="AP32:AP43">SUM(B32,D32,F32,H32,J32,L32,N32,P32,R32,T32,V32,X32,Z32,AB32,AD32,AF32,AH32,AJ32,AN32,AL32)</f>
        <v>1</v>
      </c>
      <c r="AQ32" s="1135">
        <f aca="true" t="shared" si="5" ref="AQ32:AQ43">SUM(C32,E32,G32,I32,K32,M32,O32,Q32,S32,U32,W32,Y32,AA32,AC32,AE32,AG32,AI32,AK32,AO32,AM32)</f>
        <v>175.6</v>
      </c>
    </row>
    <row r="33" spans="1:43" s="92" customFormat="1" ht="24.75" customHeight="1">
      <c r="A33" s="704" t="s">
        <v>595</v>
      </c>
      <c r="B33" s="156"/>
      <c r="C33" s="400"/>
      <c r="D33" s="12"/>
      <c r="E33" s="400"/>
      <c r="F33" s="156"/>
      <c r="G33" s="400"/>
      <c r="H33" s="15"/>
      <c r="I33" s="1183"/>
      <c r="J33" s="15"/>
      <c r="K33" s="12"/>
      <c r="L33" s="12"/>
      <c r="M33" s="458"/>
      <c r="N33" s="12"/>
      <c r="O33" s="458"/>
      <c r="P33" s="12"/>
      <c r="Q33" s="458"/>
      <c r="R33" s="12"/>
      <c r="S33" s="458"/>
      <c r="T33" s="12"/>
      <c r="U33" s="458"/>
      <c r="V33" s="12"/>
      <c r="W33" s="458"/>
      <c r="X33" s="11"/>
      <c r="Y33" s="453"/>
      <c r="Z33" s="11">
        <v>1</v>
      </c>
      <c r="AA33" s="453">
        <v>236.1</v>
      </c>
      <c r="AB33" s="11"/>
      <c r="AC33" s="453"/>
      <c r="AD33" s="11"/>
      <c r="AE33" s="453"/>
      <c r="AF33" s="11"/>
      <c r="AG33" s="453"/>
      <c r="AH33" s="11"/>
      <c r="AI33" s="453"/>
      <c r="AJ33" s="11"/>
      <c r="AK33" s="453"/>
      <c r="AL33" s="353"/>
      <c r="AM33" s="353"/>
      <c r="AN33" s="11"/>
      <c r="AO33" s="453"/>
      <c r="AP33" s="89">
        <f t="shared" si="4"/>
        <v>1</v>
      </c>
      <c r="AQ33" s="1135">
        <f t="shared" si="5"/>
        <v>236.1</v>
      </c>
    </row>
    <row r="34" spans="1:43" s="92" customFormat="1" ht="24.75" customHeight="1">
      <c r="A34" s="704" t="s">
        <v>375</v>
      </c>
      <c r="B34" s="156"/>
      <c r="C34" s="400"/>
      <c r="D34" s="12"/>
      <c r="E34" s="400"/>
      <c r="F34" s="156"/>
      <c r="G34" s="400"/>
      <c r="H34" s="15"/>
      <c r="I34" s="1183"/>
      <c r="J34" s="15"/>
      <c r="K34" s="12"/>
      <c r="L34" s="12"/>
      <c r="M34" s="458"/>
      <c r="N34" s="12"/>
      <c r="O34" s="458"/>
      <c r="P34" s="12"/>
      <c r="Q34" s="458"/>
      <c r="R34" s="12"/>
      <c r="S34" s="458"/>
      <c r="T34" s="12"/>
      <c r="U34" s="458"/>
      <c r="V34" s="12"/>
      <c r="W34" s="458"/>
      <c r="X34" s="11"/>
      <c r="Y34" s="453"/>
      <c r="Z34" s="11">
        <v>1</v>
      </c>
      <c r="AA34" s="453">
        <v>196.3</v>
      </c>
      <c r="AB34" s="11"/>
      <c r="AC34" s="453"/>
      <c r="AD34" s="11"/>
      <c r="AE34" s="453"/>
      <c r="AF34" s="11"/>
      <c r="AG34" s="453"/>
      <c r="AH34" s="11"/>
      <c r="AI34" s="453"/>
      <c r="AJ34" s="11"/>
      <c r="AK34" s="453"/>
      <c r="AL34" s="353"/>
      <c r="AM34" s="353"/>
      <c r="AN34" s="11"/>
      <c r="AO34" s="453"/>
      <c r="AP34" s="89">
        <f t="shared" si="4"/>
        <v>1</v>
      </c>
      <c r="AQ34" s="1135">
        <f t="shared" si="5"/>
        <v>196.3</v>
      </c>
    </row>
    <row r="35" spans="1:43" s="92" customFormat="1" ht="24.75" customHeight="1">
      <c r="A35" s="704" t="s">
        <v>594</v>
      </c>
      <c r="B35" s="156"/>
      <c r="C35" s="400"/>
      <c r="D35" s="12"/>
      <c r="E35" s="400"/>
      <c r="F35" s="156"/>
      <c r="G35" s="400"/>
      <c r="H35" s="15"/>
      <c r="I35" s="1183"/>
      <c r="J35" s="15"/>
      <c r="K35" s="12"/>
      <c r="L35" s="12"/>
      <c r="M35" s="458"/>
      <c r="N35" s="12"/>
      <c r="O35" s="458"/>
      <c r="P35" s="12"/>
      <c r="Q35" s="458"/>
      <c r="R35" s="12"/>
      <c r="S35" s="458"/>
      <c r="T35" s="12"/>
      <c r="U35" s="458"/>
      <c r="V35" s="12"/>
      <c r="W35" s="458"/>
      <c r="X35" s="11"/>
      <c r="Y35" s="453"/>
      <c r="Z35" s="11">
        <v>1</v>
      </c>
      <c r="AA35" s="453">
        <v>156.2</v>
      </c>
      <c r="AB35" s="11"/>
      <c r="AC35" s="453"/>
      <c r="AD35" s="11"/>
      <c r="AE35" s="453"/>
      <c r="AF35" s="11"/>
      <c r="AG35" s="453"/>
      <c r="AH35" s="11"/>
      <c r="AI35" s="453"/>
      <c r="AJ35" s="11"/>
      <c r="AK35" s="453"/>
      <c r="AL35" s="353"/>
      <c r="AM35" s="353"/>
      <c r="AN35" s="11"/>
      <c r="AO35" s="453"/>
      <c r="AP35" s="89">
        <f t="shared" si="4"/>
        <v>1</v>
      </c>
      <c r="AQ35" s="1135">
        <f t="shared" si="5"/>
        <v>156.2</v>
      </c>
    </row>
    <row r="36" spans="1:43" s="92" customFormat="1" ht="24.75" customHeight="1">
      <c r="A36" s="981" t="s">
        <v>593</v>
      </c>
      <c r="B36" s="240"/>
      <c r="C36" s="753"/>
      <c r="D36" s="738"/>
      <c r="E36" s="753"/>
      <c r="F36" s="240"/>
      <c r="G36" s="753"/>
      <c r="H36" s="18"/>
      <c r="I36" s="1184"/>
      <c r="J36" s="18"/>
      <c r="K36" s="738"/>
      <c r="L36" s="738"/>
      <c r="M36" s="739"/>
      <c r="N36" s="738"/>
      <c r="O36" s="739"/>
      <c r="P36" s="738"/>
      <c r="Q36" s="739"/>
      <c r="R36" s="738"/>
      <c r="S36" s="739"/>
      <c r="T36" s="738"/>
      <c r="U36" s="739"/>
      <c r="V36" s="738"/>
      <c r="W36" s="739"/>
      <c r="X36" s="17"/>
      <c r="Y36" s="454"/>
      <c r="Z36" s="17">
        <v>1</v>
      </c>
      <c r="AA36" s="454">
        <v>167</v>
      </c>
      <c r="AB36" s="17"/>
      <c r="AC36" s="454"/>
      <c r="AD36" s="17"/>
      <c r="AE36" s="454"/>
      <c r="AF36" s="17"/>
      <c r="AG36" s="454"/>
      <c r="AH36" s="17"/>
      <c r="AI36" s="454"/>
      <c r="AJ36" s="17"/>
      <c r="AK36" s="454"/>
      <c r="AL36" s="399"/>
      <c r="AM36" s="399"/>
      <c r="AN36" s="17"/>
      <c r="AO36" s="454"/>
      <c r="AP36" s="163">
        <f t="shared" si="4"/>
        <v>1</v>
      </c>
      <c r="AQ36" s="1136">
        <f t="shared" si="5"/>
        <v>167</v>
      </c>
    </row>
    <row r="37" spans="1:43" s="342" customFormat="1" ht="23.25" customHeight="1">
      <c r="A37" s="109" t="s">
        <v>69</v>
      </c>
      <c r="B37" s="156"/>
      <c r="C37" s="353"/>
      <c r="D37" s="11"/>
      <c r="E37" s="353"/>
      <c r="F37" s="11"/>
      <c r="G37" s="353"/>
      <c r="H37" s="11"/>
      <c r="I37" s="453"/>
      <c r="J37" s="11"/>
      <c r="K37" s="11"/>
      <c r="L37" s="11"/>
      <c r="M37" s="453"/>
      <c r="N37" s="11"/>
      <c r="O37" s="453"/>
      <c r="P37" s="11"/>
      <c r="Q37" s="453"/>
      <c r="R37" s="11"/>
      <c r="S37" s="453"/>
      <c r="T37" s="11"/>
      <c r="U37" s="453"/>
      <c r="V37" s="11"/>
      <c r="W37" s="453"/>
      <c r="X37" s="11"/>
      <c r="Y37" s="453"/>
      <c r="Z37" s="11"/>
      <c r="AA37" s="453"/>
      <c r="AB37" s="11"/>
      <c r="AC37" s="453"/>
      <c r="AD37" s="11"/>
      <c r="AE37" s="453"/>
      <c r="AF37" s="11"/>
      <c r="AG37" s="453"/>
      <c r="AH37" s="11"/>
      <c r="AI37" s="453"/>
      <c r="AJ37" s="11"/>
      <c r="AK37" s="453"/>
      <c r="AL37" s="353"/>
      <c r="AM37" s="353"/>
      <c r="AN37" s="11"/>
      <c r="AO37" s="453"/>
      <c r="AP37" s="89"/>
      <c r="AQ37" s="1135"/>
    </row>
    <row r="38" spans="1:43" s="92" customFormat="1" ht="24.75" customHeight="1">
      <c r="A38" s="704" t="s">
        <v>587</v>
      </c>
      <c r="B38" s="156"/>
      <c r="C38" s="400"/>
      <c r="D38" s="12"/>
      <c r="E38" s="400">
        <v>505.3</v>
      </c>
      <c r="F38" s="156"/>
      <c r="G38" s="400"/>
      <c r="H38" s="15"/>
      <c r="I38" s="1183"/>
      <c r="J38" s="15"/>
      <c r="K38" s="12"/>
      <c r="L38" s="12"/>
      <c r="M38" s="458"/>
      <c r="N38" s="12"/>
      <c r="O38" s="458"/>
      <c r="P38" s="12"/>
      <c r="Q38" s="458"/>
      <c r="R38" s="12"/>
      <c r="S38" s="458"/>
      <c r="T38" s="12"/>
      <c r="U38" s="458"/>
      <c r="V38" s="12"/>
      <c r="W38" s="458"/>
      <c r="X38" s="11"/>
      <c r="Y38" s="453"/>
      <c r="Z38" s="11"/>
      <c r="AA38" s="453"/>
      <c r="AB38" s="11"/>
      <c r="AC38" s="453"/>
      <c r="AD38" s="11"/>
      <c r="AE38" s="453">
        <v>357.2</v>
      </c>
      <c r="AF38" s="11"/>
      <c r="AG38" s="453"/>
      <c r="AH38" s="11"/>
      <c r="AI38" s="453"/>
      <c r="AJ38" s="11"/>
      <c r="AK38" s="453">
        <v>568.2</v>
      </c>
      <c r="AL38" s="353"/>
      <c r="AM38" s="353"/>
      <c r="AN38" s="11"/>
      <c r="AO38" s="453"/>
      <c r="AP38" s="89">
        <f t="shared" si="4"/>
        <v>0</v>
      </c>
      <c r="AQ38" s="1135">
        <f t="shared" si="5"/>
        <v>1430.7</v>
      </c>
    </row>
    <row r="39" spans="1:43" s="92" customFormat="1" ht="24.75" customHeight="1">
      <c r="A39" s="704" t="s">
        <v>597</v>
      </c>
      <c r="B39" s="156"/>
      <c r="C39" s="400"/>
      <c r="D39" s="12"/>
      <c r="E39" s="400"/>
      <c r="F39" s="156"/>
      <c r="G39" s="400"/>
      <c r="H39" s="15"/>
      <c r="I39" s="1183"/>
      <c r="J39" s="15"/>
      <c r="K39" s="12"/>
      <c r="L39" s="12"/>
      <c r="M39" s="458"/>
      <c r="N39" s="12"/>
      <c r="O39" s="458"/>
      <c r="P39" s="12"/>
      <c r="Q39" s="458"/>
      <c r="R39" s="12"/>
      <c r="S39" s="458"/>
      <c r="T39" s="12"/>
      <c r="U39" s="458"/>
      <c r="V39" s="12"/>
      <c r="W39" s="458"/>
      <c r="X39" s="11"/>
      <c r="Y39" s="453"/>
      <c r="Z39" s="11">
        <v>2</v>
      </c>
      <c r="AA39" s="453">
        <v>498.2</v>
      </c>
      <c r="AB39" s="11"/>
      <c r="AC39" s="453"/>
      <c r="AD39" s="11"/>
      <c r="AE39" s="453"/>
      <c r="AF39" s="11"/>
      <c r="AG39" s="453"/>
      <c r="AH39" s="11"/>
      <c r="AI39" s="453"/>
      <c r="AJ39" s="11"/>
      <c r="AK39" s="453"/>
      <c r="AL39" s="353"/>
      <c r="AM39" s="353"/>
      <c r="AN39" s="11"/>
      <c r="AO39" s="453"/>
      <c r="AP39" s="89">
        <f t="shared" si="4"/>
        <v>2</v>
      </c>
      <c r="AQ39" s="1135">
        <f t="shared" si="5"/>
        <v>498.2</v>
      </c>
    </row>
    <row r="40" spans="1:43" s="92" customFormat="1" ht="24.75" customHeight="1">
      <c r="A40" s="704" t="s">
        <v>586</v>
      </c>
      <c r="B40" s="156"/>
      <c r="C40" s="400"/>
      <c r="D40" s="12"/>
      <c r="E40" s="400"/>
      <c r="F40" s="156"/>
      <c r="G40" s="400"/>
      <c r="H40" s="15"/>
      <c r="I40" s="1183"/>
      <c r="J40" s="15"/>
      <c r="K40" s="12"/>
      <c r="L40" s="12"/>
      <c r="M40" s="458"/>
      <c r="N40" s="12"/>
      <c r="O40" s="458"/>
      <c r="P40" s="12"/>
      <c r="Q40" s="458"/>
      <c r="R40" s="12"/>
      <c r="S40" s="458"/>
      <c r="T40" s="12"/>
      <c r="U40" s="458"/>
      <c r="V40" s="12"/>
      <c r="W40" s="458"/>
      <c r="X40" s="11"/>
      <c r="Y40" s="453"/>
      <c r="Z40" s="11">
        <v>2</v>
      </c>
      <c r="AA40" s="453">
        <v>124.3</v>
      </c>
      <c r="AB40" s="11"/>
      <c r="AC40" s="453"/>
      <c r="AD40" s="11"/>
      <c r="AE40" s="453"/>
      <c r="AF40" s="11"/>
      <c r="AG40" s="453"/>
      <c r="AH40" s="11"/>
      <c r="AI40" s="453"/>
      <c r="AJ40" s="11"/>
      <c r="AK40" s="453"/>
      <c r="AL40" s="353"/>
      <c r="AM40" s="353"/>
      <c r="AN40" s="11"/>
      <c r="AO40" s="453"/>
      <c r="AP40" s="89">
        <f t="shared" si="4"/>
        <v>2</v>
      </c>
      <c r="AQ40" s="1135">
        <f t="shared" si="5"/>
        <v>124.3</v>
      </c>
    </row>
    <row r="41" spans="1:43" s="92" customFormat="1" ht="24.75" customHeight="1">
      <c r="A41" s="704" t="s">
        <v>585</v>
      </c>
      <c r="B41" s="156"/>
      <c r="C41" s="400"/>
      <c r="D41" s="12"/>
      <c r="E41" s="400"/>
      <c r="F41" s="156"/>
      <c r="G41" s="400"/>
      <c r="H41" s="15"/>
      <c r="I41" s="1183"/>
      <c r="J41" s="15"/>
      <c r="K41" s="12"/>
      <c r="L41" s="12"/>
      <c r="M41" s="458"/>
      <c r="N41" s="12"/>
      <c r="O41" s="458"/>
      <c r="P41" s="12"/>
      <c r="Q41" s="458"/>
      <c r="R41" s="12"/>
      <c r="S41" s="458"/>
      <c r="T41" s="12"/>
      <c r="U41" s="458"/>
      <c r="V41" s="12"/>
      <c r="W41" s="458"/>
      <c r="X41" s="11"/>
      <c r="Y41" s="453"/>
      <c r="Z41" s="11">
        <v>2</v>
      </c>
      <c r="AA41" s="453">
        <v>377.2</v>
      </c>
      <c r="AB41" s="11"/>
      <c r="AC41" s="453"/>
      <c r="AD41" s="11"/>
      <c r="AE41" s="453"/>
      <c r="AF41" s="11"/>
      <c r="AG41" s="453"/>
      <c r="AH41" s="11"/>
      <c r="AI41" s="453"/>
      <c r="AJ41" s="11"/>
      <c r="AK41" s="453"/>
      <c r="AL41" s="353"/>
      <c r="AM41" s="353"/>
      <c r="AN41" s="11"/>
      <c r="AO41" s="453"/>
      <c r="AP41" s="89">
        <f t="shared" si="4"/>
        <v>2</v>
      </c>
      <c r="AQ41" s="1135">
        <f t="shared" si="5"/>
        <v>377.2</v>
      </c>
    </row>
    <row r="42" spans="1:43" s="92" customFormat="1" ht="24.75" customHeight="1">
      <c r="A42" s="704" t="s">
        <v>581</v>
      </c>
      <c r="B42" s="156">
        <v>6</v>
      </c>
      <c r="C42" s="400">
        <v>24.4</v>
      </c>
      <c r="D42" s="12"/>
      <c r="E42" s="400"/>
      <c r="F42" s="156"/>
      <c r="G42" s="400"/>
      <c r="H42" s="15"/>
      <c r="I42" s="1183"/>
      <c r="J42" s="15"/>
      <c r="K42" s="12"/>
      <c r="L42" s="12"/>
      <c r="M42" s="458"/>
      <c r="N42" s="12"/>
      <c r="O42" s="458"/>
      <c r="P42" s="12"/>
      <c r="Q42" s="458"/>
      <c r="R42" s="12"/>
      <c r="S42" s="458"/>
      <c r="T42" s="12"/>
      <c r="U42" s="458"/>
      <c r="V42" s="12"/>
      <c r="W42" s="458"/>
      <c r="X42" s="11"/>
      <c r="Y42" s="453"/>
      <c r="Z42" s="11">
        <v>3</v>
      </c>
      <c r="AA42" s="453">
        <v>484.3</v>
      </c>
      <c r="AB42" s="11"/>
      <c r="AC42" s="453"/>
      <c r="AD42" s="11"/>
      <c r="AE42" s="453"/>
      <c r="AF42" s="11"/>
      <c r="AG42" s="453"/>
      <c r="AH42" s="11"/>
      <c r="AI42" s="453"/>
      <c r="AJ42" s="11"/>
      <c r="AK42" s="453"/>
      <c r="AL42" s="353"/>
      <c r="AM42" s="353"/>
      <c r="AN42" s="11"/>
      <c r="AO42" s="453"/>
      <c r="AP42" s="89">
        <f t="shared" si="4"/>
        <v>9</v>
      </c>
      <c r="AQ42" s="1135">
        <f t="shared" si="5"/>
        <v>508.7</v>
      </c>
    </row>
    <row r="43" spans="1:43" s="92" customFormat="1" ht="24.75" customHeight="1">
      <c r="A43" s="275" t="s">
        <v>224</v>
      </c>
      <c r="B43" s="156"/>
      <c r="C43" s="400">
        <v>775.8</v>
      </c>
      <c r="D43" s="12"/>
      <c r="E43" s="400"/>
      <c r="F43" s="156"/>
      <c r="G43" s="400"/>
      <c r="H43" s="15"/>
      <c r="I43" s="1183"/>
      <c r="J43" s="15"/>
      <c r="K43" s="12"/>
      <c r="L43" s="12"/>
      <c r="M43" s="458"/>
      <c r="N43" s="12"/>
      <c r="O43" s="458"/>
      <c r="P43" s="12"/>
      <c r="Q43" s="458"/>
      <c r="R43" s="12"/>
      <c r="S43" s="458"/>
      <c r="T43" s="12"/>
      <c r="U43" s="458"/>
      <c r="V43" s="12"/>
      <c r="W43" s="458"/>
      <c r="X43" s="11"/>
      <c r="Y43" s="453"/>
      <c r="Z43" s="11">
        <v>2</v>
      </c>
      <c r="AA43" s="453">
        <v>227.8</v>
      </c>
      <c r="AB43" s="11"/>
      <c r="AC43" s="453">
        <v>525.1</v>
      </c>
      <c r="AD43" s="11"/>
      <c r="AE43" s="453"/>
      <c r="AF43" s="11"/>
      <c r="AG43" s="453">
        <v>64.4</v>
      </c>
      <c r="AH43" s="11"/>
      <c r="AI43" s="453"/>
      <c r="AJ43" s="11"/>
      <c r="AK43" s="453"/>
      <c r="AL43" s="353"/>
      <c r="AM43" s="353"/>
      <c r="AN43" s="11"/>
      <c r="AO43" s="453"/>
      <c r="AP43" s="89">
        <f t="shared" si="4"/>
        <v>2</v>
      </c>
      <c r="AQ43" s="1135">
        <f t="shared" si="5"/>
        <v>1593.1</v>
      </c>
    </row>
    <row r="44" spans="1:43" s="92" customFormat="1" ht="24.75" customHeight="1">
      <c r="A44" s="275" t="s">
        <v>225</v>
      </c>
      <c r="B44" s="156"/>
      <c r="C44" s="400"/>
      <c r="D44" s="12"/>
      <c r="E44" s="400"/>
      <c r="F44" s="156"/>
      <c r="G44" s="400"/>
      <c r="H44" s="15">
        <v>2</v>
      </c>
      <c r="I44" s="1183">
        <v>331.5</v>
      </c>
      <c r="J44" s="15"/>
      <c r="K44" s="12"/>
      <c r="L44" s="12"/>
      <c r="M44" s="458"/>
      <c r="N44" s="12"/>
      <c r="O44" s="458"/>
      <c r="P44" s="12"/>
      <c r="Q44" s="458"/>
      <c r="R44" s="12"/>
      <c r="S44" s="458"/>
      <c r="T44" s="12"/>
      <c r="U44" s="458"/>
      <c r="V44" s="12"/>
      <c r="W44" s="458"/>
      <c r="X44" s="11"/>
      <c r="Y44" s="453"/>
      <c r="Z44" s="11">
        <v>3</v>
      </c>
      <c r="AA44" s="453">
        <v>349.4</v>
      </c>
      <c r="AB44" s="11"/>
      <c r="AC44" s="453"/>
      <c r="AD44" s="11"/>
      <c r="AE44" s="453"/>
      <c r="AF44" s="11"/>
      <c r="AG44" s="453"/>
      <c r="AH44" s="11"/>
      <c r="AI44" s="453"/>
      <c r="AJ44" s="11"/>
      <c r="AK44" s="453"/>
      <c r="AL44" s="353"/>
      <c r="AM44" s="353"/>
      <c r="AN44" s="11"/>
      <c r="AO44" s="453"/>
      <c r="AP44" s="89">
        <f aca="true" t="shared" si="6" ref="AP44:AQ47">SUM(B44,D44,F44,H44,J44,L44,N44,P44,R44,T44,V44,X44,Z44,AB44,AD44,AF44,AH44,AJ44,AN44)</f>
        <v>5</v>
      </c>
      <c r="AQ44" s="972">
        <f t="shared" si="6"/>
        <v>680.9</v>
      </c>
    </row>
    <row r="45" spans="1:43" s="92" customFormat="1" ht="24.75" customHeight="1">
      <c r="A45" s="275" t="s">
        <v>304</v>
      </c>
      <c r="B45" s="156"/>
      <c r="C45" s="400"/>
      <c r="D45" s="12"/>
      <c r="E45" s="400"/>
      <c r="F45" s="156"/>
      <c r="G45" s="400"/>
      <c r="H45" s="15"/>
      <c r="I45" s="1183"/>
      <c r="J45" s="15"/>
      <c r="K45" s="12"/>
      <c r="L45" s="12"/>
      <c r="M45" s="458"/>
      <c r="N45" s="12"/>
      <c r="O45" s="458"/>
      <c r="P45" s="12"/>
      <c r="Q45" s="458"/>
      <c r="R45" s="12"/>
      <c r="S45" s="458"/>
      <c r="T45" s="12"/>
      <c r="U45" s="458"/>
      <c r="V45" s="12"/>
      <c r="W45" s="458"/>
      <c r="X45" s="11"/>
      <c r="Y45" s="453"/>
      <c r="Z45" s="11">
        <v>2</v>
      </c>
      <c r="AA45" s="453">
        <v>257</v>
      </c>
      <c r="AB45" s="11"/>
      <c r="AC45" s="453"/>
      <c r="AD45" s="11"/>
      <c r="AE45" s="453"/>
      <c r="AF45" s="11"/>
      <c r="AG45" s="453"/>
      <c r="AH45" s="11"/>
      <c r="AI45" s="453"/>
      <c r="AJ45" s="11"/>
      <c r="AK45" s="453"/>
      <c r="AL45" s="353"/>
      <c r="AM45" s="353"/>
      <c r="AN45" s="11"/>
      <c r="AO45" s="453"/>
      <c r="AP45" s="89">
        <f t="shared" si="6"/>
        <v>2</v>
      </c>
      <c r="AQ45" s="972">
        <f t="shared" si="6"/>
        <v>257</v>
      </c>
    </row>
    <row r="46" spans="1:43" s="92" customFormat="1" ht="24.75" customHeight="1">
      <c r="A46" s="275" t="s">
        <v>203</v>
      </c>
      <c r="B46" s="156"/>
      <c r="C46" s="400">
        <v>121.8</v>
      </c>
      <c r="D46" s="12"/>
      <c r="E46" s="400"/>
      <c r="F46" s="156"/>
      <c r="G46" s="400"/>
      <c r="H46" s="15"/>
      <c r="I46" s="1183"/>
      <c r="J46" s="15"/>
      <c r="K46" s="12"/>
      <c r="L46" s="12"/>
      <c r="M46" s="458"/>
      <c r="N46" s="12"/>
      <c r="O46" s="458"/>
      <c r="P46" s="12"/>
      <c r="Q46" s="458"/>
      <c r="R46" s="12"/>
      <c r="S46" s="458"/>
      <c r="T46" s="12"/>
      <c r="U46" s="458"/>
      <c r="V46" s="12"/>
      <c r="W46" s="458"/>
      <c r="X46" s="11"/>
      <c r="Y46" s="453"/>
      <c r="Z46" s="11">
        <v>1</v>
      </c>
      <c r="AA46" s="453">
        <v>211.6</v>
      </c>
      <c r="AB46" s="11"/>
      <c r="AC46" s="453"/>
      <c r="AD46" s="11"/>
      <c r="AE46" s="453"/>
      <c r="AF46" s="11"/>
      <c r="AG46" s="453"/>
      <c r="AH46" s="11"/>
      <c r="AI46" s="453"/>
      <c r="AJ46" s="11"/>
      <c r="AK46" s="453"/>
      <c r="AL46" s="353"/>
      <c r="AM46" s="353"/>
      <c r="AN46" s="11"/>
      <c r="AO46" s="453"/>
      <c r="AP46" s="89">
        <f t="shared" si="6"/>
        <v>1</v>
      </c>
      <c r="AQ46" s="972">
        <f t="shared" si="6"/>
        <v>333.4</v>
      </c>
    </row>
    <row r="47" spans="1:43" s="92" customFormat="1" ht="24.75" customHeight="1">
      <c r="A47" s="275" t="s">
        <v>227</v>
      </c>
      <c r="B47" s="156"/>
      <c r="C47" s="400"/>
      <c r="D47" s="12"/>
      <c r="E47" s="400"/>
      <c r="F47" s="156"/>
      <c r="G47" s="400"/>
      <c r="H47" s="15"/>
      <c r="I47" s="1183"/>
      <c r="J47" s="15"/>
      <c r="K47" s="12"/>
      <c r="L47" s="12"/>
      <c r="M47" s="458"/>
      <c r="N47" s="12"/>
      <c r="O47" s="458"/>
      <c r="P47" s="12"/>
      <c r="Q47" s="458"/>
      <c r="R47" s="12"/>
      <c r="S47" s="458"/>
      <c r="T47" s="12"/>
      <c r="U47" s="458"/>
      <c r="V47" s="12"/>
      <c r="W47" s="458"/>
      <c r="X47" s="11"/>
      <c r="Y47" s="453"/>
      <c r="Z47" s="11"/>
      <c r="AA47" s="453"/>
      <c r="AB47" s="11"/>
      <c r="AC47" s="453"/>
      <c r="AD47" s="11"/>
      <c r="AE47" s="453"/>
      <c r="AF47" s="11"/>
      <c r="AG47" s="453"/>
      <c r="AH47" s="11"/>
      <c r="AI47" s="453"/>
      <c r="AJ47" s="11">
        <v>3</v>
      </c>
      <c r="AK47" s="453">
        <v>825</v>
      </c>
      <c r="AL47" s="353"/>
      <c r="AM47" s="353"/>
      <c r="AN47" s="11"/>
      <c r="AO47" s="453"/>
      <c r="AP47" s="89">
        <f t="shared" si="6"/>
        <v>3</v>
      </c>
      <c r="AQ47" s="972">
        <f t="shared" si="6"/>
        <v>825</v>
      </c>
    </row>
    <row r="48" spans="1:43" s="92" customFormat="1" ht="24.75" customHeight="1">
      <c r="A48" s="704" t="s">
        <v>231</v>
      </c>
      <c r="B48" s="156"/>
      <c r="C48" s="353"/>
      <c r="D48" s="11"/>
      <c r="E48" s="353"/>
      <c r="F48" s="11"/>
      <c r="G48" s="353"/>
      <c r="H48" s="11"/>
      <c r="I48" s="453"/>
      <c r="J48" s="11"/>
      <c r="K48" s="11"/>
      <c r="L48" s="11"/>
      <c r="M48" s="453"/>
      <c r="N48" s="11"/>
      <c r="O48" s="453"/>
      <c r="P48" s="11"/>
      <c r="Q48" s="453"/>
      <c r="R48" s="11"/>
      <c r="S48" s="453"/>
      <c r="T48" s="11"/>
      <c r="U48" s="453"/>
      <c r="V48" s="11"/>
      <c r="W48" s="453"/>
      <c r="X48" s="11"/>
      <c r="Y48" s="453"/>
      <c r="Z48" s="11">
        <v>2</v>
      </c>
      <c r="AA48" s="453">
        <v>279.5</v>
      </c>
      <c r="AB48" s="11"/>
      <c r="AC48" s="453"/>
      <c r="AD48" s="11"/>
      <c r="AE48" s="453"/>
      <c r="AF48" s="11"/>
      <c r="AG48" s="453"/>
      <c r="AH48" s="11"/>
      <c r="AI48" s="453"/>
      <c r="AJ48" s="11"/>
      <c r="AK48" s="453"/>
      <c r="AL48" s="353"/>
      <c r="AM48" s="353"/>
      <c r="AN48" s="11"/>
      <c r="AO48" s="453"/>
      <c r="AP48" s="89">
        <f aca="true" t="shared" si="7" ref="AP48:AQ51">SUM(B48,D48,F48,H48,J48,L48,N48,P48,R48,T48,V48,X48,Z48,AB48,AD48,AF48,AH48,AJ48,AN48)</f>
        <v>2</v>
      </c>
      <c r="AQ48" s="972">
        <f t="shared" si="7"/>
        <v>279.5</v>
      </c>
    </row>
    <row r="49" spans="1:43" s="92" customFormat="1" ht="24.75" customHeight="1">
      <c r="A49" s="275" t="s">
        <v>228</v>
      </c>
      <c r="B49" s="156">
        <v>10</v>
      </c>
      <c r="C49" s="400">
        <v>826.9</v>
      </c>
      <c r="D49" s="12"/>
      <c r="E49" s="400"/>
      <c r="F49" s="156"/>
      <c r="G49" s="400"/>
      <c r="H49" s="15"/>
      <c r="I49" s="1183"/>
      <c r="J49" s="15"/>
      <c r="K49" s="12"/>
      <c r="L49" s="12"/>
      <c r="M49" s="458"/>
      <c r="N49" s="12"/>
      <c r="O49" s="458"/>
      <c r="P49" s="12"/>
      <c r="Q49" s="458"/>
      <c r="R49" s="12"/>
      <c r="S49" s="458"/>
      <c r="T49" s="12"/>
      <c r="U49" s="458"/>
      <c r="V49" s="12"/>
      <c r="W49" s="458"/>
      <c r="X49" s="11"/>
      <c r="Y49" s="453"/>
      <c r="Z49" s="11"/>
      <c r="AA49" s="453"/>
      <c r="AB49" s="11"/>
      <c r="AC49" s="453"/>
      <c r="AD49" s="11"/>
      <c r="AE49" s="453"/>
      <c r="AF49" s="11"/>
      <c r="AG49" s="453"/>
      <c r="AH49" s="11"/>
      <c r="AI49" s="453"/>
      <c r="AJ49" s="11"/>
      <c r="AK49" s="453"/>
      <c r="AL49" s="353"/>
      <c r="AM49" s="353"/>
      <c r="AN49" s="11"/>
      <c r="AO49" s="453"/>
      <c r="AP49" s="89">
        <f t="shared" si="7"/>
        <v>10</v>
      </c>
      <c r="AQ49" s="972">
        <f t="shared" si="7"/>
        <v>826.9</v>
      </c>
    </row>
    <row r="50" spans="1:43" s="92" customFormat="1" ht="24.75" customHeight="1">
      <c r="A50" s="704" t="s">
        <v>582</v>
      </c>
      <c r="B50" s="156"/>
      <c r="C50" s="400"/>
      <c r="D50" s="12"/>
      <c r="E50" s="400"/>
      <c r="F50" s="156"/>
      <c r="G50" s="400"/>
      <c r="H50" s="15"/>
      <c r="I50" s="1183"/>
      <c r="J50" s="15"/>
      <c r="K50" s="12"/>
      <c r="L50" s="12"/>
      <c r="M50" s="458"/>
      <c r="N50" s="12"/>
      <c r="O50" s="458"/>
      <c r="P50" s="12"/>
      <c r="Q50" s="458"/>
      <c r="R50" s="12"/>
      <c r="S50" s="458"/>
      <c r="T50" s="12"/>
      <c r="U50" s="458"/>
      <c r="V50" s="12"/>
      <c r="W50" s="458"/>
      <c r="X50" s="11"/>
      <c r="Y50" s="453"/>
      <c r="Z50" s="11">
        <v>2</v>
      </c>
      <c r="AA50" s="453">
        <v>276.3</v>
      </c>
      <c r="AB50" s="11"/>
      <c r="AC50" s="453"/>
      <c r="AD50" s="11"/>
      <c r="AE50" s="453"/>
      <c r="AF50" s="11"/>
      <c r="AG50" s="453"/>
      <c r="AH50" s="11"/>
      <c r="AI50" s="453"/>
      <c r="AJ50" s="11"/>
      <c r="AK50" s="453"/>
      <c r="AL50" s="353"/>
      <c r="AM50" s="353"/>
      <c r="AN50" s="11"/>
      <c r="AO50" s="453"/>
      <c r="AP50" s="89">
        <f t="shared" si="7"/>
        <v>2</v>
      </c>
      <c r="AQ50" s="972">
        <f t="shared" si="7"/>
        <v>276.3</v>
      </c>
    </row>
    <row r="51" spans="1:43" s="261" customFormat="1" ht="24.75" customHeight="1">
      <c r="A51" s="265" t="s">
        <v>310</v>
      </c>
      <c r="B51" s="156"/>
      <c r="C51" s="400"/>
      <c r="D51" s="12"/>
      <c r="E51" s="400"/>
      <c r="F51" s="156"/>
      <c r="G51" s="400"/>
      <c r="H51" s="15"/>
      <c r="I51" s="1183"/>
      <c r="J51" s="15"/>
      <c r="K51" s="12"/>
      <c r="L51" s="12"/>
      <c r="M51" s="458"/>
      <c r="N51" s="12"/>
      <c r="O51" s="458"/>
      <c r="P51" s="12"/>
      <c r="Q51" s="458"/>
      <c r="R51" s="12"/>
      <c r="S51" s="458"/>
      <c r="T51" s="12"/>
      <c r="U51" s="458"/>
      <c r="V51" s="12"/>
      <c r="W51" s="458"/>
      <c r="X51" s="11"/>
      <c r="Y51" s="453"/>
      <c r="Z51" s="11">
        <v>2</v>
      </c>
      <c r="AA51" s="453">
        <v>225.3</v>
      </c>
      <c r="AB51" s="11"/>
      <c r="AC51" s="453"/>
      <c r="AD51" s="11"/>
      <c r="AE51" s="453"/>
      <c r="AF51" s="11"/>
      <c r="AG51" s="453"/>
      <c r="AH51" s="11"/>
      <c r="AI51" s="453"/>
      <c r="AJ51" s="11"/>
      <c r="AK51" s="453"/>
      <c r="AL51" s="353"/>
      <c r="AM51" s="353"/>
      <c r="AN51" s="11"/>
      <c r="AO51" s="453"/>
      <c r="AP51" s="89">
        <f t="shared" si="7"/>
        <v>2</v>
      </c>
      <c r="AQ51" s="972">
        <f t="shared" si="7"/>
        <v>225.3</v>
      </c>
    </row>
    <row r="52" spans="1:43" s="342" customFormat="1" ht="23.25" customHeight="1">
      <c r="A52" s="109" t="s">
        <v>146</v>
      </c>
      <c r="B52" s="238"/>
      <c r="C52" s="415"/>
      <c r="D52" s="172"/>
      <c r="E52" s="415"/>
      <c r="F52" s="172"/>
      <c r="G52" s="415"/>
      <c r="H52" s="172"/>
      <c r="I52" s="1186"/>
      <c r="J52" s="172"/>
      <c r="K52" s="172"/>
      <c r="L52" s="172"/>
      <c r="M52" s="1186"/>
      <c r="N52" s="172"/>
      <c r="O52" s="1186"/>
      <c r="P52" s="172"/>
      <c r="Q52" s="1186"/>
      <c r="R52" s="172"/>
      <c r="S52" s="1186"/>
      <c r="T52" s="172"/>
      <c r="U52" s="1186"/>
      <c r="V52" s="172"/>
      <c r="W52" s="1186"/>
      <c r="X52" s="172"/>
      <c r="Y52" s="1186"/>
      <c r="Z52" s="172"/>
      <c r="AA52" s="1186"/>
      <c r="AB52" s="172"/>
      <c r="AC52" s="1186"/>
      <c r="AD52" s="172"/>
      <c r="AE52" s="1186"/>
      <c r="AF52" s="172"/>
      <c r="AG52" s="1186"/>
      <c r="AH52" s="172"/>
      <c r="AI52" s="1186"/>
      <c r="AJ52" s="172"/>
      <c r="AK52" s="1186"/>
      <c r="AL52" s="415"/>
      <c r="AM52" s="415"/>
      <c r="AN52" s="172"/>
      <c r="AO52" s="1186"/>
      <c r="AP52" s="87"/>
      <c r="AQ52" s="974"/>
    </row>
    <row r="53" spans="1:43" s="92" customFormat="1" ht="24.75" customHeight="1">
      <c r="A53" s="275" t="s">
        <v>302</v>
      </c>
      <c r="B53" s="156"/>
      <c r="C53" s="400"/>
      <c r="D53" s="12"/>
      <c r="E53" s="400"/>
      <c r="F53" s="156"/>
      <c r="G53" s="400"/>
      <c r="H53" s="15"/>
      <c r="I53" s="1183"/>
      <c r="J53" s="15"/>
      <c r="K53" s="12"/>
      <c r="L53" s="12"/>
      <c r="M53" s="458"/>
      <c r="N53" s="12"/>
      <c r="O53" s="458"/>
      <c r="P53" s="12"/>
      <c r="Q53" s="458"/>
      <c r="R53" s="12"/>
      <c r="S53" s="458"/>
      <c r="T53" s="12"/>
      <c r="U53" s="458"/>
      <c r="V53" s="12"/>
      <c r="W53" s="458"/>
      <c r="X53" s="11"/>
      <c r="Y53" s="453"/>
      <c r="Z53" s="11">
        <v>1</v>
      </c>
      <c r="AA53" s="453">
        <v>48.9</v>
      </c>
      <c r="AB53" s="11"/>
      <c r="AC53" s="453"/>
      <c r="AD53" s="11"/>
      <c r="AE53" s="453"/>
      <c r="AF53" s="11"/>
      <c r="AG53" s="453"/>
      <c r="AH53" s="11"/>
      <c r="AI53" s="453"/>
      <c r="AJ53" s="11"/>
      <c r="AK53" s="453"/>
      <c r="AL53" s="353"/>
      <c r="AM53" s="353"/>
      <c r="AN53" s="11"/>
      <c r="AO53" s="453"/>
      <c r="AP53" s="89">
        <f aca="true" t="shared" si="8" ref="AP53:AQ57">SUM(B53,D53,F53,H53,J53,L53,N53,P53,R53,T53,V53,X53,Z53,AB53,AD53,AF53,AH53,AJ53,AN53)</f>
        <v>1</v>
      </c>
      <c r="AQ53" s="972">
        <f t="shared" si="8"/>
        <v>48.9</v>
      </c>
    </row>
    <row r="54" spans="1:43" s="92" customFormat="1" ht="24.75" customHeight="1">
      <c r="A54" s="275" t="s">
        <v>307</v>
      </c>
      <c r="B54" s="156"/>
      <c r="C54" s="400"/>
      <c r="D54" s="12"/>
      <c r="E54" s="400"/>
      <c r="F54" s="156"/>
      <c r="G54" s="400"/>
      <c r="H54" s="15"/>
      <c r="I54" s="1183"/>
      <c r="J54" s="15"/>
      <c r="K54" s="12"/>
      <c r="L54" s="12"/>
      <c r="M54" s="458"/>
      <c r="N54" s="12"/>
      <c r="O54" s="458"/>
      <c r="P54" s="12"/>
      <c r="Q54" s="458"/>
      <c r="R54" s="12"/>
      <c r="S54" s="458"/>
      <c r="T54" s="12"/>
      <c r="U54" s="458"/>
      <c r="V54" s="12"/>
      <c r="W54" s="458"/>
      <c r="X54" s="11"/>
      <c r="Y54" s="453"/>
      <c r="Z54" s="11"/>
      <c r="AA54" s="453"/>
      <c r="AB54" s="11"/>
      <c r="AC54" s="453"/>
      <c r="AD54" s="11"/>
      <c r="AE54" s="453"/>
      <c r="AF54" s="11"/>
      <c r="AG54" s="453"/>
      <c r="AH54" s="11"/>
      <c r="AI54" s="453"/>
      <c r="AJ54" s="11">
        <v>4</v>
      </c>
      <c r="AK54" s="453">
        <v>528.8</v>
      </c>
      <c r="AL54" s="353"/>
      <c r="AM54" s="353"/>
      <c r="AN54" s="11"/>
      <c r="AO54" s="453"/>
      <c r="AP54" s="89">
        <f t="shared" si="8"/>
        <v>4</v>
      </c>
      <c r="AQ54" s="972">
        <f t="shared" si="8"/>
        <v>528.8</v>
      </c>
    </row>
    <row r="55" spans="1:43" s="92" customFormat="1" ht="24.75" customHeight="1">
      <c r="A55" s="704" t="s">
        <v>229</v>
      </c>
      <c r="B55" s="156"/>
      <c r="C55" s="400"/>
      <c r="D55" s="12"/>
      <c r="E55" s="400"/>
      <c r="F55" s="156"/>
      <c r="G55" s="400"/>
      <c r="H55" s="15"/>
      <c r="I55" s="1183"/>
      <c r="J55" s="15"/>
      <c r="K55" s="12"/>
      <c r="L55" s="12"/>
      <c r="M55" s="458"/>
      <c r="N55" s="12"/>
      <c r="O55" s="458"/>
      <c r="P55" s="12"/>
      <c r="Q55" s="458"/>
      <c r="R55" s="12"/>
      <c r="S55" s="458"/>
      <c r="T55" s="12"/>
      <c r="U55" s="458"/>
      <c r="V55" s="12"/>
      <c r="W55" s="458"/>
      <c r="X55" s="11"/>
      <c r="Y55" s="453"/>
      <c r="Z55" s="11">
        <v>1</v>
      </c>
      <c r="AA55" s="453">
        <v>98.3</v>
      </c>
      <c r="AB55" s="11"/>
      <c r="AC55" s="453"/>
      <c r="AD55" s="11"/>
      <c r="AE55" s="453"/>
      <c r="AF55" s="11"/>
      <c r="AG55" s="453"/>
      <c r="AH55" s="11"/>
      <c r="AI55" s="453"/>
      <c r="AJ55" s="11">
        <v>3</v>
      </c>
      <c r="AK55" s="453">
        <v>520.9</v>
      </c>
      <c r="AL55" s="353"/>
      <c r="AM55" s="353"/>
      <c r="AN55" s="11"/>
      <c r="AO55" s="453"/>
      <c r="AP55" s="89">
        <f>SUM(B55,D55,F55,H55,J55,L55,N55,P55,R55,T55,V55,X55,Z55,AB55,AD55,AF55,AH55,AJ55,AN55)</f>
        <v>4</v>
      </c>
      <c r="AQ55" s="972">
        <f>SUM(C55,E55,G55,I55,K55,M55,O55,Q55,S55,U55,W55,Y55,AA55,AC55,AE55,AG55,AI55,AK55,AO55)</f>
        <v>619.1999999999999</v>
      </c>
    </row>
    <row r="56" spans="1:43" s="92" customFormat="1" ht="24.75" customHeight="1">
      <c r="A56" s="1131" t="s">
        <v>591</v>
      </c>
      <c r="B56" s="156"/>
      <c r="C56" s="400"/>
      <c r="D56" s="12"/>
      <c r="E56" s="400"/>
      <c r="F56" s="156"/>
      <c r="G56" s="400"/>
      <c r="H56" s="15"/>
      <c r="I56" s="1183"/>
      <c r="J56" s="15"/>
      <c r="K56" s="12"/>
      <c r="L56" s="12"/>
      <c r="M56" s="458"/>
      <c r="N56" s="12"/>
      <c r="O56" s="458"/>
      <c r="P56" s="12"/>
      <c r="Q56" s="458"/>
      <c r="R56" s="12"/>
      <c r="S56" s="458"/>
      <c r="T56" s="12"/>
      <c r="U56" s="458"/>
      <c r="V56" s="12"/>
      <c r="W56" s="458"/>
      <c r="X56" s="11"/>
      <c r="Y56" s="453"/>
      <c r="Z56" s="11"/>
      <c r="AA56" s="453"/>
      <c r="AB56" s="11"/>
      <c r="AC56" s="453"/>
      <c r="AD56" s="11"/>
      <c r="AE56" s="453"/>
      <c r="AF56" s="11"/>
      <c r="AG56" s="453"/>
      <c r="AH56" s="11"/>
      <c r="AI56" s="453"/>
      <c r="AJ56" s="11">
        <v>5</v>
      </c>
      <c r="AK56" s="453">
        <v>570.4</v>
      </c>
      <c r="AL56" s="353"/>
      <c r="AM56" s="353"/>
      <c r="AN56" s="11"/>
      <c r="AO56" s="453"/>
      <c r="AP56" s="89">
        <f>SUM(B56,D56,F56,H56,J56,L56,N56,P56,R56,T56,V56,X56,Z56,AB56,AD56,AF56,AH56,AJ56,AN56)</f>
        <v>5</v>
      </c>
      <c r="AQ56" s="972">
        <f>SUM(C56,E56,G56,I56,K56,M56,O56,Q56,S56,U56,W56,Y56,AA56,AC56,AE56,AG56,AI56,AK56,AO56)</f>
        <v>570.4</v>
      </c>
    </row>
    <row r="57" spans="1:43" s="261" customFormat="1" ht="24.75" customHeight="1">
      <c r="A57" s="1132" t="s">
        <v>592</v>
      </c>
      <c r="B57" s="240"/>
      <c r="C57" s="753"/>
      <c r="D57" s="738"/>
      <c r="E57" s="753"/>
      <c r="F57" s="240">
        <v>2</v>
      </c>
      <c r="G57" s="753">
        <v>406.7</v>
      </c>
      <c r="H57" s="18"/>
      <c r="I57" s="1184"/>
      <c r="J57" s="18"/>
      <c r="K57" s="738"/>
      <c r="L57" s="738"/>
      <c r="M57" s="739"/>
      <c r="N57" s="738"/>
      <c r="O57" s="739"/>
      <c r="P57" s="738"/>
      <c r="Q57" s="739"/>
      <c r="R57" s="738"/>
      <c r="S57" s="739"/>
      <c r="T57" s="738"/>
      <c r="U57" s="739"/>
      <c r="V57" s="738"/>
      <c r="W57" s="739"/>
      <c r="X57" s="17"/>
      <c r="Y57" s="454"/>
      <c r="Z57" s="17"/>
      <c r="AA57" s="454"/>
      <c r="AB57" s="17"/>
      <c r="AC57" s="454"/>
      <c r="AD57" s="17"/>
      <c r="AE57" s="454"/>
      <c r="AF57" s="17"/>
      <c r="AG57" s="454"/>
      <c r="AH57" s="17"/>
      <c r="AI57" s="454"/>
      <c r="AJ57" s="17">
        <v>8</v>
      </c>
      <c r="AK57" s="454">
        <v>1143.1</v>
      </c>
      <c r="AL57" s="399"/>
      <c r="AM57" s="399"/>
      <c r="AN57" s="17"/>
      <c r="AO57" s="454"/>
      <c r="AP57" s="163">
        <f t="shared" si="8"/>
        <v>10</v>
      </c>
      <c r="AQ57" s="973">
        <f t="shared" si="8"/>
        <v>1549.8</v>
      </c>
    </row>
    <row r="58" spans="1:43" s="260" customFormat="1" ht="23.25" customHeight="1">
      <c r="A58" s="109" t="s">
        <v>316</v>
      </c>
      <c r="B58" s="238"/>
      <c r="C58" s="415"/>
      <c r="D58" s="172"/>
      <c r="E58" s="415"/>
      <c r="F58" s="172"/>
      <c r="G58" s="415"/>
      <c r="H58" s="172"/>
      <c r="I58" s="1186"/>
      <c r="J58" s="172"/>
      <c r="K58" s="172"/>
      <c r="L58" s="172"/>
      <c r="M58" s="1186"/>
      <c r="N58" s="172"/>
      <c r="O58" s="1186"/>
      <c r="P58" s="172"/>
      <c r="Q58" s="1186"/>
      <c r="R58" s="172"/>
      <c r="S58" s="1186"/>
      <c r="T58" s="172"/>
      <c r="U58" s="1186"/>
      <c r="V58" s="172"/>
      <c r="W58" s="1186"/>
      <c r="X58" s="172"/>
      <c r="Y58" s="1186"/>
      <c r="Z58" s="172"/>
      <c r="AA58" s="1186"/>
      <c r="AB58" s="172"/>
      <c r="AC58" s="1186"/>
      <c r="AD58" s="172"/>
      <c r="AE58" s="1186"/>
      <c r="AF58" s="172"/>
      <c r="AG58" s="1186"/>
      <c r="AH58" s="172"/>
      <c r="AI58" s="1186"/>
      <c r="AJ58" s="172"/>
      <c r="AK58" s="1186"/>
      <c r="AL58" s="415"/>
      <c r="AM58" s="415"/>
      <c r="AN58" s="172"/>
      <c r="AO58" s="1186"/>
      <c r="AP58" s="87"/>
      <c r="AQ58" s="974"/>
    </row>
    <row r="59" spans="1:43" s="261" customFormat="1" ht="24.75" customHeight="1">
      <c r="A59" s="265" t="s">
        <v>308</v>
      </c>
      <c r="B59" s="240"/>
      <c r="C59" s="753"/>
      <c r="D59" s="738"/>
      <c r="E59" s="753"/>
      <c r="F59" s="240">
        <v>1</v>
      </c>
      <c r="G59" s="753">
        <v>1353</v>
      </c>
      <c r="H59" s="18"/>
      <c r="I59" s="1184"/>
      <c r="J59" s="18"/>
      <c r="K59" s="738"/>
      <c r="L59" s="738"/>
      <c r="M59" s="739"/>
      <c r="N59" s="738"/>
      <c r="O59" s="739"/>
      <c r="P59" s="738"/>
      <c r="Q59" s="739"/>
      <c r="R59" s="738"/>
      <c r="S59" s="739"/>
      <c r="T59" s="738"/>
      <c r="U59" s="739"/>
      <c r="V59" s="738"/>
      <c r="W59" s="739"/>
      <c r="X59" s="17"/>
      <c r="Y59" s="454"/>
      <c r="Z59" s="17"/>
      <c r="AA59" s="454"/>
      <c r="AB59" s="17"/>
      <c r="AC59" s="454"/>
      <c r="AD59" s="17"/>
      <c r="AE59" s="454"/>
      <c r="AF59" s="17"/>
      <c r="AG59" s="454"/>
      <c r="AH59" s="17"/>
      <c r="AI59" s="454"/>
      <c r="AJ59" s="17"/>
      <c r="AK59" s="454"/>
      <c r="AL59" s="399"/>
      <c r="AM59" s="399"/>
      <c r="AN59" s="17"/>
      <c r="AO59" s="454"/>
      <c r="AP59" s="163">
        <f>SUM(B59,D59,F59,H59,J59,L59,N59,P59,R59,T59,V59,X59,Z59,AB59,AD59,AF59,AH59,AJ59,AN59)</f>
        <v>1</v>
      </c>
      <c r="AQ59" s="973">
        <f>SUM(C59,E59,G59,I59,K59,M59,O59,Q59,S59,U59,W59,Y59,AA59,AC59,AE59,AG59,AI59,AK59,AO59)</f>
        <v>1353</v>
      </c>
    </row>
    <row r="60" spans="1:43" s="342" customFormat="1" ht="23.25" customHeight="1">
      <c r="A60" s="109" t="s">
        <v>317</v>
      </c>
      <c r="B60" s="238"/>
      <c r="C60" s="415"/>
      <c r="D60" s="172"/>
      <c r="E60" s="415"/>
      <c r="F60" s="172"/>
      <c r="G60" s="415"/>
      <c r="H60" s="172"/>
      <c r="I60" s="1186"/>
      <c r="J60" s="172"/>
      <c r="K60" s="172"/>
      <c r="L60" s="172"/>
      <c r="M60" s="1186"/>
      <c r="N60" s="172"/>
      <c r="O60" s="1186"/>
      <c r="P60" s="172"/>
      <c r="Q60" s="1186"/>
      <c r="R60" s="172"/>
      <c r="S60" s="1186"/>
      <c r="T60" s="172"/>
      <c r="U60" s="1186"/>
      <c r="V60" s="172"/>
      <c r="W60" s="1186"/>
      <c r="X60" s="172"/>
      <c r="Y60" s="1186"/>
      <c r="Z60" s="172"/>
      <c r="AA60" s="1186"/>
      <c r="AB60" s="172"/>
      <c r="AC60" s="1186"/>
      <c r="AD60" s="172"/>
      <c r="AE60" s="1186"/>
      <c r="AF60" s="172"/>
      <c r="AG60" s="1186"/>
      <c r="AH60" s="172"/>
      <c r="AI60" s="1186"/>
      <c r="AJ60" s="172"/>
      <c r="AK60" s="1186"/>
      <c r="AL60" s="415"/>
      <c r="AM60" s="415"/>
      <c r="AN60" s="172"/>
      <c r="AO60" s="1186"/>
      <c r="AP60" s="87"/>
      <c r="AQ60" s="974"/>
    </row>
    <row r="61" spans="1:43" s="342" customFormat="1" ht="23.25" customHeight="1">
      <c r="A61" s="275" t="s">
        <v>221</v>
      </c>
      <c r="B61" s="156">
        <v>4</v>
      </c>
      <c r="C61" s="400">
        <v>115.3</v>
      </c>
      <c r="D61" s="12"/>
      <c r="E61" s="400"/>
      <c r="F61" s="156"/>
      <c r="G61" s="400"/>
      <c r="H61" s="15"/>
      <c r="I61" s="1183"/>
      <c r="J61" s="15"/>
      <c r="K61" s="12"/>
      <c r="L61" s="12"/>
      <c r="M61" s="458"/>
      <c r="N61" s="12"/>
      <c r="O61" s="458"/>
      <c r="P61" s="12"/>
      <c r="Q61" s="458"/>
      <c r="R61" s="12"/>
      <c r="S61" s="458"/>
      <c r="T61" s="12"/>
      <c r="U61" s="458"/>
      <c r="V61" s="12"/>
      <c r="W61" s="458"/>
      <c r="X61" s="11">
        <v>6</v>
      </c>
      <c r="Y61" s="453">
        <v>707.8</v>
      </c>
      <c r="Z61" s="11">
        <v>1</v>
      </c>
      <c r="AA61" s="453">
        <v>112.3</v>
      </c>
      <c r="AB61" s="11"/>
      <c r="AC61" s="453"/>
      <c r="AD61" s="11"/>
      <c r="AE61" s="453"/>
      <c r="AF61" s="11"/>
      <c r="AG61" s="453"/>
      <c r="AH61" s="11"/>
      <c r="AI61" s="453"/>
      <c r="AJ61" s="11"/>
      <c r="AK61" s="453"/>
      <c r="AL61" s="353"/>
      <c r="AM61" s="353"/>
      <c r="AN61" s="11"/>
      <c r="AO61" s="453"/>
      <c r="AP61" s="89">
        <f aca="true" t="shared" si="9" ref="AP61:AQ65">SUM(B61,D61,F61,H61,J61,L61,N61,P61,R61,T61,V61,X61,Z61,AB61,AD61,AF61,AH61,AJ61,AN61)</f>
        <v>11</v>
      </c>
      <c r="AQ61" s="972">
        <f t="shared" si="9"/>
        <v>935.3999999999999</v>
      </c>
    </row>
    <row r="62" spans="1:43" s="342" customFormat="1" ht="23.25" customHeight="1">
      <c r="A62" s="275" t="s">
        <v>222</v>
      </c>
      <c r="B62" s="156"/>
      <c r="C62" s="400"/>
      <c r="D62" s="12"/>
      <c r="E62" s="400"/>
      <c r="F62" s="156"/>
      <c r="G62" s="400"/>
      <c r="H62" s="15"/>
      <c r="I62" s="1183"/>
      <c r="J62" s="15"/>
      <c r="K62" s="12"/>
      <c r="L62" s="12"/>
      <c r="M62" s="458"/>
      <c r="N62" s="12"/>
      <c r="O62" s="458"/>
      <c r="P62" s="12"/>
      <c r="Q62" s="458"/>
      <c r="R62" s="12"/>
      <c r="S62" s="458"/>
      <c r="T62" s="12"/>
      <c r="U62" s="458"/>
      <c r="V62" s="12"/>
      <c r="W62" s="458"/>
      <c r="X62" s="11"/>
      <c r="Y62" s="453"/>
      <c r="Z62" s="11">
        <v>1</v>
      </c>
      <c r="AA62" s="453">
        <v>143.9</v>
      </c>
      <c r="AB62" s="11"/>
      <c r="AC62" s="453"/>
      <c r="AD62" s="11"/>
      <c r="AE62" s="453"/>
      <c r="AF62" s="11"/>
      <c r="AG62" s="453"/>
      <c r="AH62" s="11"/>
      <c r="AI62" s="453"/>
      <c r="AJ62" s="11"/>
      <c r="AK62" s="453"/>
      <c r="AL62" s="353"/>
      <c r="AM62" s="353"/>
      <c r="AN62" s="11"/>
      <c r="AO62" s="453"/>
      <c r="AP62" s="89">
        <f t="shared" si="9"/>
        <v>1</v>
      </c>
      <c r="AQ62" s="972">
        <f t="shared" si="9"/>
        <v>143.9</v>
      </c>
    </row>
    <row r="63" spans="1:43" s="342" customFormat="1" ht="23.25" customHeight="1">
      <c r="A63" s="704" t="s">
        <v>588</v>
      </c>
      <c r="B63" s="156"/>
      <c r="C63" s="400"/>
      <c r="D63" s="12"/>
      <c r="E63" s="400"/>
      <c r="F63" s="156"/>
      <c r="G63" s="400"/>
      <c r="H63" s="15"/>
      <c r="I63" s="1183"/>
      <c r="J63" s="15"/>
      <c r="K63" s="12"/>
      <c r="L63" s="12"/>
      <c r="M63" s="458"/>
      <c r="N63" s="12"/>
      <c r="O63" s="458"/>
      <c r="P63" s="12"/>
      <c r="Q63" s="458"/>
      <c r="R63" s="12"/>
      <c r="S63" s="458"/>
      <c r="T63" s="12"/>
      <c r="U63" s="458"/>
      <c r="V63" s="12"/>
      <c r="W63" s="458"/>
      <c r="X63" s="11"/>
      <c r="Y63" s="453"/>
      <c r="Z63" s="11">
        <v>1</v>
      </c>
      <c r="AA63" s="453">
        <v>222.2</v>
      </c>
      <c r="AB63" s="11"/>
      <c r="AC63" s="453"/>
      <c r="AD63" s="11"/>
      <c r="AE63" s="453"/>
      <c r="AF63" s="11"/>
      <c r="AG63" s="453"/>
      <c r="AH63" s="11"/>
      <c r="AI63" s="453"/>
      <c r="AJ63" s="11"/>
      <c r="AK63" s="453"/>
      <c r="AL63" s="353"/>
      <c r="AM63" s="353"/>
      <c r="AN63" s="11"/>
      <c r="AO63" s="453"/>
      <c r="AP63" s="89">
        <f t="shared" si="9"/>
        <v>1</v>
      </c>
      <c r="AQ63" s="972">
        <f t="shared" si="9"/>
        <v>222.2</v>
      </c>
    </row>
    <row r="64" spans="1:43" s="342" customFormat="1" ht="23.25" customHeight="1">
      <c r="A64" s="275" t="s">
        <v>223</v>
      </c>
      <c r="B64" s="156"/>
      <c r="C64" s="400"/>
      <c r="D64" s="12"/>
      <c r="E64" s="400"/>
      <c r="F64" s="156"/>
      <c r="G64" s="400"/>
      <c r="H64" s="15"/>
      <c r="I64" s="1183"/>
      <c r="J64" s="15"/>
      <c r="K64" s="12"/>
      <c r="L64" s="12"/>
      <c r="M64" s="458"/>
      <c r="N64" s="12"/>
      <c r="O64" s="458"/>
      <c r="P64" s="12"/>
      <c r="Q64" s="458"/>
      <c r="R64" s="12"/>
      <c r="S64" s="458"/>
      <c r="T64" s="12"/>
      <c r="U64" s="458"/>
      <c r="V64" s="12"/>
      <c r="W64" s="458"/>
      <c r="X64" s="11"/>
      <c r="Y64" s="453"/>
      <c r="Z64" s="11">
        <v>1</v>
      </c>
      <c r="AA64" s="453">
        <v>52.1</v>
      </c>
      <c r="AB64" s="11"/>
      <c r="AC64" s="453"/>
      <c r="AD64" s="11"/>
      <c r="AE64" s="453"/>
      <c r="AF64" s="11"/>
      <c r="AG64" s="453"/>
      <c r="AH64" s="11"/>
      <c r="AI64" s="453"/>
      <c r="AJ64" s="11"/>
      <c r="AK64" s="453"/>
      <c r="AL64" s="353"/>
      <c r="AM64" s="353"/>
      <c r="AN64" s="11"/>
      <c r="AO64" s="453"/>
      <c r="AP64" s="89">
        <f t="shared" si="9"/>
        <v>1</v>
      </c>
      <c r="AQ64" s="972">
        <f t="shared" si="9"/>
        <v>52.1</v>
      </c>
    </row>
    <row r="65" spans="1:43" s="342" customFormat="1" ht="23.25" customHeight="1">
      <c r="A65" s="704" t="s">
        <v>589</v>
      </c>
      <c r="B65" s="156"/>
      <c r="C65" s="400"/>
      <c r="D65" s="12"/>
      <c r="E65" s="400"/>
      <c r="F65" s="156"/>
      <c r="G65" s="400"/>
      <c r="H65" s="15"/>
      <c r="I65" s="1183"/>
      <c r="J65" s="15"/>
      <c r="K65" s="12"/>
      <c r="L65" s="12"/>
      <c r="M65" s="458"/>
      <c r="N65" s="12"/>
      <c r="O65" s="458"/>
      <c r="P65" s="12"/>
      <c r="Q65" s="458"/>
      <c r="R65" s="12"/>
      <c r="S65" s="458"/>
      <c r="T65" s="12"/>
      <c r="U65" s="458"/>
      <c r="V65" s="12"/>
      <c r="W65" s="458"/>
      <c r="X65" s="11"/>
      <c r="Y65" s="453"/>
      <c r="Z65" s="11">
        <v>1</v>
      </c>
      <c r="AA65" s="453">
        <v>130.4</v>
      </c>
      <c r="AB65" s="11"/>
      <c r="AC65" s="453"/>
      <c r="AD65" s="11"/>
      <c r="AE65" s="453"/>
      <c r="AF65" s="11"/>
      <c r="AG65" s="453"/>
      <c r="AH65" s="11"/>
      <c r="AI65" s="453"/>
      <c r="AJ65" s="11"/>
      <c r="AK65" s="453"/>
      <c r="AL65" s="353"/>
      <c r="AM65" s="353"/>
      <c r="AN65" s="11"/>
      <c r="AO65" s="453"/>
      <c r="AP65" s="89">
        <f t="shared" si="9"/>
        <v>1</v>
      </c>
      <c r="AQ65" s="972">
        <f t="shared" si="9"/>
        <v>130.4</v>
      </c>
    </row>
    <row r="66" spans="1:43" s="704" customFormat="1" ht="21.75">
      <c r="A66" s="704" t="s">
        <v>590</v>
      </c>
      <c r="B66" s="156"/>
      <c r="C66" s="400"/>
      <c r="D66" s="12"/>
      <c r="E66" s="400"/>
      <c r="F66" s="156"/>
      <c r="G66" s="400"/>
      <c r="H66" s="15"/>
      <c r="I66" s="1183"/>
      <c r="J66" s="15"/>
      <c r="K66" s="12"/>
      <c r="L66" s="12"/>
      <c r="M66" s="458"/>
      <c r="N66" s="12"/>
      <c r="O66" s="458"/>
      <c r="P66" s="12"/>
      <c r="Q66" s="458"/>
      <c r="R66" s="12"/>
      <c r="S66" s="458"/>
      <c r="T66" s="12"/>
      <c r="U66" s="458"/>
      <c r="V66" s="12"/>
      <c r="W66" s="458"/>
      <c r="X66" s="11"/>
      <c r="Y66" s="453"/>
      <c r="Z66" s="11">
        <v>1</v>
      </c>
      <c r="AA66" s="453">
        <v>138.3</v>
      </c>
      <c r="AB66" s="11"/>
      <c r="AC66" s="453"/>
      <c r="AD66" s="11"/>
      <c r="AE66" s="453"/>
      <c r="AF66" s="11"/>
      <c r="AG66" s="453"/>
      <c r="AH66" s="11"/>
      <c r="AI66" s="453"/>
      <c r="AJ66" s="11"/>
      <c r="AK66" s="453"/>
      <c r="AL66" s="353"/>
      <c r="AM66" s="353"/>
      <c r="AN66" s="11"/>
      <c r="AO66" s="453"/>
      <c r="AP66" s="89">
        <f aca="true" t="shared" si="10" ref="AP66:AQ68">SUM(B66,D66,F66,H66,J66,L66,N66,P66,R66,T66,V66,X66,Z66,AB66,AD66,AF66,AH66,AJ66,AN66)</f>
        <v>1</v>
      </c>
      <c r="AQ66" s="972">
        <f t="shared" si="10"/>
        <v>138.3</v>
      </c>
    </row>
    <row r="67" spans="1:43" s="981" customFormat="1" ht="21.75">
      <c r="A67" s="265" t="s">
        <v>226</v>
      </c>
      <c r="B67" s="978">
        <v>2</v>
      </c>
      <c r="C67" s="979">
        <v>290.8</v>
      </c>
      <c r="D67" s="980"/>
      <c r="E67" s="979"/>
      <c r="F67" s="978"/>
      <c r="G67" s="979"/>
      <c r="H67" s="980"/>
      <c r="I67" s="1187"/>
      <c r="J67" s="262"/>
      <c r="M67" s="1187"/>
      <c r="O67" s="1187"/>
      <c r="Q67" s="1187"/>
      <c r="R67" s="980"/>
      <c r="S67" s="1187"/>
      <c r="T67" s="239"/>
      <c r="U67" s="739"/>
      <c r="V67" s="239"/>
      <c r="W67" s="739"/>
      <c r="X67" s="18"/>
      <c r="Y67" s="739"/>
      <c r="Z67" s="239"/>
      <c r="AA67" s="739"/>
      <c r="AB67" s="18"/>
      <c r="AC67" s="739"/>
      <c r="AD67" s="738"/>
      <c r="AE67" s="739"/>
      <c r="AF67" s="262"/>
      <c r="AG67" s="1187"/>
      <c r="AH67" s="985"/>
      <c r="AI67" s="1192"/>
      <c r="AJ67" s="262"/>
      <c r="AK67" s="1187"/>
      <c r="AL67" s="982"/>
      <c r="AM67" s="982"/>
      <c r="AN67" s="262"/>
      <c r="AO67" s="1187"/>
      <c r="AP67" s="163">
        <f t="shared" si="10"/>
        <v>2</v>
      </c>
      <c r="AQ67" s="973">
        <f t="shared" si="10"/>
        <v>290.8</v>
      </c>
    </row>
    <row r="68" spans="1:43" s="704" customFormat="1" ht="22.5" thickBot="1">
      <c r="A68" s="966" t="s">
        <v>580</v>
      </c>
      <c r="B68" s="700">
        <v>2</v>
      </c>
      <c r="C68" s="701">
        <v>203.2</v>
      </c>
      <c r="D68" s="702"/>
      <c r="E68" s="701"/>
      <c r="F68" s="700"/>
      <c r="G68" s="701"/>
      <c r="H68" s="702"/>
      <c r="I68" s="1188"/>
      <c r="J68" s="703"/>
      <c r="M68" s="1188"/>
      <c r="O68" s="1188"/>
      <c r="Q68" s="1188"/>
      <c r="R68" s="702"/>
      <c r="S68" s="1188"/>
      <c r="T68" s="76"/>
      <c r="U68" s="458"/>
      <c r="V68" s="76"/>
      <c r="W68" s="458"/>
      <c r="X68" s="15"/>
      <c r="Y68" s="458"/>
      <c r="Z68" s="76">
        <v>5</v>
      </c>
      <c r="AA68" s="458">
        <v>155.1</v>
      </c>
      <c r="AB68" s="15"/>
      <c r="AC68" s="458"/>
      <c r="AD68" s="12">
        <v>3</v>
      </c>
      <c r="AE68" s="458">
        <v>306.5</v>
      </c>
      <c r="AF68" s="703"/>
      <c r="AG68" s="1190"/>
      <c r="AI68" s="1188"/>
      <c r="AJ68" s="703"/>
      <c r="AK68" s="1188"/>
      <c r="AL68" s="705"/>
      <c r="AM68" s="705"/>
      <c r="AN68" s="703"/>
      <c r="AO68" s="1188"/>
      <c r="AP68" s="89">
        <f t="shared" si="10"/>
        <v>10</v>
      </c>
      <c r="AQ68" s="972">
        <f t="shared" si="10"/>
        <v>664.8</v>
      </c>
    </row>
    <row r="69" spans="1:43" s="709" customFormat="1" ht="24.75" customHeight="1" thickBot="1">
      <c r="A69" s="707" t="s">
        <v>60</v>
      </c>
      <c r="B69" s="708">
        <f aca="true" t="shared" si="11" ref="B69:I69">SUM(B5:B68)</f>
        <v>80</v>
      </c>
      <c r="C69" s="706">
        <f t="shared" si="11"/>
        <v>8678.8</v>
      </c>
      <c r="D69" s="708">
        <f t="shared" si="11"/>
        <v>22</v>
      </c>
      <c r="E69" s="706">
        <f t="shared" si="11"/>
        <v>2165.2</v>
      </c>
      <c r="F69" s="708">
        <f t="shared" si="11"/>
        <v>36</v>
      </c>
      <c r="G69" s="706">
        <f t="shared" si="11"/>
        <v>8930.5</v>
      </c>
      <c r="H69" s="708">
        <f t="shared" si="11"/>
        <v>91</v>
      </c>
      <c r="I69" s="706">
        <f t="shared" si="11"/>
        <v>20378.7</v>
      </c>
      <c r="J69" s="708">
        <f>SUM(J5:J61)</f>
        <v>0</v>
      </c>
      <c r="K69" s="708">
        <f>SUM(K5:K61)</f>
        <v>0</v>
      </c>
      <c r="L69" s="708">
        <f aca="true" t="shared" si="12" ref="L69:AQ69">SUM(L5:L68)</f>
        <v>40</v>
      </c>
      <c r="M69" s="706">
        <f t="shared" si="12"/>
        <v>2309.7</v>
      </c>
      <c r="N69" s="708">
        <f t="shared" si="12"/>
        <v>19</v>
      </c>
      <c r="O69" s="706">
        <f t="shared" si="12"/>
        <v>1472.9</v>
      </c>
      <c r="P69" s="708">
        <f t="shared" si="12"/>
        <v>18</v>
      </c>
      <c r="Q69" s="706">
        <f t="shared" si="12"/>
        <v>6858.1</v>
      </c>
      <c r="R69" s="708">
        <f t="shared" si="12"/>
        <v>2</v>
      </c>
      <c r="S69" s="706">
        <f t="shared" si="12"/>
        <v>1766.3</v>
      </c>
      <c r="T69" s="708">
        <f t="shared" si="12"/>
        <v>1</v>
      </c>
      <c r="U69" s="706">
        <f t="shared" si="12"/>
        <v>2966.2000000000003</v>
      </c>
      <c r="V69" s="708">
        <f t="shared" si="12"/>
        <v>25</v>
      </c>
      <c r="W69" s="706">
        <f t="shared" si="12"/>
        <v>2546.1000000000004</v>
      </c>
      <c r="X69" s="708">
        <f t="shared" si="12"/>
        <v>24</v>
      </c>
      <c r="Y69" s="706">
        <f t="shared" si="12"/>
        <v>2811.2</v>
      </c>
      <c r="Z69" s="708">
        <f t="shared" si="12"/>
        <v>297</v>
      </c>
      <c r="AA69" s="706">
        <f t="shared" si="12"/>
        <v>27297.299999999996</v>
      </c>
      <c r="AB69" s="708">
        <f t="shared" si="12"/>
        <v>144</v>
      </c>
      <c r="AC69" s="706">
        <f t="shared" si="12"/>
        <v>21362.799999999996</v>
      </c>
      <c r="AD69" s="708">
        <f t="shared" si="12"/>
        <v>20</v>
      </c>
      <c r="AE69" s="706">
        <f t="shared" si="12"/>
        <v>12116.800000000001</v>
      </c>
      <c r="AF69" s="708">
        <f t="shared" si="12"/>
        <v>92</v>
      </c>
      <c r="AG69" s="706">
        <f t="shared" si="12"/>
        <v>12836.699999999999</v>
      </c>
      <c r="AH69" s="708">
        <f t="shared" si="12"/>
        <v>35</v>
      </c>
      <c r="AI69" s="706">
        <f t="shared" si="12"/>
        <v>5972.099999999999</v>
      </c>
      <c r="AJ69" s="708">
        <f t="shared" si="12"/>
        <v>103</v>
      </c>
      <c r="AK69" s="706">
        <f t="shared" si="12"/>
        <v>17705.899999999998</v>
      </c>
      <c r="AL69" s="708">
        <f t="shared" si="12"/>
        <v>9</v>
      </c>
      <c r="AM69" s="706">
        <f t="shared" si="12"/>
        <v>807</v>
      </c>
      <c r="AN69" s="708">
        <f t="shared" si="12"/>
        <v>19</v>
      </c>
      <c r="AO69" s="706">
        <f t="shared" si="12"/>
        <v>456.8</v>
      </c>
      <c r="AP69" s="708">
        <f t="shared" si="12"/>
        <v>1077</v>
      </c>
      <c r="AQ69" s="975">
        <f t="shared" si="12"/>
        <v>159439.09999999992</v>
      </c>
    </row>
    <row r="70" spans="1:43" s="136" customFormat="1" ht="20.25" customHeight="1">
      <c r="A70" s="8" t="s">
        <v>309</v>
      </c>
      <c r="B70" s="25"/>
      <c r="C70" s="457"/>
      <c r="D70" s="26"/>
      <c r="E70" s="457"/>
      <c r="F70" s="31"/>
      <c r="G70" s="460"/>
      <c r="H70" s="24"/>
      <c r="I70" s="457"/>
      <c r="J70" s="25"/>
      <c r="K70" s="457"/>
      <c r="L70" s="24"/>
      <c r="M70" s="457"/>
      <c r="N70" s="32"/>
      <c r="O70" s="377"/>
      <c r="P70" s="65"/>
      <c r="Q70" s="761"/>
      <c r="R70" s="65"/>
      <c r="S70" s="761"/>
      <c r="T70" s="65"/>
      <c r="U70" s="761"/>
      <c r="W70" s="762"/>
      <c r="Y70" s="762"/>
      <c r="AA70" s="762"/>
      <c r="AC70" s="762"/>
      <c r="AE70" s="762"/>
      <c r="AG70" s="762"/>
      <c r="AI70" s="762"/>
      <c r="AK70" s="762"/>
      <c r="AO70" s="762"/>
      <c r="AQ70" s="976"/>
    </row>
    <row r="71" spans="3:43" ht="24.75" customHeight="1">
      <c r="C71" s="313"/>
      <c r="E71" s="313"/>
      <c r="G71" s="313"/>
      <c r="I71" s="1159"/>
      <c r="M71" s="1159"/>
      <c r="O71" s="1159"/>
      <c r="Q71" s="1159"/>
      <c r="S71" s="1159"/>
      <c r="U71" s="1159"/>
      <c r="W71" s="1159"/>
      <c r="Y71" s="1159"/>
      <c r="AA71" s="1159"/>
      <c r="AC71" s="1159"/>
      <c r="AE71" s="1159"/>
      <c r="AG71" s="1159"/>
      <c r="AI71" s="1159"/>
      <c r="AK71" s="1159"/>
      <c r="AL71" s="313"/>
      <c r="AM71" s="313"/>
      <c r="AO71" s="1159"/>
      <c r="AQ71" s="441"/>
    </row>
    <row r="72" spans="3:43" ht="24" customHeight="1">
      <c r="C72" s="313"/>
      <c r="E72" s="313"/>
      <c r="G72" s="313"/>
      <c r="I72" s="1159"/>
      <c r="M72" s="1159"/>
      <c r="O72" s="1159"/>
      <c r="Q72" s="1159"/>
      <c r="S72" s="1159"/>
      <c r="U72" s="1159"/>
      <c r="W72" s="1159"/>
      <c r="Y72" s="1159"/>
      <c r="AA72" s="1159"/>
      <c r="AC72" s="1159"/>
      <c r="AE72" s="1159"/>
      <c r="AG72" s="1159"/>
      <c r="AI72" s="1159"/>
      <c r="AK72" s="1159"/>
      <c r="AL72" s="313"/>
      <c r="AM72" s="313"/>
      <c r="AO72" s="1159"/>
      <c r="AQ72" s="441"/>
    </row>
    <row r="73" spans="3:43" ht="23.25" customHeight="1">
      <c r="C73" s="416"/>
      <c r="E73" s="313"/>
      <c r="G73" s="313"/>
      <c r="I73" s="458"/>
      <c r="M73" s="1159"/>
      <c r="O73" s="1159"/>
      <c r="Q73" s="1159"/>
      <c r="S73" s="1159"/>
      <c r="U73" s="1159"/>
      <c r="W73" s="1159"/>
      <c r="Y73" s="1159"/>
      <c r="AA73" s="1159"/>
      <c r="AC73" s="1159"/>
      <c r="AE73" s="1159"/>
      <c r="AG73" s="1159"/>
      <c r="AI73" s="1159"/>
      <c r="AK73" s="1159"/>
      <c r="AL73" s="313"/>
      <c r="AM73" s="313"/>
      <c r="AO73" s="1159"/>
      <c r="AQ73" s="441"/>
    </row>
    <row r="74" spans="1:43" ht="21.75" customHeight="1">
      <c r="A74" t="s">
        <v>115</v>
      </c>
      <c r="C74" s="313"/>
      <c r="E74" s="313"/>
      <c r="G74" s="313"/>
      <c r="I74" s="1159"/>
      <c r="M74" s="1159"/>
      <c r="O74" s="1159"/>
      <c r="Q74" s="1159"/>
      <c r="S74" s="1159"/>
      <c r="U74" s="1159"/>
      <c r="W74" s="1159"/>
      <c r="Y74" s="1159"/>
      <c r="AA74" s="1159"/>
      <c r="AC74" s="1159"/>
      <c r="AE74" s="1159"/>
      <c r="AG74" s="1159"/>
      <c r="AI74" s="1159"/>
      <c r="AK74" s="1159"/>
      <c r="AL74" s="313"/>
      <c r="AM74" s="313"/>
      <c r="AO74" s="1159"/>
      <c r="AQ74" s="441"/>
    </row>
    <row r="75" spans="3:43" ht="21.75" customHeight="1">
      <c r="C75" s="313"/>
      <c r="E75" s="313"/>
      <c r="G75" s="313"/>
      <c r="I75" s="1159"/>
      <c r="M75" s="1159"/>
      <c r="O75" s="1159"/>
      <c r="Q75" s="1159"/>
      <c r="S75" s="1159"/>
      <c r="U75" s="1159"/>
      <c r="W75" s="1159"/>
      <c r="Y75" s="1159"/>
      <c r="AA75" s="1159"/>
      <c r="AC75" s="1159"/>
      <c r="AE75" s="1159"/>
      <c r="AG75" s="1159"/>
      <c r="AI75" s="1159"/>
      <c r="AK75" s="1159"/>
      <c r="AL75" s="313"/>
      <c r="AM75" s="313"/>
      <c r="AO75" s="1159"/>
      <c r="AQ75" s="441"/>
    </row>
    <row r="76" spans="3:43" ht="26.25" customHeight="1">
      <c r="C76" s="313"/>
      <c r="E76" s="313"/>
      <c r="G76" s="313"/>
      <c r="I76" s="1159"/>
      <c r="M76" s="1159"/>
      <c r="O76" s="1159"/>
      <c r="Q76" s="1159"/>
      <c r="S76" s="1159"/>
      <c r="U76" s="1159"/>
      <c r="W76" s="1159"/>
      <c r="Y76" s="1159"/>
      <c r="AA76" s="1159"/>
      <c r="AC76" s="1159"/>
      <c r="AE76" s="1159"/>
      <c r="AG76" s="1159"/>
      <c r="AI76" s="1159"/>
      <c r="AK76" s="1159"/>
      <c r="AL76" s="313"/>
      <c r="AM76" s="313"/>
      <c r="AO76" s="1159"/>
      <c r="AQ76" s="441"/>
    </row>
    <row r="77" spans="3:43" ht="23.25" customHeight="1">
      <c r="C77" s="313"/>
      <c r="E77" s="313"/>
      <c r="G77" s="313"/>
      <c r="I77" s="1159"/>
      <c r="M77" s="1159"/>
      <c r="O77" s="1159"/>
      <c r="Q77" s="1159"/>
      <c r="S77" s="1159"/>
      <c r="U77" s="1159"/>
      <c r="W77" s="1159"/>
      <c r="Y77" s="1159"/>
      <c r="AA77" s="1159"/>
      <c r="AC77" s="1159"/>
      <c r="AE77" s="1159"/>
      <c r="AG77" s="1159"/>
      <c r="AI77" s="1159"/>
      <c r="AK77" s="1159"/>
      <c r="AL77" s="313"/>
      <c r="AM77" s="313"/>
      <c r="AO77" s="1159"/>
      <c r="AQ77" s="441"/>
    </row>
    <row r="78" spans="3:43" ht="23.25" customHeight="1">
      <c r="C78" s="313"/>
      <c r="E78" s="313"/>
      <c r="G78" s="313"/>
      <c r="I78" s="1159"/>
      <c r="M78" s="1159"/>
      <c r="O78" s="1159"/>
      <c r="Q78" s="1159"/>
      <c r="S78" s="1159"/>
      <c r="U78" s="1159"/>
      <c r="W78" s="1159"/>
      <c r="Y78" s="1159"/>
      <c r="AA78" s="1159"/>
      <c r="AC78" s="1159"/>
      <c r="AE78" s="1159"/>
      <c r="AG78" s="1159"/>
      <c r="AI78" s="1159"/>
      <c r="AK78" s="1159"/>
      <c r="AL78" s="313"/>
      <c r="AM78" s="313"/>
      <c r="AO78" s="1159"/>
      <c r="AQ78" s="441"/>
    </row>
    <row r="79" spans="3:43" ht="23.25" customHeight="1">
      <c r="C79" s="313"/>
      <c r="E79" s="313"/>
      <c r="G79" s="313"/>
      <c r="I79" s="1159"/>
      <c r="M79" s="1159"/>
      <c r="O79" s="1159"/>
      <c r="Q79" s="1159"/>
      <c r="S79" s="1159"/>
      <c r="U79" s="1159"/>
      <c r="W79" s="1159"/>
      <c r="Y79" s="1159"/>
      <c r="AA79" s="1159"/>
      <c r="AC79" s="1159"/>
      <c r="AE79" s="1159"/>
      <c r="AG79" s="1159"/>
      <c r="AI79" s="1159"/>
      <c r="AK79" s="1159"/>
      <c r="AL79" s="313"/>
      <c r="AM79" s="313"/>
      <c r="AO79" s="1159"/>
      <c r="AQ79" s="441"/>
    </row>
    <row r="80" spans="3:43" ht="22.5" customHeight="1">
      <c r="C80" s="313"/>
      <c r="E80" s="313"/>
      <c r="G80" s="313"/>
      <c r="I80" s="1159"/>
      <c r="M80" s="1159"/>
      <c r="O80" s="1159"/>
      <c r="Q80" s="1159"/>
      <c r="S80" s="1159"/>
      <c r="U80" s="1159"/>
      <c r="W80" s="1159"/>
      <c r="Y80" s="1159"/>
      <c r="AA80" s="1159"/>
      <c r="AC80" s="1159"/>
      <c r="AE80" s="1159"/>
      <c r="AG80" s="1159"/>
      <c r="AI80" s="1159"/>
      <c r="AK80" s="1159"/>
      <c r="AL80" s="313"/>
      <c r="AM80" s="313"/>
      <c r="AO80" s="1159"/>
      <c r="AQ80" s="441"/>
    </row>
    <row r="81" spans="3:43" ht="24.75" customHeight="1">
      <c r="C81" s="313"/>
      <c r="E81" s="313"/>
      <c r="G81" s="313"/>
      <c r="I81" s="1159"/>
      <c r="M81" s="1159"/>
      <c r="O81" s="1159"/>
      <c r="Q81" s="1159"/>
      <c r="S81" s="1159"/>
      <c r="U81" s="1159"/>
      <c r="W81" s="1159"/>
      <c r="Y81" s="1159"/>
      <c r="AA81" s="1159"/>
      <c r="AC81" s="1159"/>
      <c r="AE81" s="1159"/>
      <c r="AG81" s="1159"/>
      <c r="AI81" s="1159"/>
      <c r="AK81" s="1159"/>
      <c r="AL81" s="313"/>
      <c r="AM81" s="313"/>
      <c r="AO81" s="1159"/>
      <c r="AQ81" s="441"/>
    </row>
    <row r="82" spans="3:43" ht="23.25" customHeight="1">
      <c r="C82" s="313"/>
      <c r="E82" s="313"/>
      <c r="G82" s="313"/>
      <c r="I82" s="1159"/>
      <c r="M82" s="1159"/>
      <c r="O82" s="1159"/>
      <c r="Q82" s="1159"/>
      <c r="S82" s="1159"/>
      <c r="U82" s="1159"/>
      <c r="W82" s="1159"/>
      <c r="Y82" s="1159"/>
      <c r="AA82" s="1159"/>
      <c r="AC82" s="1159"/>
      <c r="AE82" s="1159"/>
      <c r="AG82" s="1159"/>
      <c r="AI82" s="1159"/>
      <c r="AK82" s="1159"/>
      <c r="AL82" s="313"/>
      <c r="AM82" s="313"/>
      <c r="AO82" s="1159"/>
      <c r="AQ82" s="441"/>
    </row>
    <row r="83" spans="3:43" ht="23.25" customHeight="1">
      <c r="C83" s="313"/>
      <c r="E83" s="313"/>
      <c r="G83" s="313"/>
      <c r="I83" s="1159"/>
      <c r="M83" s="1159"/>
      <c r="O83" s="1159"/>
      <c r="Q83" s="1159"/>
      <c r="S83" s="1159"/>
      <c r="U83" s="1159"/>
      <c r="W83" s="1159"/>
      <c r="Y83" s="1159"/>
      <c r="AA83" s="1159"/>
      <c r="AC83" s="1159"/>
      <c r="AE83" s="1159"/>
      <c r="AG83" s="1159"/>
      <c r="AI83" s="1159"/>
      <c r="AK83" s="1159"/>
      <c r="AL83" s="313"/>
      <c r="AM83" s="313"/>
      <c r="AO83" s="1159"/>
      <c r="AQ83" s="441"/>
    </row>
    <row r="84" spans="3:43" ht="23.25" customHeight="1">
      <c r="C84" s="313"/>
      <c r="E84" s="313"/>
      <c r="G84" s="313"/>
      <c r="I84" s="1159"/>
      <c r="M84" s="1159"/>
      <c r="O84" s="1159"/>
      <c r="Q84" s="1159"/>
      <c r="S84" s="1159"/>
      <c r="U84" s="1159"/>
      <c r="W84" s="1159"/>
      <c r="Y84" s="1159"/>
      <c r="AA84" s="1159"/>
      <c r="AC84" s="1159"/>
      <c r="AE84" s="1159"/>
      <c r="AG84" s="1159"/>
      <c r="AI84" s="1159"/>
      <c r="AK84" s="1159"/>
      <c r="AL84" s="313"/>
      <c r="AM84" s="313"/>
      <c r="AO84" s="1159"/>
      <c r="AQ84" s="441"/>
    </row>
    <row r="85" spans="3:43" ht="23.25" customHeight="1">
      <c r="C85" s="313"/>
      <c r="E85" s="313"/>
      <c r="G85" s="313"/>
      <c r="I85" s="1159"/>
      <c r="M85" s="1159"/>
      <c r="O85" s="1159"/>
      <c r="Q85" s="1159"/>
      <c r="S85" s="1159"/>
      <c r="U85" s="1159"/>
      <c r="W85" s="1159"/>
      <c r="Y85" s="1159"/>
      <c r="AA85" s="1159"/>
      <c r="AC85" s="1159"/>
      <c r="AE85" s="1159"/>
      <c r="AG85" s="1159"/>
      <c r="AI85" s="1159"/>
      <c r="AK85" s="1159"/>
      <c r="AL85" s="313"/>
      <c r="AM85" s="313"/>
      <c r="AO85" s="1159"/>
      <c r="AQ85" s="441"/>
    </row>
    <row r="86" spans="3:43" ht="24.75" customHeight="1">
      <c r="C86" s="313"/>
      <c r="E86" s="313"/>
      <c r="G86" s="313"/>
      <c r="I86" s="1159"/>
      <c r="M86" s="1159"/>
      <c r="O86" s="1159"/>
      <c r="Q86" s="1159"/>
      <c r="S86" s="1159"/>
      <c r="U86" s="1159"/>
      <c r="W86" s="1159"/>
      <c r="Y86" s="1159"/>
      <c r="AA86" s="1159"/>
      <c r="AC86" s="1159"/>
      <c r="AE86" s="1159"/>
      <c r="AG86" s="1159"/>
      <c r="AI86" s="1159"/>
      <c r="AK86" s="1159"/>
      <c r="AL86" s="313"/>
      <c r="AM86" s="313"/>
      <c r="AO86" s="1159"/>
      <c r="AQ86" s="441"/>
    </row>
    <row r="87" spans="3:43" ht="24.75" customHeight="1">
      <c r="C87" s="313"/>
      <c r="E87" s="313"/>
      <c r="G87" s="313"/>
      <c r="I87" s="1159"/>
      <c r="M87" s="1159"/>
      <c r="O87" s="1159"/>
      <c r="Q87" s="1159"/>
      <c r="S87" s="1159"/>
      <c r="U87" s="1159"/>
      <c r="W87" s="1159"/>
      <c r="Y87" s="1159"/>
      <c r="AA87" s="1159"/>
      <c r="AC87" s="1159"/>
      <c r="AE87" s="1159"/>
      <c r="AG87" s="1159"/>
      <c r="AI87" s="1159"/>
      <c r="AK87" s="1159"/>
      <c r="AL87" s="313"/>
      <c r="AM87" s="313"/>
      <c r="AO87" s="1159"/>
      <c r="AQ87" s="441"/>
    </row>
    <row r="88" spans="3:43" ht="23.25" customHeight="1">
      <c r="C88" s="313"/>
      <c r="E88" s="313"/>
      <c r="G88" s="313"/>
      <c r="I88" s="1159"/>
      <c r="M88" s="1159"/>
      <c r="O88" s="1159"/>
      <c r="Q88" s="1159"/>
      <c r="S88" s="1159"/>
      <c r="U88" s="1159"/>
      <c r="W88" s="1159"/>
      <c r="Y88" s="1159"/>
      <c r="AA88" s="1159"/>
      <c r="AC88" s="1159"/>
      <c r="AE88" s="1159"/>
      <c r="AG88" s="1159"/>
      <c r="AI88" s="1159"/>
      <c r="AK88" s="1159"/>
      <c r="AL88" s="313"/>
      <c r="AM88" s="313"/>
      <c r="AO88" s="1159"/>
      <c r="AQ88" s="441"/>
    </row>
    <row r="89" spans="3:43" ht="23.25" customHeight="1">
      <c r="C89" s="313"/>
      <c r="E89" s="313"/>
      <c r="G89" s="313"/>
      <c r="I89" s="1159"/>
      <c r="M89" s="1159"/>
      <c r="O89" s="1159"/>
      <c r="Q89" s="1159"/>
      <c r="S89" s="1159"/>
      <c r="U89" s="1159"/>
      <c r="W89" s="1159"/>
      <c r="Y89" s="1159"/>
      <c r="AA89" s="1159"/>
      <c r="AC89" s="1159"/>
      <c r="AE89" s="1159"/>
      <c r="AG89" s="1159"/>
      <c r="AI89" s="1159"/>
      <c r="AK89" s="1159"/>
      <c r="AL89" s="313"/>
      <c r="AM89" s="313"/>
      <c r="AO89" s="1159"/>
      <c r="AQ89" s="441"/>
    </row>
    <row r="90" spans="3:43" ht="26.25" customHeight="1">
      <c r="C90" s="313"/>
      <c r="E90" s="313"/>
      <c r="G90" s="313"/>
      <c r="I90" s="1159"/>
      <c r="M90" s="1159"/>
      <c r="O90" s="1159"/>
      <c r="Q90" s="1159"/>
      <c r="S90" s="1159"/>
      <c r="U90" s="1159"/>
      <c r="W90" s="1159"/>
      <c r="Y90" s="1159"/>
      <c r="AA90" s="1159"/>
      <c r="AC90" s="1159"/>
      <c r="AE90" s="1159"/>
      <c r="AG90" s="1159"/>
      <c r="AI90" s="1159"/>
      <c r="AK90" s="1159"/>
      <c r="AL90" s="313"/>
      <c r="AM90" s="313"/>
      <c r="AO90" s="1159"/>
      <c r="AQ90" s="441"/>
    </row>
    <row r="91" spans="3:43" ht="23.25" customHeight="1">
      <c r="C91" s="313"/>
      <c r="E91" s="313"/>
      <c r="G91" s="313"/>
      <c r="I91" s="1159"/>
      <c r="M91" s="1159"/>
      <c r="O91" s="1159"/>
      <c r="Q91" s="1159"/>
      <c r="S91" s="1159"/>
      <c r="U91" s="1159"/>
      <c r="W91" s="1159"/>
      <c r="Y91" s="1159"/>
      <c r="AA91" s="1159"/>
      <c r="AC91" s="1159"/>
      <c r="AE91" s="1159"/>
      <c r="AG91" s="1159"/>
      <c r="AI91" s="1159"/>
      <c r="AK91" s="1159"/>
      <c r="AL91" s="313"/>
      <c r="AM91" s="313"/>
      <c r="AO91" s="1159"/>
      <c r="AQ91" s="441"/>
    </row>
    <row r="92" spans="3:43" ht="12.75">
      <c r="C92" s="313"/>
      <c r="E92" s="313"/>
      <c r="G92" s="313"/>
      <c r="I92" s="1159"/>
      <c r="M92" s="1159"/>
      <c r="O92" s="1159"/>
      <c r="Q92" s="1159"/>
      <c r="S92" s="1159"/>
      <c r="U92" s="1159"/>
      <c r="W92" s="1159"/>
      <c r="Y92" s="1159"/>
      <c r="AA92" s="1159"/>
      <c r="AC92" s="1159"/>
      <c r="AE92" s="1159"/>
      <c r="AG92" s="1159"/>
      <c r="AI92" s="1159"/>
      <c r="AK92" s="1159"/>
      <c r="AL92" s="313"/>
      <c r="AM92" s="313"/>
      <c r="AO92" s="1159"/>
      <c r="AQ92" s="441"/>
    </row>
    <row r="93" spans="3:43" ht="12.75">
      <c r="C93" s="313"/>
      <c r="E93" s="313"/>
      <c r="G93" s="313"/>
      <c r="I93" s="1159"/>
      <c r="M93" s="1159"/>
      <c r="O93" s="1159"/>
      <c r="Q93" s="1159"/>
      <c r="S93" s="1159"/>
      <c r="U93" s="1159"/>
      <c r="W93" s="1159"/>
      <c r="Y93" s="1159"/>
      <c r="AA93" s="1159"/>
      <c r="AC93" s="1159"/>
      <c r="AE93" s="1159"/>
      <c r="AG93" s="1159"/>
      <c r="AI93" s="1159"/>
      <c r="AK93" s="1159"/>
      <c r="AL93" s="313"/>
      <c r="AM93" s="313"/>
      <c r="AO93" s="1159"/>
      <c r="AQ93" s="441"/>
    </row>
    <row r="94" spans="3:43" ht="69" customHeight="1">
      <c r="C94" s="313"/>
      <c r="E94" s="313"/>
      <c r="G94" s="313"/>
      <c r="I94" s="1159"/>
      <c r="M94" s="1159"/>
      <c r="O94" s="1159"/>
      <c r="Q94" s="1159"/>
      <c r="S94" s="1159"/>
      <c r="U94" s="1159"/>
      <c r="W94" s="1159"/>
      <c r="Y94" s="1159"/>
      <c r="AA94" s="1159"/>
      <c r="AC94" s="1159"/>
      <c r="AE94" s="1159"/>
      <c r="AG94" s="1159"/>
      <c r="AI94" s="1159"/>
      <c r="AK94" s="1159"/>
      <c r="AL94" s="313"/>
      <c r="AM94" s="313"/>
      <c r="AO94" s="1159"/>
      <c r="AQ94" s="441"/>
    </row>
    <row r="95" spans="3:43" ht="21.75" customHeight="1">
      <c r="C95" s="313"/>
      <c r="E95" s="313"/>
      <c r="G95" s="313"/>
      <c r="I95" s="1159"/>
      <c r="M95" s="1159"/>
      <c r="O95" s="1159"/>
      <c r="Q95" s="1159"/>
      <c r="S95" s="1159"/>
      <c r="U95" s="1159"/>
      <c r="W95" s="1159"/>
      <c r="Y95" s="1159"/>
      <c r="AA95" s="1159"/>
      <c r="AC95" s="1159"/>
      <c r="AE95" s="1159"/>
      <c r="AG95" s="1159"/>
      <c r="AI95" s="1159"/>
      <c r="AK95" s="1159"/>
      <c r="AL95" s="313"/>
      <c r="AM95" s="313"/>
      <c r="AO95" s="1159"/>
      <c r="AQ95" s="441"/>
    </row>
    <row r="96" spans="3:43" ht="26.25" customHeight="1">
      <c r="C96" s="313"/>
      <c r="E96" s="313"/>
      <c r="G96" s="313"/>
      <c r="I96" s="1159"/>
      <c r="M96" s="1159"/>
      <c r="O96" s="1159"/>
      <c r="Q96" s="1159"/>
      <c r="S96" s="1159"/>
      <c r="U96" s="1159"/>
      <c r="W96" s="1159"/>
      <c r="Y96" s="1159"/>
      <c r="AA96" s="1159"/>
      <c r="AC96" s="1159"/>
      <c r="AE96" s="1159"/>
      <c r="AG96" s="1159"/>
      <c r="AI96" s="1159"/>
      <c r="AK96" s="1159"/>
      <c r="AL96" s="313"/>
      <c r="AM96" s="313"/>
      <c r="AO96" s="1159"/>
      <c r="AQ96" s="441"/>
    </row>
    <row r="97" spans="3:43" ht="20.25" customHeight="1">
      <c r="C97" s="313"/>
      <c r="E97" s="313"/>
      <c r="G97" s="313"/>
      <c r="I97" s="1159"/>
      <c r="M97" s="1159"/>
      <c r="O97" s="1159"/>
      <c r="Q97" s="1159"/>
      <c r="S97" s="1159"/>
      <c r="U97" s="1159"/>
      <c r="W97" s="1159"/>
      <c r="Y97" s="1159"/>
      <c r="AA97" s="1159"/>
      <c r="AC97" s="1159"/>
      <c r="AE97" s="1159"/>
      <c r="AG97" s="1159"/>
      <c r="AI97" s="1159"/>
      <c r="AK97" s="1159"/>
      <c r="AL97" s="313"/>
      <c r="AM97" s="313"/>
      <c r="AO97" s="1159"/>
      <c r="AQ97" s="441"/>
    </row>
    <row r="98" spans="3:43" ht="20.25" customHeight="1">
      <c r="C98" s="313"/>
      <c r="E98" s="313"/>
      <c r="G98" s="313"/>
      <c r="I98" s="1159"/>
      <c r="M98" s="1159"/>
      <c r="O98" s="1159"/>
      <c r="Q98" s="1159"/>
      <c r="S98" s="1159"/>
      <c r="U98" s="1159"/>
      <c r="W98" s="1159"/>
      <c r="Y98" s="1159"/>
      <c r="AA98" s="1159"/>
      <c r="AC98" s="1159"/>
      <c r="AE98" s="1159"/>
      <c r="AG98" s="1159"/>
      <c r="AI98" s="1159"/>
      <c r="AK98" s="1159"/>
      <c r="AL98" s="313"/>
      <c r="AM98" s="313"/>
      <c r="AO98" s="1159"/>
      <c r="AQ98" s="441"/>
    </row>
    <row r="99" spans="3:43" ht="20.25" customHeight="1">
      <c r="C99" s="313"/>
      <c r="E99" s="313"/>
      <c r="G99" s="313"/>
      <c r="I99" s="1159"/>
      <c r="M99" s="1159"/>
      <c r="O99" s="1159"/>
      <c r="Q99" s="1159"/>
      <c r="S99" s="1159"/>
      <c r="U99" s="1159"/>
      <c r="W99" s="1159"/>
      <c r="Y99" s="1159"/>
      <c r="AA99" s="1159"/>
      <c r="AC99" s="1159"/>
      <c r="AE99" s="1159"/>
      <c r="AG99" s="1159"/>
      <c r="AI99" s="1159"/>
      <c r="AK99" s="1159"/>
      <c r="AL99" s="313"/>
      <c r="AM99" s="313"/>
      <c r="AO99" s="1159"/>
      <c r="AQ99" s="441"/>
    </row>
    <row r="100" spans="3:43" ht="20.25" customHeight="1">
      <c r="C100" s="313"/>
      <c r="E100" s="313"/>
      <c r="G100" s="313"/>
      <c r="I100" s="1159"/>
      <c r="M100" s="1159"/>
      <c r="O100" s="1159"/>
      <c r="Q100" s="1159"/>
      <c r="S100" s="1159"/>
      <c r="U100" s="1159"/>
      <c r="W100" s="1159"/>
      <c r="Y100" s="1159"/>
      <c r="AA100" s="1159"/>
      <c r="AC100" s="1159"/>
      <c r="AE100" s="1159"/>
      <c r="AG100" s="1159"/>
      <c r="AI100" s="1159"/>
      <c r="AK100" s="1159"/>
      <c r="AL100" s="313"/>
      <c r="AM100" s="313"/>
      <c r="AO100" s="1159"/>
      <c r="AQ100" s="441"/>
    </row>
    <row r="101" spans="3:43" ht="20.25" customHeight="1">
      <c r="C101" s="313"/>
      <c r="E101" s="313"/>
      <c r="G101" s="313"/>
      <c r="I101" s="1159"/>
      <c r="M101" s="1159"/>
      <c r="O101" s="1159"/>
      <c r="Q101" s="1159"/>
      <c r="S101" s="1159"/>
      <c r="U101" s="1159"/>
      <c r="W101" s="1159"/>
      <c r="Y101" s="1159"/>
      <c r="AA101" s="1159"/>
      <c r="AC101" s="1159"/>
      <c r="AE101" s="1159"/>
      <c r="AG101" s="1159"/>
      <c r="AI101" s="1159"/>
      <c r="AK101" s="1159"/>
      <c r="AL101" s="313"/>
      <c r="AM101" s="313"/>
      <c r="AO101" s="1159"/>
      <c r="AQ101" s="441"/>
    </row>
    <row r="102" spans="3:43" ht="20.25" customHeight="1">
      <c r="C102" s="313"/>
      <c r="E102" s="313"/>
      <c r="G102" s="313"/>
      <c r="I102" s="1159"/>
      <c r="M102" s="1159"/>
      <c r="O102" s="1159"/>
      <c r="Q102" s="1159"/>
      <c r="S102" s="1159"/>
      <c r="U102" s="1159"/>
      <c r="W102" s="1159"/>
      <c r="Y102" s="1159"/>
      <c r="AA102" s="1159"/>
      <c r="AC102" s="1159"/>
      <c r="AE102" s="1159"/>
      <c r="AG102" s="1159"/>
      <c r="AI102" s="1159"/>
      <c r="AK102" s="1159"/>
      <c r="AL102" s="313"/>
      <c r="AM102" s="313"/>
      <c r="AO102" s="1159"/>
      <c r="AQ102" s="441"/>
    </row>
    <row r="103" spans="3:43" ht="21.75" customHeight="1">
      <c r="C103" s="313"/>
      <c r="E103" s="313"/>
      <c r="G103" s="313"/>
      <c r="I103" s="1159"/>
      <c r="M103" s="1159"/>
      <c r="O103" s="1159"/>
      <c r="Q103" s="1159"/>
      <c r="S103" s="1159"/>
      <c r="U103" s="1159"/>
      <c r="W103" s="1159"/>
      <c r="Y103" s="1159"/>
      <c r="AA103" s="1159"/>
      <c r="AC103" s="1159"/>
      <c r="AE103" s="1159"/>
      <c r="AG103" s="1159"/>
      <c r="AI103" s="1159"/>
      <c r="AK103" s="1159"/>
      <c r="AL103" s="313"/>
      <c r="AM103" s="313"/>
      <c r="AO103" s="1159"/>
      <c r="AQ103" s="441"/>
    </row>
    <row r="104" spans="3:43" ht="24" customHeight="1">
      <c r="C104" s="313"/>
      <c r="E104" s="313"/>
      <c r="G104" s="313"/>
      <c r="I104" s="1159"/>
      <c r="M104" s="1159"/>
      <c r="O104" s="1159"/>
      <c r="Q104" s="1159"/>
      <c r="S104" s="1159"/>
      <c r="U104" s="1159"/>
      <c r="W104" s="1159"/>
      <c r="Y104" s="1159"/>
      <c r="AA104" s="1159"/>
      <c r="AC104" s="1159"/>
      <c r="AE104" s="1159"/>
      <c r="AG104" s="1159"/>
      <c r="AI104" s="1159"/>
      <c r="AK104" s="1159"/>
      <c r="AL104" s="313"/>
      <c r="AM104" s="313"/>
      <c r="AO104" s="1159"/>
      <c r="AQ104" s="441"/>
    </row>
    <row r="105" spans="3:43" ht="12.75">
      <c r="C105" s="313"/>
      <c r="E105" s="313"/>
      <c r="G105" s="313"/>
      <c r="I105" s="1159"/>
      <c r="M105" s="1159"/>
      <c r="O105" s="1159"/>
      <c r="Q105" s="1159"/>
      <c r="S105" s="1159"/>
      <c r="U105" s="1159"/>
      <c r="W105" s="1159"/>
      <c r="Y105" s="1159"/>
      <c r="AA105" s="1159"/>
      <c r="AC105" s="1159"/>
      <c r="AE105" s="1159"/>
      <c r="AG105" s="1159"/>
      <c r="AI105" s="1159"/>
      <c r="AK105" s="1159"/>
      <c r="AL105" s="313"/>
      <c r="AM105" s="313"/>
      <c r="AO105" s="1159"/>
      <c r="AQ105" s="441"/>
    </row>
    <row r="106" spans="3:43" ht="27" customHeight="1">
      <c r="C106" s="313"/>
      <c r="E106" s="313"/>
      <c r="G106" s="313"/>
      <c r="I106" s="1159"/>
      <c r="M106" s="1159"/>
      <c r="O106" s="1159"/>
      <c r="Q106" s="1159"/>
      <c r="S106" s="1159"/>
      <c r="U106" s="1159"/>
      <c r="W106" s="1159"/>
      <c r="Y106" s="1159"/>
      <c r="AA106" s="1159"/>
      <c r="AC106" s="1159"/>
      <c r="AE106" s="1159"/>
      <c r="AG106" s="1159"/>
      <c r="AI106" s="1159"/>
      <c r="AK106" s="1159"/>
      <c r="AL106" s="313"/>
      <c r="AM106" s="313"/>
      <c r="AO106" s="1159"/>
      <c r="AQ106" s="441"/>
    </row>
    <row r="107" spans="3:43" ht="69" customHeight="1">
      <c r="C107" s="313"/>
      <c r="E107" s="313"/>
      <c r="G107" s="313"/>
      <c r="I107" s="1159"/>
      <c r="M107" s="1159"/>
      <c r="O107" s="1159"/>
      <c r="Q107" s="1159"/>
      <c r="S107" s="1159"/>
      <c r="U107" s="1159"/>
      <c r="W107" s="1159"/>
      <c r="Y107" s="1159"/>
      <c r="AA107" s="1159"/>
      <c r="AC107" s="1159"/>
      <c r="AE107" s="1159"/>
      <c r="AG107" s="1159"/>
      <c r="AI107" s="1159"/>
      <c r="AK107" s="1159"/>
      <c r="AL107" s="313"/>
      <c r="AM107" s="313"/>
      <c r="AO107" s="1159"/>
      <c r="AQ107" s="441"/>
    </row>
    <row r="108" spans="3:43" ht="21.75" customHeight="1">
      <c r="C108" s="313"/>
      <c r="E108" s="313"/>
      <c r="G108" s="313"/>
      <c r="I108" s="1159"/>
      <c r="M108" s="1159"/>
      <c r="O108" s="1159"/>
      <c r="Q108" s="1159"/>
      <c r="S108" s="1159"/>
      <c r="U108" s="1159"/>
      <c r="W108" s="1159"/>
      <c r="Y108" s="1159"/>
      <c r="AA108" s="1159"/>
      <c r="AC108" s="1159"/>
      <c r="AE108" s="1159"/>
      <c r="AG108" s="1159"/>
      <c r="AI108" s="1159"/>
      <c r="AK108" s="1159"/>
      <c r="AL108" s="313"/>
      <c r="AM108" s="313"/>
      <c r="AO108" s="1159"/>
      <c r="AQ108" s="441"/>
    </row>
    <row r="109" spans="3:43" ht="26.25" customHeight="1">
      <c r="C109" s="313"/>
      <c r="E109" s="313"/>
      <c r="G109" s="313"/>
      <c r="I109" s="1159"/>
      <c r="M109" s="1159"/>
      <c r="O109" s="1159"/>
      <c r="Q109" s="1159"/>
      <c r="S109" s="1159"/>
      <c r="U109" s="1159"/>
      <c r="W109" s="1159"/>
      <c r="Y109" s="1159"/>
      <c r="AA109" s="1159"/>
      <c r="AC109" s="1159"/>
      <c r="AE109" s="1159"/>
      <c r="AG109" s="1159"/>
      <c r="AI109" s="1159"/>
      <c r="AK109" s="1159"/>
      <c r="AL109" s="313"/>
      <c r="AM109" s="313"/>
      <c r="AO109" s="1159"/>
      <c r="AQ109" s="441"/>
    </row>
    <row r="110" spans="3:43" ht="20.25" customHeight="1">
      <c r="C110" s="313"/>
      <c r="E110" s="313"/>
      <c r="G110" s="313"/>
      <c r="I110" s="1159"/>
      <c r="M110" s="1159"/>
      <c r="O110" s="1159"/>
      <c r="Q110" s="1159"/>
      <c r="S110" s="1159"/>
      <c r="U110" s="1159"/>
      <c r="W110" s="1159"/>
      <c r="Y110" s="1159"/>
      <c r="AA110" s="1159"/>
      <c r="AC110" s="1159"/>
      <c r="AE110" s="1159"/>
      <c r="AG110" s="1159"/>
      <c r="AI110" s="1159"/>
      <c r="AK110" s="1159"/>
      <c r="AL110" s="313"/>
      <c r="AM110" s="313"/>
      <c r="AO110" s="1159"/>
      <c r="AQ110" s="441"/>
    </row>
    <row r="111" spans="3:43" ht="20.25" customHeight="1">
      <c r="C111" s="313"/>
      <c r="E111" s="313"/>
      <c r="G111" s="313"/>
      <c r="I111" s="1159"/>
      <c r="M111" s="1159"/>
      <c r="O111" s="1159"/>
      <c r="Q111" s="1159"/>
      <c r="S111" s="1159"/>
      <c r="U111" s="1159"/>
      <c r="W111" s="1159"/>
      <c r="Y111" s="1159"/>
      <c r="AA111" s="1159"/>
      <c r="AC111" s="1159"/>
      <c r="AE111" s="1159"/>
      <c r="AG111" s="1159"/>
      <c r="AI111" s="1159"/>
      <c r="AK111" s="1159"/>
      <c r="AL111" s="313"/>
      <c r="AM111" s="313"/>
      <c r="AO111" s="1159"/>
      <c r="AQ111" s="441"/>
    </row>
    <row r="112" spans="3:43" s="133" customFormat="1" ht="20.25" customHeight="1">
      <c r="C112" s="349"/>
      <c r="E112" s="349"/>
      <c r="G112" s="349"/>
      <c r="I112" s="1189"/>
      <c r="M112" s="1189"/>
      <c r="O112" s="1189"/>
      <c r="Q112" s="1189"/>
      <c r="S112" s="1189"/>
      <c r="U112" s="1189"/>
      <c r="W112" s="1189"/>
      <c r="Y112" s="1189"/>
      <c r="AA112" s="1189"/>
      <c r="AC112" s="1189"/>
      <c r="AE112" s="1189"/>
      <c r="AG112" s="1189"/>
      <c r="AI112" s="1189"/>
      <c r="AK112" s="1189"/>
      <c r="AL112" s="349"/>
      <c r="AM112" s="349"/>
      <c r="AO112" s="1189"/>
      <c r="AQ112" s="977"/>
    </row>
    <row r="113" spans="3:43" s="133" customFormat="1" ht="20.25" customHeight="1">
      <c r="C113" s="349"/>
      <c r="E113" s="349"/>
      <c r="G113" s="349"/>
      <c r="I113" s="1189"/>
      <c r="M113" s="1189"/>
      <c r="O113" s="1189"/>
      <c r="Q113" s="1189"/>
      <c r="S113" s="1189"/>
      <c r="U113" s="1189"/>
      <c r="W113" s="1189"/>
      <c r="Y113" s="1189"/>
      <c r="AA113" s="1189"/>
      <c r="AC113" s="1189"/>
      <c r="AE113" s="1189"/>
      <c r="AG113" s="1189"/>
      <c r="AI113" s="1189"/>
      <c r="AK113" s="1189"/>
      <c r="AL113" s="349"/>
      <c r="AM113" s="349"/>
      <c r="AO113" s="1189"/>
      <c r="AQ113" s="977"/>
    </row>
    <row r="114" spans="3:43" s="133" customFormat="1" ht="20.25" customHeight="1">
      <c r="C114" s="349"/>
      <c r="E114" s="349"/>
      <c r="G114" s="349"/>
      <c r="I114" s="1189"/>
      <c r="M114" s="1189"/>
      <c r="O114" s="1189"/>
      <c r="Q114" s="1189"/>
      <c r="S114" s="1189"/>
      <c r="U114" s="1189"/>
      <c r="W114" s="1189"/>
      <c r="Y114" s="1189"/>
      <c r="AA114" s="1189"/>
      <c r="AC114" s="1189"/>
      <c r="AE114" s="1189"/>
      <c r="AG114" s="1189"/>
      <c r="AI114" s="1189"/>
      <c r="AK114" s="1189"/>
      <c r="AL114" s="349"/>
      <c r="AM114" s="349"/>
      <c r="AO114" s="1189"/>
      <c r="AQ114" s="977"/>
    </row>
    <row r="115" spans="3:43" s="133" customFormat="1" ht="20.25" customHeight="1">
      <c r="C115" s="349"/>
      <c r="E115" s="349"/>
      <c r="G115" s="349"/>
      <c r="I115" s="1189"/>
      <c r="M115" s="1189"/>
      <c r="O115" s="1189"/>
      <c r="Q115" s="1189"/>
      <c r="S115" s="1189"/>
      <c r="U115" s="1189"/>
      <c r="W115" s="1189"/>
      <c r="Y115" s="1189"/>
      <c r="AA115" s="1189"/>
      <c r="AC115" s="1189"/>
      <c r="AE115" s="1189"/>
      <c r="AG115" s="1189"/>
      <c r="AI115" s="1189"/>
      <c r="AK115" s="1189"/>
      <c r="AL115" s="349"/>
      <c r="AM115" s="349"/>
      <c r="AO115" s="1189"/>
      <c r="AQ115" s="977"/>
    </row>
    <row r="116" spans="3:43" s="133" customFormat="1" ht="20.25" customHeight="1">
      <c r="C116" s="349"/>
      <c r="E116" s="349"/>
      <c r="G116" s="349"/>
      <c r="I116" s="1189"/>
      <c r="M116" s="1189"/>
      <c r="O116" s="1189"/>
      <c r="Q116" s="1189"/>
      <c r="S116" s="1189"/>
      <c r="U116" s="1189"/>
      <c r="W116" s="1189"/>
      <c r="Y116" s="1189"/>
      <c r="AA116" s="1189"/>
      <c r="AC116" s="1189"/>
      <c r="AE116" s="1189"/>
      <c r="AG116" s="1189"/>
      <c r="AI116" s="1189"/>
      <c r="AK116" s="1189"/>
      <c r="AL116" s="349"/>
      <c r="AM116" s="349"/>
      <c r="AO116" s="1189"/>
      <c r="AQ116" s="977"/>
    </row>
    <row r="117" spans="3:43" s="133" customFormat="1" ht="24" customHeight="1">
      <c r="C117" s="349"/>
      <c r="E117" s="349"/>
      <c r="G117" s="349"/>
      <c r="I117" s="1189"/>
      <c r="M117" s="1189"/>
      <c r="O117" s="1189"/>
      <c r="Q117" s="1189"/>
      <c r="S117" s="1189"/>
      <c r="U117" s="1189"/>
      <c r="W117" s="1189"/>
      <c r="Y117" s="1189"/>
      <c r="AA117" s="1189"/>
      <c r="AC117" s="1189"/>
      <c r="AE117" s="1189"/>
      <c r="AG117" s="1189"/>
      <c r="AI117" s="1189"/>
      <c r="AK117" s="1189"/>
      <c r="AL117" s="349"/>
      <c r="AM117" s="349"/>
      <c r="AO117" s="1189"/>
      <c r="AQ117" s="977"/>
    </row>
    <row r="118" spans="3:43" s="133" customFormat="1" ht="12.75">
      <c r="C118" s="349"/>
      <c r="E118" s="349"/>
      <c r="G118" s="349"/>
      <c r="I118" s="1189"/>
      <c r="M118" s="1189"/>
      <c r="O118" s="1189"/>
      <c r="Q118" s="1189"/>
      <c r="S118" s="1189"/>
      <c r="U118" s="1189"/>
      <c r="W118" s="1189"/>
      <c r="Y118" s="1189"/>
      <c r="AA118" s="1189"/>
      <c r="AC118" s="1189"/>
      <c r="AE118" s="1189"/>
      <c r="AG118" s="1189"/>
      <c r="AI118" s="1189"/>
      <c r="AK118" s="1189"/>
      <c r="AL118" s="349"/>
      <c r="AM118" s="349"/>
      <c r="AO118" s="1189"/>
      <c r="AQ118" s="977"/>
    </row>
    <row r="119" spans="3:43" s="133" customFormat="1" ht="12.75">
      <c r="C119" s="349"/>
      <c r="E119" s="349"/>
      <c r="G119" s="349"/>
      <c r="I119" s="1189"/>
      <c r="M119" s="1189"/>
      <c r="O119" s="1189"/>
      <c r="Q119" s="1189"/>
      <c r="S119" s="1189"/>
      <c r="U119" s="1189"/>
      <c r="W119" s="1189"/>
      <c r="Y119" s="1189"/>
      <c r="AA119" s="1189"/>
      <c r="AC119" s="1189"/>
      <c r="AE119" s="1189"/>
      <c r="AG119" s="1189"/>
      <c r="AI119" s="1189"/>
      <c r="AK119" s="1189"/>
      <c r="AL119" s="349"/>
      <c r="AM119" s="349"/>
      <c r="AO119" s="1189"/>
      <c r="AQ119" s="977"/>
    </row>
    <row r="120" spans="3:43" s="133" customFormat="1" ht="69" customHeight="1">
      <c r="C120" s="349"/>
      <c r="E120" s="349"/>
      <c r="G120" s="349"/>
      <c r="I120" s="1189"/>
      <c r="M120" s="1189"/>
      <c r="O120" s="1189"/>
      <c r="Q120" s="1189"/>
      <c r="S120" s="1189"/>
      <c r="U120" s="1189"/>
      <c r="W120" s="1189"/>
      <c r="Y120" s="1189"/>
      <c r="AA120" s="1189"/>
      <c r="AC120" s="1189"/>
      <c r="AE120" s="1189"/>
      <c r="AG120" s="1189"/>
      <c r="AI120" s="1189"/>
      <c r="AK120" s="1189"/>
      <c r="AL120" s="349"/>
      <c r="AM120" s="349"/>
      <c r="AO120" s="1189"/>
      <c r="AQ120" s="977"/>
    </row>
    <row r="121" spans="3:43" s="133" customFormat="1" ht="21.75" customHeight="1">
      <c r="C121" s="349"/>
      <c r="E121" s="349"/>
      <c r="G121" s="349"/>
      <c r="I121" s="1189"/>
      <c r="M121" s="1189"/>
      <c r="O121" s="1189"/>
      <c r="Q121" s="1189"/>
      <c r="S121" s="1189"/>
      <c r="U121" s="1189"/>
      <c r="W121" s="1189"/>
      <c r="Y121" s="1189"/>
      <c r="AA121" s="1189"/>
      <c r="AC121" s="1189"/>
      <c r="AE121" s="1189"/>
      <c r="AG121" s="1189"/>
      <c r="AI121" s="1189"/>
      <c r="AK121" s="1189"/>
      <c r="AL121" s="349"/>
      <c r="AM121" s="349"/>
      <c r="AO121" s="1189"/>
      <c r="AQ121" s="977"/>
    </row>
    <row r="122" spans="3:43" s="133" customFormat="1" ht="27" customHeight="1">
      <c r="C122" s="349"/>
      <c r="E122" s="349"/>
      <c r="G122" s="349"/>
      <c r="I122" s="1189"/>
      <c r="M122" s="1189"/>
      <c r="O122" s="1189"/>
      <c r="Q122" s="1189"/>
      <c r="S122" s="1189"/>
      <c r="U122" s="1189"/>
      <c r="W122" s="1189"/>
      <c r="Y122" s="1189"/>
      <c r="AA122" s="1189"/>
      <c r="AC122" s="1189"/>
      <c r="AE122" s="1189"/>
      <c r="AG122" s="1189"/>
      <c r="AI122" s="1189"/>
      <c r="AK122" s="1189"/>
      <c r="AL122" s="349"/>
      <c r="AM122" s="349"/>
      <c r="AO122" s="1189"/>
      <c r="AQ122" s="977"/>
    </row>
    <row r="123" spans="3:43" s="133" customFormat="1" ht="21" customHeight="1">
      <c r="C123" s="349"/>
      <c r="E123" s="349"/>
      <c r="G123" s="349"/>
      <c r="I123" s="1189"/>
      <c r="M123" s="1189"/>
      <c r="O123" s="1189"/>
      <c r="Q123" s="1189"/>
      <c r="S123" s="1189"/>
      <c r="U123" s="1189"/>
      <c r="W123" s="1189"/>
      <c r="Y123" s="1189"/>
      <c r="AA123" s="1189"/>
      <c r="AC123" s="1189"/>
      <c r="AE123" s="1189"/>
      <c r="AG123" s="1189"/>
      <c r="AI123" s="1189"/>
      <c r="AK123" s="1189"/>
      <c r="AL123" s="349"/>
      <c r="AM123" s="349"/>
      <c r="AO123" s="1189"/>
      <c r="AQ123" s="977"/>
    </row>
    <row r="124" spans="3:43" s="133" customFormat="1" ht="20.25" customHeight="1">
      <c r="C124" s="349"/>
      <c r="E124" s="349"/>
      <c r="G124" s="349"/>
      <c r="I124" s="1189"/>
      <c r="M124" s="1189"/>
      <c r="O124" s="1189"/>
      <c r="Q124" s="1189"/>
      <c r="S124" s="1189"/>
      <c r="U124" s="1189"/>
      <c r="W124" s="1189"/>
      <c r="Y124" s="1189"/>
      <c r="AA124" s="1189"/>
      <c r="AC124" s="1189"/>
      <c r="AE124" s="1189"/>
      <c r="AG124" s="1189"/>
      <c r="AI124" s="1189"/>
      <c r="AK124" s="1189"/>
      <c r="AL124" s="349"/>
      <c r="AM124" s="349"/>
      <c r="AO124" s="1189"/>
      <c r="AQ124" s="977"/>
    </row>
    <row r="125" spans="3:43" s="133" customFormat="1" ht="20.25" customHeight="1">
      <c r="C125" s="349"/>
      <c r="E125" s="349"/>
      <c r="G125" s="349"/>
      <c r="I125" s="1189"/>
      <c r="M125" s="1189"/>
      <c r="O125" s="1189"/>
      <c r="Q125" s="1189"/>
      <c r="S125" s="1189"/>
      <c r="U125" s="1189"/>
      <c r="W125" s="1189"/>
      <c r="Y125" s="1189"/>
      <c r="AA125" s="1189"/>
      <c r="AC125" s="1189"/>
      <c r="AE125" s="1189"/>
      <c r="AG125" s="1189"/>
      <c r="AI125" s="1189"/>
      <c r="AK125" s="1189"/>
      <c r="AL125" s="349"/>
      <c r="AM125" s="349"/>
      <c r="AO125" s="1189"/>
      <c r="AQ125" s="977"/>
    </row>
    <row r="126" spans="3:43" s="133" customFormat="1" ht="20.25" customHeight="1">
      <c r="C126" s="349"/>
      <c r="E126" s="349"/>
      <c r="G126" s="349"/>
      <c r="I126" s="1189"/>
      <c r="M126" s="1189"/>
      <c r="O126" s="1189"/>
      <c r="Q126" s="1189"/>
      <c r="S126" s="1189"/>
      <c r="U126" s="1189"/>
      <c r="W126" s="1189"/>
      <c r="Y126" s="1189"/>
      <c r="AA126" s="1189"/>
      <c r="AC126" s="1189"/>
      <c r="AE126" s="1189"/>
      <c r="AG126" s="1189"/>
      <c r="AI126" s="1189"/>
      <c r="AK126" s="1189"/>
      <c r="AL126" s="349"/>
      <c r="AM126" s="349"/>
      <c r="AO126" s="1189"/>
      <c r="AQ126" s="977"/>
    </row>
    <row r="127" spans="3:43" s="133" customFormat="1" ht="20.25" customHeight="1">
      <c r="C127" s="349"/>
      <c r="E127" s="349"/>
      <c r="G127" s="349"/>
      <c r="I127" s="1189"/>
      <c r="M127" s="1189"/>
      <c r="O127" s="1189"/>
      <c r="Q127" s="1189"/>
      <c r="S127" s="1189"/>
      <c r="U127" s="1189"/>
      <c r="W127" s="1189"/>
      <c r="Y127" s="1189"/>
      <c r="AA127" s="1189"/>
      <c r="AC127" s="1189"/>
      <c r="AE127" s="1189"/>
      <c r="AG127" s="1189"/>
      <c r="AI127" s="1189"/>
      <c r="AK127" s="1189"/>
      <c r="AL127" s="349"/>
      <c r="AM127" s="349"/>
      <c r="AO127" s="1189"/>
      <c r="AQ127" s="977"/>
    </row>
    <row r="128" spans="3:43" s="133" customFormat="1" ht="21.75" customHeight="1">
      <c r="C128" s="349"/>
      <c r="E128" s="349"/>
      <c r="G128" s="349"/>
      <c r="I128" s="1189"/>
      <c r="M128" s="1189"/>
      <c r="O128" s="1189"/>
      <c r="Q128" s="1189"/>
      <c r="S128" s="1189"/>
      <c r="U128" s="1189"/>
      <c r="W128" s="1189"/>
      <c r="Y128" s="1189"/>
      <c r="AA128" s="1189"/>
      <c r="AC128" s="1189"/>
      <c r="AE128" s="1189"/>
      <c r="AG128" s="1189"/>
      <c r="AI128" s="1189"/>
      <c r="AK128" s="1189"/>
      <c r="AL128" s="349"/>
      <c r="AM128" s="349"/>
      <c r="AO128" s="1189"/>
      <c r="AQ128" s="977"/>
    </row>
    <row r="129" spans="3:43" s="133" customFormat="1" ht="20.25" customHeight="1">
      <c r="C129" s="349"/>
      <c r="E129" s="349"/>
      <c r="G129" s="349"/>
      <c r="I129" s="1189"/>
      <c r="M129" s="1189"/>
      <c r="O129" s="1189"/>
      <c r="Q129" s="1189"/>
      <c r="S129" s="1189"/>
      <c r="U129" s="1189"/>
      <c r="W129" s="1189"/>
      <c r="Y129" s="1189"/>
      <c r="AA129" s="1189"/>
      <c r="AC129" s="1189"/>
      <c r="AE129" s="1189"/>
      <c r="AG129" s="1189"/>
      <c r="AI129" s="1189"/>
      <c r="AK129" s="1189"/>
      <c r="AL129" s="349"/>
      <c r="AM129" s="349"/>
      <c r="AO129" s="1189"/>
      <c r="AQ129" s="977"/>
    </row>
    <row r="130" spans="3:43" s="133" customFormat="1" ht="24" customHeight="1">
      <c r="C130" s="349"/>
      <c r="E130" s="349"/>
      <c r="G130" s="349"/>
      <c r="I130" s="1189"/>
      <c r="M130" s="1189"/>
      <c r="O130" s="1189"/>
      <c r="Q130" s="1189"/>
      <c r="S130" s="1189"/>
      <c r="U130" s="1189"/>
      <c r="W130" s="1189"/>
      <c r="Y130" s="1189"/>
      <c r="AA130" s="1189"/>
      <c r="AC130" s="1189"/>
      <c r="AE130" s="1189"/>
      <c r="AG130" s="1189"/>
      <c r="AI130" s="1189"/>
      <c r="AK130" s="1189"/>
      <c r="AL130" s="349"/>
      <c r="AM130" s="349"/>
      <c r="AO130" s="1189"/>
      <c r="AQ130" s="977"/>
    </row>
    <row r="131" spans="3:43" s="133" customFormat="1" ht="12.75">
      <c r="C131" s="349"/>
      <c r="E131" s="349"/>
      <c r="G131" s="349"/>
      <c r="I131" s="1189"/>
      <c r="M131" s="1189"/>
      <c r="O131" s="1189"/>
      <c r="Q131" s="1189"/>
      <c r="S131" s="1189"/>
      <c r="U131" s="1189"/>
      <c r="W131" s="1189"/>
      <c r="Y131" s="1189"/>
      <c r="AA131" s="1189"/>
      <c r="AC131" s="1189"/>
      <c r="AE131" s="1189"/>
      <c r="AG131" s="1189"/>
      <c r="AI131" s="1189"/>
      <c r="AK131" s="1189"/>
      <c r="AL131" s="349"/>
      <c r="AM131" s="349"/>
      <c r="AO131" s="1189"/>
      <c r="AQ131" s="977"/>
    </row>
    <row r="132" spans="3:43" s="133" customFormat="1" ht="12.75">
      <c r="C132" s="349"/>
      <c r="E132" s="349"/>
      <c r="G132" s="349"/>
      <c r="I132" s="1189"/>
      <c r="M132" s="1189"/>
      <c r="O132" s="1189"/>
      <c r="Q132" s="1189"/>
      <c r="S132" s="1189"/>
      <c r="U132" s="1189"/>
      <c r="W132" s="1189"/>
      <c r="Y132" s="1189"/>
      <c r="AA132" s="1189"/>
      <c r="AC132" s="1189"/>
      <c r="AE132" s="1189"/>
      <c r="AG132" s="1189"/>
      <c r="AI132" s="1189"/>
      <c r="AK132" s="1189"/>
      <c r="AL132" s="349"/>
      <c r="AM132" s="349"/>
      <c r="AO132" s="1189"/>
      <c r="AQ132" s="977"/>
    </row>
  </sheetData>
  <sheetProtection/>
  <mergeCells count="22">
    <mergeCell ref="AP2:AQ2"/>
    <mergeCell ref="AH2:AI2"/>
    <mergeCell ref="AF2:AG2"/>
    <mergeCell ref="AJ2:AK2"/>
    <mergeCell ref="AD2:AE2"/>
    <mergeCell ref="X2:Y2"/>
    <mergeCell ref="AL2:AM2"/>
    <mergeCell ref="T2:U2"/>
    <mergeCell ref="V2:W2"/>
    <mergeCell ref="L2:M2"/>
    <mergeCell ref="AN2:AO2"/>
    <mergeCell ref="AB2:AC2"/>
    <mergeCell ref="P2:Q2"/>
    <mergeCell ref="Z2:AA2"/>
    <mergeCell ref="R2:S2"/>
    <mergeCell ref="F2:G2"/>
    <mergeCell ref="H2:I2"/>
    <mergeCell ref="J2:K2"/>
    <mergeCell ref="N2:O2"/>
    <mergeCell ref="A2:A3"/>
    <mergeCell ref="B2:C2"/>
    <mergeCell ref="D2:E2"/>
  </mergeCells>
  <printOptions/>
  <pageMargins left="0" right="0" top="0.7874015748031497" bottom="0.2362204724409449" header="0.5511811023622047" footer="0.5118110236220472"/>
  <pageSetup horizontalDpi="600" verticalDpi="600" orientation="landscape" paperSize="9" scale="95" r:id="rId1"/>
  <headerFooter alignWithMargins="0">
    <oddHeader>&amp;L&amp;"Arial,Bold"&amp;9Appendix IV : Fellowship (IR) under Bilateral Programme (TICP FY2013)
</oddHeader>
  </headerFooter>
</worksheet>
</file>

<file path=xl/worksheets/sheet5.xml><?xml version="1.0" encoding="utf-8"?>
<worksheet xmlns="http://schemas.openxmlformats.org/spreadsheetml/2006/main" xmlns:r="http://schemas.openxmlformats.org/officeDocument/2006/relationships">
  <sheetPr>
    <tabColor indexed="14"/>
  </sheetPr>
  <dimension ref="A1:L136"/>
  <sheetViews>
    <sheetView zoomScalePageLayoutView="0" workbookViewId="0" topLeftCell="A1">
      <pane xSplit="3" ySplit="3" topLeftCell="D64" activePane="bottomRight" state="frozen"/>
      <selection pane="topLeft" activeCell="A1" sqref="A1"/>
      <selection pane="topRight" activeCell="D1" sqref="D1"/>
      <selection pane="bottomLeft" activeCell="A4" sqref="A4"/>
      <selection pane="bottomRight" activeCell="J62" sqref="J62"/>
    </sheetView>
  </sheetViews>
  <sheetFormatPr defaultColWidth="9.140625" defaultRowHeight="12.75"/>
  <cols>
    <col min="1" max="1" width="20.8515625" style="295" customWidth="1"/>
    <col min="2" max="2" width="3.140625" style="257" customWidth="1"/>
    <col min="3" max="3" width="53.57421875" style="295" customWidth="1"/>
    <col min="4" max="4" width="5.00390625" style="619" customWidth="1"/>
    <col min="5" max="5" width="9.140625" style="606" customWidth="1"/>
    <col min="6" max="6" width="4.421875" style="619" customWidth="1"/>
    <col min="7" max="7" width="9.140625" style="606" customWidth="1"/>
    <col min="8" max="8" width="4.8515625" style="620" customWidth="1"/>
    <col min="9" max="9" width="9.00390625" style="606" customWidth="1"/>
    <col min="10" max="10" width="9.140625" style="606" customWidth="1"/>
    <col min="11" max="11" width="9.57421875" style="606" customWidth="1"/>
    <col min="12" max="12" width="10.00390625" style="606" customWidth="1"/>
    <col min="13" max="16384" width="9.140625" style="295" customWidth="1"/>
  </cols>
  <sheetData>
    <row r="1" spans="1:11" ht="23.25" thickBot="1">
      <c r="A1" s="579" t="s">
        <v>327</v>
      </c>
      <c r="B1" s="638"/>
      <c r="C1" s="604"/>
      <c r="D1" s="562"/>
      <c r="E1" s="561"/>
      <c r="F1" s="562"/>
      <c r="G1" s="561"/>
      <c r="H1" s="605"/>
      <c r="K1" s="453" t="s">
        <v>101</v>
      </c>
    </row>
    <row r="2" spans="1:12" s="621" customFormat="1" ht="22.5" thickBot="1">
      <c r="A2" s="1283" t="s">
        <v>1</v>
      </c>
      <c r="B2" s="1285"/>
      <c r="C2" s="1283" t="s">
        <v>102</v>
      </c>
      <c r="D2" s="1278" t="s">
        <v>118</v>
      </c>
      <c r="E2" s="1278"/>
      <c r="F2" s="1278" t="s">
        <v>66</v>
      </c>
      <c r="G2" s="1278"/>
      <c r="H2" s="1278" t="s">
        <v>67</v>
      </c>
      <c r="I2" s="1278"/>
      <c r="J2" s="1279" t="s">
        <v>63</v>
      </c>
      <c r="K2" s="1281" t="s">
        <v>64</v>
      </c>
      <c r="L2" s="1281" t="s">
        <v>65</v>
      </c>
    </row>
    <row r="3" spans="1:12" s="621" customFormat="1" ht="29.25" customHeight="1" thickBot="1">
      <c r="A3" s="1284"/>
      <c r="B3" s="1286"/>
      <c r="C3" s="1287"/>
      <c r="D3" s="580" t="s">
        <v>10</v>
      </c>
      <c r="E3" s="581" t="s">
        <v>9</v>
      </c>
      <c r="F3" s="772" t="s">
        <v>10</v>
      </c>
      <c r="G3" s="990" t="s">
        <v>9</v>
      </c>
      <c r="H3" s="772" t="s">
        <v>10</v>
      </c>
      <c r="I3" s="990" t="s">
        <v>9</v>
      </c>
      <c r="J3" s="1280"/>
      <c r="K3" s="1282"/>
      <c r="L3" s="1282"/>
    </row>
    <row r="4" spans="1:12" s="621" customFormat="1" ht="29.25" customHeight="1">
      <c r="A4" s="568" t="s">
        <v>473</v>
      </c>
      <c r="B4" s="639"/>
      <c r="C4" s="591" t="s">
        <v>105</v>
      </c>
      <c r="D4" s="582"/>
      <c r="E4" s="583"/>
      <c r="F4" s="1023"/>
      <c r="G4" s="1024"/>
      <c r="H4" s="1023"/>
      <c r="I4" s="1024"/>
      <c r="J4" s="1025"/>
      <c r="K4" s="1026"/>
      <c r="L4" s="1026"/>
    </row>
    <row r="5" spans="1:12" s="621" customFormat="1" ht="21.75">
      <c r="A5" s="600" t="s">
        <v>474</v>
      </c>
      <c r="B5" s="639">
        <v>1</v>
      </c>
      <c r="C5" s="1000" t="s">
        <v>475</v>
      </c>
      <c r="D5" s="1101">
        <v>2</v>
      </c>
      <c r="E5" s="1001">
        <v>59.7</v>
      </c>
      <c r="F5" s="1102"/>
      <c r="G5" s="1103"/>
      <c r="H5" s="1104"/>
      <c r="I5" s="1105"/>
      <c r="J5" s="1027"/>
      <c r="K5" s="1032"/>
      <c r="L5" s="1027">
        <f>SUM(E5+G5+I5+J5)</f>
        <v>59.7</v>
      </c>
    </row>
    <row r="6" spans="1:12" s="621" customFormat="1" ht="24.75" customHeight="1">
      <c r="A6" s="600"/>
      <c r="B6" s="639">
        <v>2</v>
      </c>
      <c r="C6" s="1000" t="s">
        <v>478</v>
      </c>
      <c r="D6" s="1101">
        <v>1</v>
      </c>
      <c r="E6" s="1001">
        <v>0.4</v>
      </c>
      <c r="F6" s="1102"/>
      <c r="G6" s="1103"/>
      <c r="H6" s="1104"/>
      <c r="I6" s="1105"/>
      <c r="J6" s="1027"/>
      <c r="K6" s="1032"/>
      <c r="L6" s="1027">
        <f>SUM(E6+G6+I6+J6)</f>
        <v>0.4</v>
      </c>
    </row>
    <row r="7" spans="1:12" s="621" customFormat="1" ht="24.75" customHeight="1">
      <c r="A7" s="600"/>
      <c r="B7" s="639">
        <v>3</v>
      </c>
      <c r="C7" s="1000" t="s">
        <v>483</v>
      </c>
      <c r="D7" s="1101"/>
      <c r="E7" s="1001"/>
      <c r="F7" s="1102"/>
      <c r="G7" s="1103"/>
      <c r="H7" s="1104">
        <v>2</v>
      </c>
      <c r="I7" s="1105">
        <v>244.5</v>
      </c>
      <c r="J7" s="1027"/>
      <c r="K7" s="1032">
        <f>D7</f>
        <v>0</v>
      </c>
      <c r="L7" s="1027">
        <f>SUM(E7+G7+I7+J7)</f>
        <v>244.5</v>
      </c>
    </row>
    <row r="8" spans="1:12" s="621" customFormat="1" ht="21.75">
      <c r="A8" s="600" t="s">
        <v>476</v>
      </c>
      <c r="B8" s="639">
        <v>4</v>
      </c>
      <c r="C8" s="1000" t="s">
        <v>477</v>
      </c>
      <c r="D8" s="1101">
        <v>6</v>
      </c>
      <c r="E8" s="1001">
        <v>130.2</v>
      </c>
      <c r="F8" s="1102"/>
      <c r="G8" s="1103"/>
      <c r="H8" s="1104">
        <f>3</f>
        <v>3</v>
      </c>
      <c r="I8" s="1105">
        <v>365.8</v>
      </c>
      <c r="J8" s="1027"/>
      <c r="K8" s="1027"/>
      <c r="L8" s="1027">
        <f>SUM(E8+G8+I8+J8)</f>
        <v>496</v>
      </c>
    </row>
    <row r="9" spans="1:12" s="621" customFormat="1" ht="25.5" customHeight="1">
      <c r="A9" s="622"/>
      <c r="B9" s="640"/>
      <c r="C9" s="587" t="s">
        <v>106</v>
      </c>
      <c r="D9" s="589">
        <f>SUM(D5:D8)</f>
        <v>9</v>
      </c>
      <c r="E9" s="1022">
        <f aca="true" t="shared" si="0" ref="E9:L9">SUM(E5:E8)</f>
        <v>190.29999999999998</v>
      </c>
      <c r="F9" s="589">
        <f t="shared" si="0"/>
        <v>0</v>
      </c>
      <c r="G9" s="589">
        <f t="shared" si="0"/>
        <v>0</v>
      </c>
      <c r="H9" s="589">
        <f t="shared" si="0"/>
        <v>5</v>
      </c>
      <c r="I9" s="1022">
        <f t="shared" si="0"/>
        <v>610.3</v>
      </c>
      <c r="J9" s="589">
        <f t="shared" si="0"/>
        <v>0</v>
      </c>
      <c r="K9" s="1022">
        <f t="shared" si="0"/>
        <v>0</v>
      </c>
      <c r="L9" s="1022">
        <f t="shared" si="0"/>
        <v>800.6</v>
      </c>
    </row>
    <row r="10" spans="1:12" s="621" customFormat="1" ht="29.25" customHeight="1">
      <c r="A10" s="568" t="s">
        <v>459</v>
      </c>
      <c r="B10" s="639"/>
      <c r="C10" s="591" t="s">
        <v>105</v>
      </c>
      <c r="D10" s="582"/>
      <c r="E10" s="583"/>
      <c r="F10" s="1023"/>
      <c r="G10" s="1024"/>
      <c r="H10" s="1023"/>
      <c r="I10" s="1024"/>
      <c r="J10" s="1025"/>
      <c r="K10" s="1026"/>
      <c r="L10" s="1026"/>
    </row>
    <row r="11" spans="1:12" s="621" customFormat="1" ht="40.5">
      <c r="A11" s="569" t="s">
        <v>197</v>
      </c>
      <c r="B11" s="639">
        <v>5</v>
      </c>
      <c r="C11" s="1000" t="s">
        <v>460</v>
      </c>
      <c r="D11" s="1028"/>
      <c r="E11" s="1029"/>
      <c r="F11" s="1030"/>
      <c r="G11" s="1031"/>
      <c r="H11" s="1104">
        <v>67</v>
      </c>
      <c r="I11" s="1105">
        <v>5335.7</v>
      </c>
      <c r="J11" s="1001">
        <v>565.7</v>
      </c>
      <c r="K11" s="1031"/>
      <c r="L11" s="1027">
        <f>SUM(E11+G11+I11+J11)</f>
        <v>5901.4</v>
      </c>
    </row>
    <row r="12" spans="1:12" s="621" customFormat="1" ht="25.5" customHeight="1">
      <c r="A12" s="622"/>
      <c r="B12" s="640"/>
      <c r="C12" s="587" t="s">
        <v>106</v>
      </c>
      <c r="D12" s="589">
        <f>SUM(D11)</f>
        <v>0</v>
      </c>
      <c r="E12" s="589">
        <f aca="true" t="shared" si="1" ref="E12:L12">SUM(E11)</f>
        <v>0</v>
      </c>
      <c r="F12" s="589">
        <f t="shared" si="1"/>
        <v>0</v>
      </c>
      <c r="G12" s="589">
        <f t="shared" si="1"/>
        <v>0</v>
      </c>
      <c r="H12" s="589">
        <f t="shared" si="1"/>
        <v>67</v>
      </c>
      <c r="I12" s="1022">
        <f t="shared" si="1"/>
        <v>5335.7</v>
      </c>
      <c r="J12" s="1022">
        <f t="shared" si="1"/>
        <v>565.7</v>
      </c>
      <c r="K12" s="589">
        <f t="shared" si="1"/>
        <v>0</v>
      </c>
      <c r="L12" s="1022">
        <f t="shared" si="1"/>
        <v>5901.4</v>
      </c>
    </row>
    <row r="13" spans="1:12" s="621" customFormat="1" ht="21.75">
      <c r="A13" s="568" t="s">
        <v>170</v>
      </c>
      <c r="B13" s="641"/>
      <c r="C13" s="591" t="s">
        <v>105</v>
      </c>
      <c r="D13" s="623"/>
      <c r="E13" s="592"/>
      <c r="F13" s="623"/>
      <c r="G13" s="592"/>
      <c r="H13" s="624"/>
      <c r="I13" s="592"/>
      <c r="J13" s="592"/>
      <c r="K13" s="592"/>
      <c r="L13" s="592"/>
    </row>
    <row r="14" spans="1:12" s="621" customFormat="1" ht="25.5" customHeight="1">
      <c r="A14" s="569" t="s">
        <v>273</v>
      </c>
      <c r="B14" s="639">
        <v>6</v>
      </c>
      <c r="C14" s="1033" t="s">
        <v>465</v>
      </c>
      <c r="D14" s="1108"/>
      <c r="E14" s="1106"/>
      <c r="F14" s="1108"/>
      <c r="G14" s="1106"/>
      <c r="H14" s="1109">
        <v>1</v>
      </c>
      <c r="I14" s="1106">
        <v>10.3</v>
      </c>
      <c r="J14" s="583"/>
      <c r="K14" s="583"/>
      <c r="L14" s="1180">
        <f>SUM(E14,G14,I14,J14,K14)</f>
        <v>10.3</v>
      </c>
    </row>
    <row r="15" spans="1:12" s="607" customFormat="1" ht="42.75" customHeight="1">
      <c r="A15" s="569" t="s">
        <v>246</v>
      </c>
      <c r="B15" s="593">
        <v>7</v>
      </c>
      <c r="C15" s="696" t="s">
        <v>245</v>
      </c>
      <c r="D15" s="1101">
        <v>2</v>
      </c>
      <c r="E15" s="1001">
        <v>331.3</v>
      </c>
      <c r="F15" s="1101">
        <v>0</v>
      </c>
      <c r="G15" s="1001">
        <v>306.6</v>
      </c>
      <c r="H15" s="1107"/>
      <c r="I15" s="1010"/>
      <c r="J15" s="609"/>
      <c r="K15" s="586" t="s">
        <v>12</v>
      </c>
      <c r="L15" s="1180">
        <f>SUM(E15,G15,I15,J15,K15)</f>
        <v>637.9000000000001</v>
      </c>
    </row>
    <row r="16" spans="1:12" s="607" customFormat="1" ht="25.5" customHeight="1">
      <c r="A16" s="569" t="s">
        <v>455</v>
      </c>
      <c r="B16" s="593">
        <v>8</v>
      </c>
      <c r="C16" s="696" t="s">
        <v>247</v>
      </c>
      <c r="D16" s="1101"/>
      <c r="E16" s="1001"/>
      <c r="F16" s="1101"/>
      <c r="G16" s="1001"/>
      <c r="H16" s="1107">
        <v>16</v>
      </c>
      <c r="I16" s="1010">
        <v>2376.1</v>
      </c>
      <c r="J16" s="609"/>
      <c r="K16" s="586"/>
      <c r="L16" s="1180">
        <f>SUM(E16,G16,I16,J16,K16)</f>
        <v>2376.1</v>
      </c>
    </row>
    <row r="17" spans="1:12" s="607" customFormat="1" ht="24" customHeight="1">
      <c r="A17" s="905"/>
      <c r="B17" s="593">
        <v>9</v>
      </c>
      <c r="C17" s="1002" t="s">
        <v>461</v>
      </c>
      <c r="D17" s="1108"/>
      <c r="E17" s="1106"/>
      <c r="F17" s="1108"/>
      <c r="G17" s="1106"/>
      <c r="H17" s="1109">
        <v>11</v>
      </c>
      <c r="I17" s="1106">
        <v>184.8</v>
      </c>
      <c r="J17" s="613"/>
      <c r="K17" s="613"/>
      <c r="L17" s="1180">
        <f>SUM(E17,G17,I17,J17,K17)</f>
        <v>184.8</v>
      </c>
    </row>
    <row r="18" spans="1:12" s="607" customFormat="1" ht="42" customHeight="1">
      <c r="A18" s="569" t="s">
        <v>197</v>
      </c>
      <c r="B18" s="593">
        <v>10</v>
      </c>
      <c r="C18" s="1011" t="s">
        <v>458</v>
      </c>
      <c r="D18" s="1101">
        <f>4+4</f>
        <v>8</v>
      </c>
      <c r="E18" s="1001">
        <v>544.9</v>
      </c>
      <c r="F18" s="1101"/>
      <c r="G18" s="1001"/>
      <c r="H18" s="1107">
        <v>12</v>
      </c>
      <c r="I18" s="1010">
        <v>932.7</v>
      </c>
      <c r="J18" s="609"/>
      <c r="K18" s="586" t="s">
        <v>12</v>
      </c>
      <c r="L18" s="1180">
        <f>SUM(E18,G18,I18,J18,K18)</f>
        <v>1477.6</v>
      </c>
    </row>
    <row r="19" spans="1:12" s="621" customFormat="1" ht="25.5" customHeight="1">
      <c r="A19" s="622"/>
      <c r="B19" s="640"/>
      <c r="C19" s="587" t="s">
        <v>106</v>
      </c>
      <c r="D19" s="589">
        <f aca="true" t="shared" si="2" ref="D19:L19">SUM(D14:D18)</f>
        <v>10</v>
      </c>
      <c r="E19" s="1022">
        <f t="shared" si="2"/>
        <v>876.2</v>
      </c>
      <c r="F19" s="589">
        <f t="shared" si="2"/>
        <v>0</v>
      </c>
      <c r="G19" s="1022">
        <f t="shared" si="2"/>
        <v>306.6</v>
      </c>
      <c r="H19" s="589">
        <f t="shared" si="2"/>
        <v>40</v>
      </c>
      <c r="I19" s="1022">
        <f t="shared" si="2"/>
        <v>3503.9000000000005</v>
      </c>
      <c r="J19" s="589">
        <f t="shared" si="2"/>
        <v>0</v>
      </c>
      <c r="K19" s="589">
        <f t="shared" si="2"/>
        <v>0</v>
      </c>
      <c r="L19" s="1022">
        <f t="shared" si="2"/>
        <v>4686.700000000001</v>
      </c>
    </row>
    <row r="20" spans="1:12" s="621" customFormat="1" ht="21.75">
      <c r="A20" s="568" t="s">
        <v>103</v>
      </c>
      <c r="B20" s="641"/>
      <c r="C20" s="568" t="s">
        <v>104</v>
      </c>
      <c r="D20" s="625"/>
      <c r="E20" s="626"/>
      <c r="F20" s="625"/>
      <c r="G20" s="626"/>
      <c r="H20" s="627"/>
      <c r="I20" s="626"/>
      <c r="J20" s="626"/>
      <c r="K20" s="626"/>
      <c r="L20" s="596"/>
    </row>
    <row r="21" spans="1:12" s="610" customFormat="1" ht="60.75">
      <c r="A21" s="570" t="s">
        <v>161</v>
      </c>
      <c r="B21" s="585">
        <v>11</v>
      </c>
      <c r="C21" s="569" t="s">
        <v>541</v>
      </c>
      <c r="D21" s="1101"/>
      <c r="E21" s="1001"/>
      <c r="F21" s="1101"/>
      <c r="G21" s="1001">
        <v>299</v>
      </c>
      <c r="H21" s="1089"/>
      <c r="I21" s="1001"/>
      <c r="J21" s="1001" t="s">
        <v>12</v>
      </c>
      <c r="K21" s="1001">
        <v>27857.1</v>
      </c>
      <c r="L21" s="1180">
        <f>SUM(E21,G21,I21,J21,K21)</f>
        <v>28156.1</v>
      </c>
    </row>
    <row r="22" spans="1:12" s="610" customFormat="1" ht="21.75">
      <c r="A22" s="569" t="s">
        <v>162</v>
      </c>
      <c r="B22" s="610">
        <v>12</v>
      </c>
      <c r="C22" s="610" t="s">
        <v>268</v>
      </c>
      <c r="D22" s="1110"/>
      <c r="E22" s="1110"/>
      <c r="F22" s="1110"/>
      <c r="G22" s="1110"/>
      <c r="H22" s="1110"/>
      <c r="I22" s="1110"/>
      <c r="J22" s="1110"/>
      <c r="K22" s="1111">
        <v>6000</v>
      </c>
      <c r="L22" s="1180">
        <f>SUM(E22,G22,I22,J22,K22)</f>
        <v>6000</v>
      </c>
    </row>
    <row r="23" spans="1:12" s="1091" customFormat="1" ht="42">
      <c r="A23" s="569" t="s">
        <v>197</v>
      </c>
      <c r="B23" s="585">
        <v>13</v>
      </c>
      <c r="C23" s="1000" t="s">
        <v>542</v>
      </c>
      <c r="D23" s="1101"/>
      <c r="E23" s="1001"/>
      <c r="F23" s="1101"/>
      <c r="G23" s="1101"/>
      <c r="H23" s="1089"/>
      <c r="I23" s="1101"/>
      <c r="J23" s="1010">
        <v>10.1</v>
      </c>
      <c r="K23" s="1010"/>
      <c r="L23" s="1180">
        <f>SUM(E23,G23,I23,J23,K23)</f>
        <v>10.1</v>
      </c>
    </row>
    <row r="24" spans="1:12" s="300" customFormat="1" ht="21.75">
      <c r="A24" s="569"/>
      <c r="B24" s="628"/>
      <c r="C24" s="591" t="s">
        <v>105</v>
      </c>
      <c r="D24" s="1112"/>
      <c r="E24" s="1010"/>
      <c r="F24" s="1112"/>
      <c r="G24" s="1010"/>
      <c r="H24" s="1107"/>
      <c r="I24" s="1010"/>
      <c r="J24" s="1010"/>
      <c r="K24" s="1010"/>
      <c r="L24" s="1180"/>
    </row>
    <row r="25" spans="1:12" s="300" customFormat="1" ht="21.75">
      <c r="A25" s="600" t="s">
        <v>601</v>
      </c>
      <c r="B25" s="628">
        <v>14</v>
      </c>
      <c r="C25" s="1003" t="s">
        <v>389</v>
      </c>
      <c r="D25" s="1112"/>
      <c r="E25" s="1010"/>
      <c r="F25" s="1112"/>
      <c r="G25" s="1010"/>
      <c r="H25" s="1107"/>
      <c r="I25" s="1010"/>
      <c r="J25" s="1010"/>
      <c r="K25" s="1010">
        <v>164.2</v>
      </c>
      <c r="L25" s="1180">
        <f aca="true" t="shared" si="3" ref="L25:L33">SUM(E25,G25,I25,J25,K25)</f>
        <v>164.2</v>
      </c>
    </row>
    <row r="26" spans="1:12" s="300" customFormat="1" ht="21.75">
      <c r="A26" s="570" t="s">
        <v>275</v>
      </c>
      <c r="B26" s="585">
        <v>15</v>
      </c>
      <c r="C26" s="575" t="s">
        <v>218</v>
      </c>
      <c r="D26" s="1101"/>
      <c r="E26" s="1001"/>
      <c r="F26" s="1101">
        <v>2</v>
      </c>
      <c r="G26" s="1001">
        <v>674</v>
      </c>
      <c r="H26" s="1089">
        <v>2</v>
      </c>
      <c r="I26" s="1001">
        <v>2064.8</v>
      </c>
      <c r="J26" s="1001">
        <v>19.4</v>
      </c>
      <c r="K26" s="1001"/>
      <c r="L26" s="1180">
        <f t="shared" si="3"/>
        <v>2758.2000000000003</v>
      </c>
    </row>
    <row r="27" spans="1:12" s="300" customFormat="1" ht="42">
      <c r="A27" s="611"/>
      <c r="B27" s="585">
        <v>16</v>
      </c>
      <c r="C27" s="1003" t="s">
        <v>388</v>
      </c>
      <c r="D27" s="1101"/>
      <c r="E27" s="1001"/>
      <c r="F27" s="1101"/>
      <c r="G27" s="1001"/>
      <c r="H27" s="1089">
        <v>2</v>
      </c>
      <c r="I27" s="1001">
        <v>6.3</v>
      </c>
      <c r="J27" s="1001"/>
      <c r="K27" s="1001"/>
      <c r="L27" s="1180">
        <f t="shared" si="3"/>
        <v>6.3</v>
      </c>
    </row>
    <row r="28" spans="1:12" s="300" customFormat="1" ht="42">
      <c r="A28" s="611"/>
      <c r="B28" s="585">
        <v>17</v>
      </c>
      <c r="C28" s="1014" t="s">
        <v>398</v>
      </c>
      <c r="D28" s="1101">
        <v>6</v>
      </c>
      <c r="E28" s="1001">
        <v>198</v>
      </c>
      <c r="F28" s="1101"/>
      <c r="G28" s="1001"/>
      <c r="H28" s="1089"/>
      <c r="I28" s="1001"/>
      <c r="J28" s="1001"/>
      <c r="K28" s="1001"/>
      <c r="L28" s="1180">
        <f t="shared" si="3"/>
        <v>198</v>
      </c>
    </row>
    <row r="29" spans="1:12" s="300" customFormat="1" ht="21.75">
      <c r="A29" s="600" t="s">
        <v>276</v>
      </c>
      <c r="B29" s="628">
        <v>18</v>
      </c>
      <c r="C29" s="300" t="s">
        <v>267</v>
      </c>
      <c r="D29" s="1112"/>
      <c r="E29" s="1010"/>
      <c r="F29" s="1112"/>
      <c r="G29" s="1010"/>
      <c r="H29" s="1107">
        <v>6</v>
      </c>
      <c r="I29" s="1010">
        <v>134.9</v>
      </c>
      <c r="J29" s="1010"/>
      <c r="K29" s="1010"/>
      <c r="L29" s="1180">
        <f t="shared" si="3"/>
        <v>134.9</v>
      </c>
    </row>
    <row r="30" spans="1:12" s="300" customFormat="1" ht="19.5" customHeight="1">
      <c r="A30" s="569" t="s">
        <v>162</v>
      </c>
      <c r="B30" s="628">
        <v>19</v>
      </c>
      <c r="C30" s="300" t="s">
        <v>266</v>
      </c>
      <c r="D30" s="1112"/>
      <c r="E30" s="1010"/>
      <c r="F30" s="1112"/>
      <c r="G30" s="1010"/>
      <c r="H30" s="1107">
        <v>5</v>
      </c>
      <c r="I30" s="1010">
        <v>771.2</v>
      </c>
      <c r="J30" s="1010"/>
      <c r="K30" s="1010"/>
      <c r="L30" s="1180">
        <f t="shared" si="3"/>
        <v>771.2</v>
      </c>
    </row>
    <row r="31" spans="1:12" s="300" customFormat="1" ht="23.25" customHeight="1">
      <c r="A31" s="1275" t="s">
        <v>197</v>
      </c>
      <c r="B31" s="628">
        <v>20</v>
      </c>
      <c r="C31" s="1009" t="s">
        <v>386</v>
      </c>
      <c r="D31" s="1112"/>
      <c r="E31" s="1010"/>
      <c r="F31" s="1112"/>
      <c r="G31" s="1010"/>
      <c r="H31" s="1107"/>
      <c r="I31" s="1010"/>
      <c r="J31" s="1010"/>
      <c r="K31" s="1010">
        <v>880</v>
      </c>
      <c r="L31" s="1180">
        <f t="shared" si="3"/>
        <v>880</v>
      </c>
    </row>
    <row r="32" spans="1:12" s="300" customFormat="1" ht="39.75" customHeight="1">
      <c r="A32" s="1276"/>
      <c r="B32" s="628">
        <v>21</v>
      </c>
      <c r="C32" s="1009" t="s">
        <v>387</v>
      </c>
      <c r="D32" s="1112"/>
      <c r="E32" s="1010"/>
      <c r="F32" s="1112"/>
      <c r="G32" s="1010"/>
      <c r="H32" s="1107">
        <v>5</v>
      </c>
      <c r="I32" s="1010">
        <v>964.8</v>
      </c>
      <c r="J32" s="1010"/>
      <c r="K32" s="1010"/>
      <c r="L32" s="1180">
        <f t="shared" si="3"/>
        <v>964.8</v>
      </c>
    </row>
    <row r="33" spans="1:12" s="300" customFormat="1" ht="21" customHeight="1">
      <c r="A33" s="600"/>
      <c r="B33" s="628">
        <v>22</v>
      </c>
      <c r="C33" s="1009" t="s">
        <v>390</v>
      </c>
      <c r="D33" s="1112"/>
      <c r="E33" s="1010"/>
      <c r="F33" s="1112"/>
      <c r="G33" s="1010"/>
      <c r="H33" s="1107"/>
      <c r="I33" s="1010"/>
      <c r="J33" s="1010"/>
      <c r="K33" s="1010">
        <v>185.1</v>
      </c>
      <c r="L33" s="1180">
        <f t="shared" si="3"/>
        <v>185.1</v>
      </c>
    </row>
    <row r="34" spans="1:12" s="621" customFormat="1" ht="21.75">
      <c r="A34" s="622"/>
      <c r="B34" s="640"/>
      <c r="C34" s="587" t="s">
        <v>106</v>
      </c>
      <c r="D34" s="590">
        <f>SUM(D21:D33)</f>
        <v>6</v>
      </c>
      <c r="E34" s="588">
        <f aca="true" t="shared" si="4" ref="E34:L34">SUM(E21:E33)</f>
        <v>198</v>
      </c>
      <c r="F34" s="590">
        <f t="shared" si="4"/>
        <v>2</v>
      </c>
      <c r="G34" s="588">
        <f t="shared" si="4"/>
        <v>973</v>
      </c>
      <c r="H34" s="590">
        <f t="shared" si="4"/>
        <v>20</v>
      </c>
      <c r="I34" s="588">
        <f t="shared" si="4"/>
        <v>3942.000000000001</v>
      </c>
      <c r="J34" s="588">
        <f t="shared" si="4"/>
        <v>29.5</v>
      </c>
      <c r="K34" s="588">
        <f t="shared" si="4"/>
        <v>35086.399999999994</v>
      </c>
      <c r="L34" s="588">
        <f t="shared" si="4"/>
        <v>40228.899999999994</v>
      </c>
    </row>
    <row r="35" spans="1:12" s="621" customFormat="1" ht="21.75">
      <c r="A35" s="591" t="s">
        <v>204</v>
      </c>
      <c r="B35" s="639"/>
      <c r="C35" s="591" t="s">
        <v>104</v>
      </c>
      <c r="D35" s="582"/>
      <c r="E35" s="583"/>
      <c r="F35" s="582"/>
      <c r="G35" s="583"/>
      <c r="H35" s="584"/>
      <c r="I35" s="583"/>
      <c r="J35" s="583"/>
      <c r="K35" s="583"/>
      <c r="L35" s="592"/>
    </row>
    <row r="36" spans="1:12" s="607" customFormat="1" ht="42" customHeight="1">
      <c r="A36" s="569" t="s">
        <v>197</v>
      </c>
      <c r="B36" s="585">
        <v>23</v>
      </c>
      <c r="C36" s="578" t="s">
        <v>220</v>
      </c>
      <c r="D36" s="594"/>
      <c r="E36" s="595"/>
      <c r="F36" s="594"/>
      <c r="G36" s="594"/>
      <c r="H36" s="597"/>
      <c r="I36" s="594"/>
      <c r="J36" s="1010">
        <v>38.5</v>
      </c>
      <c r="K36" s="586"/>
      <c r="L36" s="1180">
        <f>SUM(E36,G36,I36,J36,K36)</f>
        <v>38.5</v>
      </c>
    </row>
    <row r="37" spans="1:12" s="621" customFormat="1" ht="21.75">
      <c r="A37" s="622"/>
      <c r="B37" s="640"/>
      <c r="C37" s="587" t="s">
        <v>106</v>
      </c>
      <c r="D37" s="590"/>
      <c r="E37" s="588"/>
      <c r="F37" s="590"/>
      <c r="G37" s="588"/>
      <c r="H37" s="589"/>
      <c r="I37" s="588"/>
      <c r="J37" s="588">
        <f>SUM(J36)</f>
        <v>38.5</v>
      </c>
      <c r="K37" s="588">
        <f>SUM(K36)</f>
        <v>0</v>
      </c>
      <c r="L37" s="588">
        <f>SUM(L36)</f>
        <v>38.5</v>
      </c>
    </row>
    <row r="38" spans="1:12" s="621" customFormat="1" ht="42">
      <c r="A38" s="1021" t="s">
        <v>448</v>
      </c>
      <c r="B38" s="641"/>
      <c r="C38" s="591" t="s">
        <v>105</v>
      </c>
      <c r="D38" s="623"/>
      <c r="E38" s="592"/>
      <c r="F38" s="623"/>
      <c r="G38" s="592"/>
      <c r="H38" s="624"/>
      <c r="I38" s="592"/>
      <c r="J38" s="592"/>
      <c r="K38" s="592"/>
      <c r="L38" s="592"/>
    </row>
    <row r="39" spans="1:12" s="607" customFormat="1" ht="21.75">
      <c r="A39" s="600" t="s">
        <v>450</v>
      </c>
      <c r="B39" s="593">
        <v>24</v>
      </c>
      <c r="C39" s="1003" t="s">
        <v>447</v>
      </c>
      <c r="D39" s="635"/>
      <c r="E39" s="634"/>
      <c r="F39" s="635"/>
      <c r="G39" s="634"/>
      <c r="H39" s="636">
        <v>1</v>
      </c>
      <c r="I39" s="1007">
        <f>80.8*3</f>
        <v>242.39999999999998</v>
      </c>
      <c r="J39" s="637" t="s">
        <v>12</v>
      </c>
      <c r="K39" s="637"/>
      <c r="L39" s="1180">
        <f>SUM(E39,G39,I39,J39,K39)</f>
        <v>242.39999999999998</v>
      </c>
    </row>
    <row r="40" spans="1:12" s="621" customFormat="1" ht="21.75">
      <c r="A40" s="839"/>
      <c r="B40" s="840"/>
      <c r="C40" s="587" t="s">
        <v>106</v>
      </c>
      <c r="D40" s="842"/>
      <c r="E40" s="843"/>
      <c r="F40" s="842"/>
      <c r="G40" s="843"/>
      <c r="H40" s="1020">
        <f>SUM(H39)</f>
        <v>1</v>
      </c>
      <c r="I40" s="1092">
        <f>SUM(I39)</f>
        <v>242.39999999999998</v>
      </c>
      <c r="J40" s="1020">
        <f>SUM(J39)</f>
        <v>0</v>
      </c>
      <c r="K40" s="1020">
        <f>SUM(K39)</f>
        <v>0</v>
      </c>
      <c r="L40" s="1092">
        <f>SUM(L39)</f>
        <v>242.39999999999998</v>
      </c>
    </row>
    <row r="41" spans="1:12" s="621" customFormat="1" ht="21.75">
      <c r="A41" s="568" t="s">
        <v>107</v>
      </c>
      <c r="B41" s="641"/>
      <c r="C41" s="568" t="s">
        <v>104</v>
      </c>
      <c r="D41" s="623"/>
      <c r="E41" s="592"/>
      <c r="F41" s="623"/>
      <c r="G41" s="592"/>
      <c r="H41" s="624"/>
      <c r="I41" s="592"/>
      <c r="J41" s="592"/>
      <c r="K41" s="592"/>
      <c r="L41" s="592"/>
    </row>
    <row r="42" spans="1:12" s="607" customFormat="1" ht="60.75">
      <c r="A42" s="569" t="s">
        <v>162</v>
      </c>
      <c r="B42" s="593">
        <v>25</v>
      </c>
      <c r="C42" s="569" t="s">
        <v>187</v>
      </c>
      <c r="D42" s="998">
        <v>60</v>
      </c>
      <c r="E42" s="999">
        <v>2736.2</v>
      </c>
      <c r="F42" s="998"/>
      <c r="G42" s="999"/>
      <c r="H42" s="997">
        <v>30</v>
      </c>
      <c r="I42" s="1007">
        <v>2045.4</v>
      </c>
      <c r="J42" s="1007">
        <v>111.4</v>
      </c>
      <c r="K42" s="1007"/>
      <c r="L42" s="1180">
        <f>SUM(E42,G42,I42,J42,K42)</f>
        <v>4893</v>
      </c>
    </row>
    <row r="43" spans="1:12" s="607" customFormat="1" ht="40.5" customHeight="1">
      <c r="A43" s="569" t="s">
        <v>197</v>
      </c>
      <c r="B43" s="599">
        <v>26</v>
      </c>
      <c r="C43" s="1000" t="s">
        <v>540</v>
      </c>
      <c r="D43" s="1101">
        <v>36</v>
      </c>
      <c r="E43" s="1001">
        <v>264.3</v>
      </c>
      <c r="F43" s="1108"/>
      <c r="G43" s="1106"/>
      <c r="H43" s="1109"/>
      <c r="I43" s="1106"/>
      <c r="J43" s="1001"/>
      <c r="K43" s="1001"/>
      <c r="L43" s="1180">
        <f>SUM(E43,G43,I43,J43,K43)</f>
        <v>264.3</v>
      </c>
    </row>
    <row r="44" spans="2:12" s="621" customFormat="1" ht="21.75">
      <c r="B44" s="633"/>
      <c r="C44" s="591" t="s">
        <v>105</v>
      </c>
      <c r="D44" s="1113"/>
      <c r="E44" s="1114"/>
      <c r="F44" s="1113"/>
      <c r="G44" s="1114"/>
      <c r="H44" s="1115"/>
      <c r="I44" s="1116"/>
      <c r="J44" s="1116"/>
      <c r="K44" s="1116"/>
      <c r="L44" s="1114"/>
    </row>
    <row r="45" spans="1:12" s="607" customFormat="1" ht="21.75">
      <c r="A45" s="569" t="s">
        <v>163</v>
      </c>
      <c r="B45" s="598">
        <v>27</v>
      </c>
      <c r="C45" s="571" t="s">
        <v>176</v>
      </c>
      <c r="D45" s="998"/>
      <c r="E45" s="999"/>
      <c r="F45" s="998">
        <v>0</v>
      </c>
      <c r="G45" s="999">
        <v>228.3</v>
      </c>
      <c r="H45" s="997"/>
      <c r="I45" s="1007"/>
      <c r="J45" s="1007"/>
      <c r="K45" s="1007"/>
      <c r="L45" s="1180">
        <f>SUM(E45,G45,I45,J45,K45)</f>
        <v>228.3</v>
      </c>
    </row>
    <row r="46" spans="1:12" s="607" customFormat="1" ht="21.75">
      <c r="A46" s="571"/>
      <c r="B46" s="593">
        <v>28</v>
      </c>
      <c r="C46" s="618" t="s">
        <v>194</v>
      </c>
      <c r="D46" s="998">
        <v>12</v>
      </c>
      <c r="E46" s="999">
        <v>752.8</v>
      </c>
      <c r="F46" s="998">
        <v>0</v>
      </c>
      <c r="G46" s="999">
        <v>1031.7</v>
      </c>
      <c r="H46" s="997">
        <v>9</v>
      </c>
      <c r="I46" s="1007">
        <v>393.6</v>
      </c>
      <c r="J46" s="1007"/>
      <c r="K46" s="1007" t="s">
        <v>12</v>
      </c>
      <c r="L46" s="1180">
        <f>SUM(E46,G46,I46,J46,K46)</f>
        <v>2178.1</v>
      </c>
    </row>
    <row r="47" spans="1:12" s="607" customFormat="1" ht="21.75">
      <c r="A47" s="571"/>
      <c r="B47" s="593">
        <v>29</v>
      </c>
      <c r="C47" s="618" t="s">
        <v>254</v>
      </c>
      <c r="D47" s="998"/>
      <c r="E47" s="999"/>
      <c r="F47" s="998"/>
      <c r="G47" s="999"/>
      <c r="H47" s="997"/>
      <c r="I47" s="1007"/>
      <c r="J47" s="1007"/>
      <c r="K47" s="1007"/>
      <c r="L47" s="1180"/>
    </row>
    <row r="48" spans="1:12" s="607" customFormat="1" ht="42">
      <c r="A48" s="571"/>
      <c r="B48" s="593"/>
      <c r="C48" s="773" t="s">
        <v>255</v>
      </c>
      <c r="D48" s="998"/>
      <c r="E48" s="999"/>
      <c r="F48" s="998">
        <v>1</v>
      </c>
      <c r="G48" s="999">
        <v>1858.2</v>
      </c>
      <c r="H48" s="997"/>
      <c r="I48" s="1007"/>
      <c r="J48" s="1007"/>
      <c r="K48" s="1007"/>
      <c r="L48" s="1180">
        <f aca="true" t="shared" si="5" ref="L48:L69">SUM(E48,G48,I48,J48,K48)</f>
        <v>1858.2</v>
      </c>
    </row>
    <row r="49" spans="1:12" s="607" customFormat="1" ht="21.75">
      <c r="A49" s="571"/>
      <c r="B49" s="593"/>
      <c r="C49" s="773" t="s">
        <v>256</v>
      </c>
      <c r="D49" s="998">
        <v>15</v>
      </c>
      <c r="E49" s="999">
        <v>506.8</v>
      </c>
      <c r="F49" s="998">
        <v>4</v>
      </c>
      <c r="G49" s="999">
        <v>2949.5</v>
      </c>
      <c r="H49" s="997"/>
      <c r="I49" s="1007"/>
      <c r="J49" s="1007"/>
      <c r="K49" s="1007"/>
      <c r="L49" s="1180">
        <f t="shared" si="5"/>
        <v>3456.3</v>
      </c>
    </row>
    <row r="50" spans="1:12" s="607" customFormat="1" ht="21.75">
      <c r="A50" s="571"/>
      <c r="B50" s="593"/>
      <c r="C50" s="773" t="s">
        <v>257</v>
      </c>
      <c r="D50" s="998"/>
      <c r="E50" s="999"/>
      <c r="F50" s="998">
        <v>0</v>
      </c>
      <c r="G50" s="999">
        <v>430.4</v>
      </c>
      <c r="H50" s="997">
        <v>2</v>
      </c>
      <c r="I50" s="1007">
        <v>1032.1</v>
      </c>
      <c r="J50" s="1007"/>
      <c r="K50" s="1007"/>
      <c r="L50" s="1180">
        <f t="shared" si="5"/>
        <v>1462.5</v>
      </c>
    </row>
    <row r="51" spans="1:12" s="607" customFormat="1" ht="21.75">
      <c r="A51" s="571"/>
      <c r="B51" s="593">
        <v>30</v>
      </c>
      <c r="C51" s="1003" t="s">
        <v>382</v>
      </c>
      <c r="D51" s="998"/>
      <c r="E51" s="999"/>
      <c r="F51" s="998"/>
      <c r="G51" s="999"/>
      <c r="H51" s="997">
        <v>6</v>
      </c>
      <c r="I51" s="1007">
        <v>392.4</v>
      </c>
      <c r="J51" s="1007"/>
      <c r="K51" s="1007"/>
      <c r="L51" s="1180">
        <f t="shared" si="5"/>
        <v>392.4</v>
      </c>
    </row>
    <row r="52" spans="1:12" s="607" customFormat="1" ht="21.75">
      <c r="A52" s="571"/>
      <c r="B52" s="593">
        <v>31</v>
      </c>
      <c r="C52" s="575" t="s">
        <v>262</v>
      </c>
      <c r="D52" s="998"/>
      <c r="E52" s="999"/>
      <c r="F52" s="998">
        <v>2</v>
      </c>
      <c r="G52" s="999">
        <v>204.8</v>
      </c>
      <c r="H52" s="997"/>
      <c r="I52" s="1007"/>
      <c r="J52" s="1007"/>
      <c r="K52" s="1007"/>
      <c r="L52" s="1180">
        <f t="shared" si="5"/>
        <v>204.8</v>
      </c>
    </row>
    <row r="53" spans="1:12" s="607" customFormat="1" ht="42">
      <c r="A53" s="571"/>
      <c r="B53" s="593">
        <v>32</v>
      </c>
      <c r="C53" s="1003" t="s">
        <v>537</v>
      </c>
      <c r="D53" s="998"/>
      <c r="E53" s="999"/>
      <c r="F53" s="998"/>
      <c r="G53" s="999"/>
      <c r="H53" s="997">
        <v>3</v>
      </c>
      <c r="I53" s="1007">
        <v>139.9</v>
      </c>
      <c r="J53" s="1007"/>
      <c r="K53" s="1007"/>
      <c r="L53" s="1180">
        <f t="shared" si="5"/>
        <v>139.9</v>
      </c>
    </row>
    <row r="54" spans="1:12" s="607" customFormat="1" ht="42">
      <c r="A54" s="570" t="s">
        <v>161</v>
      </c>
      <c r="B54" s="593">
        <v>33</v>
      </c>
      <c r="C54" s="575" t="s">
        <v>185</v>
      </c>
      <c r="D54" s="998"/>
      <c r="E54" s="1106"/>
      <c r="F54" s="998"/>
      <c r="G54" s="999">
        <v>1344.2</v>
      </c>
      <c r="H54" s="998">
        <v>2</v>
      </c>
      <c r="I54" s="1007">
        <v>74.2</v>
      </c>
      <c r="J54" s="1007" t="s">
        <v>12</v>
      </c>
      <c r="K54" s="1007" t="s">
        <v>12</v>
      </c>
      <c r="L54" s="1180">
        <f t="shared" si="5"/>
        <v>1418.4</v>
      </c>
    </row>
    <row r="55" spans="1:12" s="607" customFormat="1" ht="22.5" customHeight="1">
      <c r="A55" s="571"/>
      <c r="B55" s="593">
        <v>34</v>
      </c>
      <c r="C55" s="575" t="s">
        <v>195</v>
      </c>
      <c r="D55" s="998">
        <f>2+3</f>
        <v>5</v>
      </c>
      <c r="E55" s="999">
        <v>2558.8</v>
      </c>
      <c r="F55" s="998">
        <v>4</v>
      </c>
      <c r="G55" s="999">
        <v>3229</v>
      </c>
      <c r="H55" s="997"/>
      <c r="I55" s="1007"/>
      <c r="J55" s="1007" t="s">
        <v>12</v>
      </c>
      <c r="K55" s="1007" t="s">
        <v>12</v>
      </c>
      <c r="L55" s="1180">
        <f t="shared" si="5"/>
        <v>5787.8</v>
      </c>
    </row>
    <row r="56" spans="1:12" s="607" customFormat="1" ht="22.5" customHeight="1">
      <c r="A56" s="571"/>
      <c r="B56" s="593">
        <v>35</v>
      </c>
      <c r="C56" s="607" t="s">
        <v>258</v>
      </c>
      <c r="D56" s="998"/>
      <c r="E56" s="1106"/>
      <c r="F56" s="998">
        <v>5</v>
      </c>
      <c r="G56" s="999">
        <v>3132.6</v>
      </c>
      <c r="H56" s="997"/>
      <c r="I56" s="1007"/>
      <c r="J56" s="1007"/>
      <c r="K56" s="1007" t="s">
        <v>12</v>
      </c>
      <c r="L56" s="1180">
        <f t="shared" si="5"/>
        <v>3132.6</v>
      </c>
    </row>
    <row r="57" spans="1:12" s="607" customFormat="1" ht="22.5" customHeight="1">
      <c r="A57" s="571"/>
      <c r="B57" s="593">
        <v>36</v>
      </c>
      <c r="C57" s="607" t="s">
        <v>259</v>
      </c>
      <c r="D57" s="998">
        <v>19</v>
      </c>
      <c r="E57" s="1106">
        <v>3183.5</v>
      </c>
      <c r="F57" s="998"/>
      <c r="G57" s="999">
        <v>1334.4</v>
      </c>
      <c r="H57" s="997">
        <v>3</v>
      </c>
      <c r="I57" s="1007">
        <v>40.6</v>
      </c>
      <c r="J57" s="1007"/>
      <c r="K57" s="1007"/>
      <c r="L57" s="1180">
        <f t="shared" si="5"/>
        <v>4558.5</v>
      </c>
    </row>
    <row r="58" spans="1:12" s="607" customFormat="1" ht="22.5" customHeight="1">
      <c r="A58" s="571"/>
      <c r="B58" s="593">
        <v>37</v>
      </c>
      <c r="C58" s="607" t="s">
        <v>260</v>
      </c>
      <c r="D58" s="998"/>
      <c r="E58" s="1106"/>
      <c r="F58" s="998"/>
      <c r="G58" s="999">
        <v>413.8</v>
      </c>
      <c r="H58" s="997"/>
      <c r="I58" s="1007"/>
      <c r="J58" s="1007"/>
      <c r="K58" s="1007"/>
      <c r="L58" s="1180">
        <f>SUM(E58,G58,I58,J58,K58)</f>
        <v>413.8</v>
      </c>
    </row>
    <row r="59" spans="1:12" s="607" customFormat="1" ht="22.5" customHeight="1">
      <c r="A59" s="571"/>
      <c r="B59" s="593">
        <v>38</v>
      </c>
      <c r="C59" s="607" t="s">
        <v>261</v>
      </c>
      <c r="D59" s="998"/>
      <c r="E59" s="1106"/>
      <c r="F59" s="998"/>
      <c r="G59" s="999">
        <v>635.3</v>
      </c>
      <c r="H59" s="997"/>
      <c r="I59" s="1007"/>
      <c r="J59" s="1007"/>
      <c r="K59" s="1007"/>
      <c r="L59" s="1180">
        <f t="shared" si="5"/>
        <v>635.3</v>
      </c>
    </row>
    <row r="60" spans="1:12" s="607" customFormat="1" ht="22.5" customHeight="1">
      <c r="A60" s="571"/>
      <c r="B60" s="593">
        <v>39</v>
      </c>
      <c r="C60" s="607" t="s">
        <v>264</v>
      </c>
      <c r="D60" s="998">
        <v>30</v>
      </c>
      <c r="E60" s="1106">
        <v>9900</v>
      </c>
      <c r="F60" s="998"/>
      <c r="G60" s="999"/>
      <c r="H60" s="997"/>
      <c r="I60" s="1007"/>
      <c r="J60" s="1007"/>
      <c r="K60" s="1007"/>
      <c r="L60" s="1180">
        <f t="shared" si="5"/>
        <v>9900</v>
      </c>
    </row>
    <row r="61" spans="1:12" s="607" customFormat="1" ht="21.75">
      <c r="A61" s="571"/>
      <c r="B61" s="593">
        <v>40</v>
      </c>
      <c r="C61" s="1002" t="s">
        <v>381</v>
      </c>
      <c r="D61" s="998"/>
      <c r="E61" s="1106"/>
      <c r="F61" s="998"/>
      <c r="G61" s="999"/>
      <c r="H61" s="997"/>
      <c r="I61" s="1007"/>
      <c r="J61" s="1007">
        <v>24.4</v>
      </c>
      <c r="K61" s="1007"/>
      <c r="L61" s="1180">
        <f t="shared" si="5"/>
        <v>24.4</v>
      </c>
    </row>
    <row r="62" spans="1:12" s="607" customFormat="1" ht="40.5">
      <c r="A62" s="569" t="s">
        <v>246</v>
      </c>
      <c r="B62" s="593">
        <v>41</v>
      </c>
      <c r="C62" s="610" t="s">
        <v>263</v>
      </c>
      <c r="D62" s="998">
        <v>15</v>
      </c>
      <c r="E62" s="1001">
        <v>963.2</v>
      </c>
      <c r="F62" s="998"/>
      <c r="G62" s="999"/>
      <c r="H62" s="997">
        <v>19</v>
      </c>
      <c r="I62" s="1007">
        <v>1325.7</v>
      </c>
      <c r="J62" s="1228">
        <v>1416.2</v>
      </c>
      <c r="K62" s="1007"/>
      <c r="L62" s="1180">
        <f t="shared" si="5"/>
        <v>3705.1000000000004</v>
      </c>
    </row>
    <row r="63" spans="1:12" s="607" customFormat="1" ht="43.5" customHeight="1">
      <c r="A63" s="569" t="s">
        <v>248</v>
      </c>
      <c r="B63" s="593">
        <v>42</v>
      </c>
      <c r="C63" s="611" t="s">
        <v>265</v>
      </c>
      <c r="D63" s="998"/>
      <c r="E63" s="1001"/>
      <c r="F63" s="998"/>
      <c r="G63" s="999"/>
      <c r="H63" s="1110">
        <v>4</v>
      </c>
      <c r="I63" s="1008">
        <v>214.3</v>
      </c>
      <c r="J63" s="1007"/>
      <c r="K63" s="1007"/>
      <c r="L63" s="1180">
        <f t="shared" si="5"/>
        <v>214.3</v>
      </c>
    </row>
    <row r="64" spans="1:12" s="607" customFormat="1" ht="23.25" customHeight="1">
      <c r="A64" s="569"/>
      <c r="B64" s="593">
        <v>43</v>
      </c>
      <c r="C64" s="1000" t="s">
        <v>380</v>
      </c>
      <c r="D64" s="998">
        <v>10</v>
      </c>
      <c r="E64" s="1001">
        <v>3239.3</v>
      </c>
      <c r="F64" s="998"/>
      <c r="G64" s="999"/>
      <c r="H64" s="997"/>
      <c r="I64" s="1007"/>
      <c r="J64" s="1007"/>
      <c r="K64" s="1007"/>
      <c r="L64" s="1180">
        <f t="shared" si="5"/>
        <v>3239.3</v>
      </c>
    </row>
    <row r="65" spans="1:12" s="607" customFormat="1" ht="24" customHeight="1">
      <c r="A65" s="571" t="s">
        <v>162</v>
      </c>
      <c r="B65" s="593">
        <v>44</v>
      </c>
      <c r="C65" s="618" t="s">
        <v>217</v>
      </c>
      <c r="D65" s="998"/>
      <c r="E65" s="999"/>
      <c r="F65" s="998">
        <v>3</v>
      </c>
      <c r="G65" s="999">
        <v>997.1</v>
      </c>
      <c r="H65" s="997"/>
      <c r="I65" s="1007"/>
      <c r="J65" s="1007"/>
      <c r="K65" s="1007"/>
      <c r="L65" s="1180">
        <f t="shared" si="5"/>
        <v>997.1</v>
      </c>
    </row>
    <row r="66" spans="1:12" s="1005" customFormat="1" ht="42">
      <c r="A66" s="571"/>
      <c r="B66" s="593">
        <v>45</v>
      </c>
      <c r="C66" s="1006" t="s">
        <v>385</v>
      </c>
      <c r="D66" s="998"/>
      <c r="E66" s="999"/>
      <c r="F66" s="998"/>
      <c r="G66" s="999"/>
      <c r="H66" s="997">
        <v>5</v>
      </c>
      <c r="I66" s="1007">
        <v>73.3</v>
      </c>
      <c r="J66" s="1007"/>
      <c r="K66" s="1007"/>
      <c r="L66" s="1180">
        <f t="shared" si="5"/>
        <v>73.3</v>
      </c>
    </row>
    <row r="67" spans="1:12" s="1005" customFormat="1" ht="24" customHeight="1">
      <c r="A67" s="571"/>
      <c r="B67" s="593">
        <v>46</v>
      </c>
      <c r="C67" s="1203" t="s">
        <v>384</v>
      </c>
      <c r="D67" s="998"/>
      <c r="E67" s="999"/>
      <c r="F67" s="998"/>
      <c r="G67" s="999"/>
      <c r="H67" s="997">
        <v>6</v>
      </c>
      <c r="I67" s="1007">
        <v>151</v>
      </c>
      <c r="J67" s="1007"/>
      <c r="K67" s="1007"/>
      <c r="L67" s="1180">
        <f t="shared" si="5"/>
        <v>151</v>
      </c>
    </row>
    <row r="68" spans="1:12" s="298" customFormat="1" ht="21.75">
      <c r="A68" s="610"/>
      <c r="B68" s="593">
        <v>47</v>
      </c>
      <c r="C68" s="1004" t="s">
        <v>383</v>
      </c>
      <c r="D68" s="1101"/>
      <c r="E68" s="1001"/>
      <c r="F68" s="1101"/>
      <c r="G68" s="1001"/>
      <c r="H68" s="1089">
        <v>4</v>
      </c>
      <c r="I68" s="1001">
        <v>92.3</v>
      </c>
      <c r="J68" s="1001"/>
      <c r="K68" s="1001"/>
      <c r="L68" s="1180">
        <f t="shared" si="5"/>
        <v>92.3</v>
      </c>
    </row>
    <row r="69" spans="1:12" s="298" customFormat="1" ht="21.75">
      <c r="A69" s="571" t="s">
        <v>544</v>
      </c>
      <c r="B69" s="593">
        <v>48</v>
      </c>
      <c r="C69" s="1004" t="s">
        <v>545</v>
      </c>
      <c r="D69" s="1101">
        <v>10</v>
      </c>
      <c r="E69" s="1001">
        <v>117.7</v>
      </c>
      <c r="F69" s="1101"/>
      <c r="G69" s="1001"/>
      <c r="H69" s="1089"/>
      <c r="I69" s="1001"/>
      <c r="J69" s="1001"/>
      <c r="K69" s="1001"/>
      <c r="L69" s="1180">
        <f t="shared" si="5"/>
        <v>117.7</v>
      </c>
    </row>
    <row r="70" spans="1:12" s="621" customFormat="1" ht="21.75">
      <c r="A70" s="622"/>
      <c r="B70" s="640"/>
      <c r="C70" s="587" t="s">
        <v>106</v>
      </c>
      <c r="D70" s="590">
        <f>SUM(D42:D69)</f>
        <v>212</v>
      </c>
      <c r="E70" s="588">
        <f aca="true" t="shared" si="6" ref="E70:L70">SUM(E42:E69)</f>
        <v>24222.600000000002</v>
      </c>
      <c r="F70" s="590">
        <f t="shared" si="6"/>
        <v>19</v>
      </c>
      <c r="G70" s="588">
        <f t="shared" si="6"/>
        <v>17789.299999999996</v>
      </c>
      <c r="H70" s="590">
        <f t="shared" si="6"/>
        <v>93</v>
      </c>
      <c r="I70" s="588">
        <f t="shared" si="6"/>
        <v>5974.8</v>
      </c>
      <c r="J70" s="588">
        <f t="shared" si="6"/>
        <v>1552</v>
      </c>
      <c r="K70" s="590">
        <f t="shared" si="6"/>
        <v>0</v>
      </c>
      <c r="L70" s="588">
        <f t="shared" si="6"/>
        <v>49538.700000000004</v>
      </c>
    </row>
    <row r="71" spans="1:12" s="621" customFormat="1" ht="21.75">
      <c r="A71" s="591" t="s">
        <v>271</v>
      </c>
      <c r="B71" s="639"/>
      <c r="C71" s="568" t="s">
        <v>105</v>
      </c>
      <c r="D71" s="582"/>
      <c r="E71" s="583"/>
      <c r="F71" s="582"/>
      <c r="G71" s="583"/>
      <c r="H71" s="584"/>
      <c r="I71" s="583"/>
      <c r="J71" s="583"/>
      <c r="K71" s="583"/>
      <c r="L71" s="583"/>
    </row>
    <row r="72" spans="1:12" s="607" customFormat="1" ht="21" customHeight="1">
      <c r="A72" s="569" t="s">
        <v>273</v>
      </c>
      <c r="B72" s="585">
        <v>49</v>
      </c>
      <c r="C72" s="1011" t="s">
        <v>272</v>
      </c>
      <c r="D72" s="594"/>
      <c r="E72" s="595"/>
      <c r="F72" s="594"/>
      <c r="G72" s="595"/>
      <c r="H72" s="1089">
        <f>3+3</f>
        <v>6</v>
      </c>
      <c r="I72" s="1001">
        <v>1728.7</v>
      </c>
      <c r="J72" s="577"/>
      <c r="K72" s="577"/>
      <c r="L72" s="1180">
        <f>SUM(E72,G72,I72,J72,K72)</f>
        <v>1728.7</v>
      </c>
    </row>
    <row r="73" spans="1:12" s="621" customFormat="1" ht="23.25" customHeight="1">
      <c r="A73" s="622"/>
      <c r="B73" s="640"/>
      <c r="C73" s="587" t="s">
        <v>106</v>
      </c>
      <c r="D73" s="590"/>
      <c r="E73" s="588"/>
      <c r="F73" s="590"/>
      <c r="G73" s="588"/>
      <c r="H73" s="589">
        <f>SUM(H72)</f>
        <v>6</v>
      </c>
      <c r="I73" s="1022">
        <f>SUM(I72)</f>
        <v>1728.7</v>
      </c>
      <c r="J73" s="588">
        <f>SUM(J72:J72)</f>
        <v>0</v>
      </c>
      <c r="K73" s="588">
        <f>SUM(K72:K72)</f>
        <v>0</v>
      </c>
      <c r="L73" s="588">
        <f>SUM(L72:L72)</f>
        <v>1728.7</v>
      </c>
    </row>
    <row r="74" spans="1:12" s="629" customFormat="1" ht="21">
      <c r="A74" s="568" t="s">
        <v>209</v>
      </c>
      <c r="B74" s="642"/>
      <c r="C74" s="568" t="s">
        <v>105</v>
      </c>
      <c r="D74" s="630"/>
      <c r="E74" s="596"/>
      <c r="F74" s="630"/>
      <c r="G74" s="596"/>
      <c r="H74" s="631"/>
      <c r="I74" s="596"/>
      <c r="J74" s="596"/>
      <c r="K74" s="596"/>
      <c r="L74" s="592"/>
    </row>
    <row r="75" spans="1:12" s="607" customFormat="1" ht="21.75">
      <c r="A75" s="569" t="s">
        <v>163</v>
      </c>
      <c r="B75" s="585">
        <v>50</v>
      </c>
      <c r="C75" s="575" t="s">
        <v>250</v>
      </c>
      <c r="D75" s="615"/>
      <c r="E75" s="609"/>
      <c r="F75" s="615"/>
      <c r="G75" s="609"/>
      <c r="H75" s="608">
        <v>2</v>
      </c>
      <c r="I75" s="609">
        <v>170.2</v>
      </c>
      <c r="J75" s="586"/>
      <c r="K75" s="577" t="s">
        <v>12</v>
      </c>
      <c r="L75" s="1180">
        <f>SUM(E75,G75,I75,J75,K75)</f>
        <v>170.2</v>
      </c>
    </row>
    <row r="76" spans="1:12" s="607" customFormat="1" ht="21.75">
      <c r="A76" s="569" t="s">
        <v>455</v>
      </c>
      <c r="B76" s="585">
        <v>51</v>
      </c>
      <c r="C76" s="1050" t="s">
        <v>463</v>
      </c>
      <c r="D76" s="601"/>
      <c r="E76" s="602"/>
      <c r="F76" s="594"/>
      <c r="G76" s="595"/>
      <c r="H76" s="614">
        <v>3</v>
      </c>
      <c r="I76" s="613">
        <v>201.1</v>
      </c>
      <c r="J76" s="613"/>
      <c r="K76" s="577" t="s">
        <v>12</v>
      </c>
      <c r="L76" s="1180">
        <f>SUM(E76,G76,I76,J76,K76)</f>
        <v>201.1</v>
      </c>
    </row>
    <row r="77" spans="1:12" s="621" customFormat="1" ht="21.75">
      <c r="A77" s="622"/>
      <c r="B77" s="640"/>
      <c r="C77" s="587" t="s">
        <v>106</v>
      </c>
      <c r="D77" s="590"/>
      <c r="E77" s="588"/>
      <c r="F77" s="590"/>
      <c r="G77" s="588"/>
      <c r="H77" s="589">
        <f>SUM(H75:H76)</f>
        <v>5</v>
      </c>
      <c r="I77" s="1022">
        <f>SUM(I75:I76)</f>
        <v>371.29999999999995</v>
      </c>
      <c r="J77" s="589">
        <f>SUM(J75:J76)</f>
        <v>0</v>
      </c>
      <c r="K77" s="589">
        <f>SUM(K75:K76)</f>
        <v>0</v>
      </c>
      <c r="L77" s="1022">
        <f>SUM(L75:L76)</f>
        <v>371.29999999999995</v>
      </c>
    </row>
    <row r="78" spans="1:12" s="629" customFormat="1" ht="21">
      <c r="A78" s="568" t="s">
        <v>449</v>
      </c>
      <c r="B78" s="642"/>
      <c r="C78" s="568" t="s">
        <v>105</v>
      </c>
      <c r="D78" s="630"/>
      <c r="E78" s="596"/>
      <c r="F78" s="630"/>
      <c r="G78" s="596"/>
      <c r="H78" s="631"/>
      <c r="I78" s="596"/>
      <c r="J78" s="596"/>
      <c r="K78" s="596"/>
      <c r="L78" s="592"/>
    </row>
    <row r="79" spans="1:12" s="607" customFormat="1" ht="21.75">
      <c r="A79" s="569" t="s">
        <v>163</v>
      </c>
      <c r="B79" s="585">
        <v>52</v>
      </c>
      <c r="C79" s="1003" t="s">
        <v>451</v>
      </c>
      <c r="D79" s="615"/>
      <c r="E79" s="609"/>
      <c r="F79" s="615"/>
      <c r="G79" s="609"/>
      <c r="H79" s="608">
        <v>4</v>
      </c>
      <c r="I79" s="1010">
        <v>688.3</v>
      </c>
      <c r="J79" s="586"/>
      <c r="K79" s="586"/>
      <c r="L79" s="1180">
        <f>SUM(E79,G79,I79,J79,K79)</f>
        <v>688.3</v>
      </c>
    </row>
    <row r="80" spans="1:12" s="607" customFormat="1" ht="42">
      <c r="A80" s="569" t="s">
        <v>455</v>
      </c>
      <c r="B80" s="585">
        <v>53</v>
      </c>
      <c r="C80" s="1003" t="s">
        <v>456</v>
      </c>
      <c r="D80" s="615"/>
      <c r="E80" s="609"/>
      <c r="F80" s="615"/>
      <c r="G80" s="609"/>
      <c r="H80" s="608"/>
      <c r="I80" s="1010"/>
      <c r="J80" s="1010">
        <v>2379</v>
      </c>
      <c r="K80" s="586"/>
      <c r="L80" s="1180">
        <f>SUM(E80,G80,I80,J80,K80)</f>
        <v>2379</v>
      </c>
    </row>
    <row r="81" spans="1:12" s="621" customFormat="1" ht="21.75">
      <c r="A81" s="622"/>
      <c r="B81" s="640"/>
      <c r="C81" s="587" t="s">
        <v>106</v>
      </c>
      <c r="D81" s="590"/>
      <c r="E81" s="588"/>
      <c r="F81" s="590"/>
      <c r="G81" s="588"/>
      <c r="H81" s="589">
        <f>SUM(H79:H80)</f>
        <v>4</v>
      </c>
      <c r="I81" s="1022">
        <f>SUM(I79:I80)</f>
        <v>688.3</v>
      </c>
      <c r="J81" s="1022">
        <f>SUM(J79:J80)</f>
        <v>2379</v>
      </c>
      <c r="K81" s="589">
        <f>SUM(K79:K80)</f>
        <v>0</v>
      </c>
      <c r="L81" s="1022">
        <f>SUM(L79:L80)</f>
        <v>3067.3</v>
      </c>
    </row>
    <row r="82" spans="1:12" s="607" customFormat="1" ht="21.75">
      <c r="A82" s="568" t="s">
        <v>564</v>
      </c>
      <c r="B82" s="585"/>
      <c r="C82" s="591" t="s">
        <v>105</v>
      </c>
      <c r="D82" s="601"/>
      <c r="E82" s="602"/>
      <c r="F82" s="601"/>
      <c r="G82" s="602"/>
      <c r="H82" s="603"/>
      <c r="I82" s="602"/>
      <c r="J82" s="602"/>
      <c r="K82" s="602"/>
      <c r="L82" s="609"/>
    </row>
    <row r="83" spans="1:12" s="610" customFormat="1" ht="21">
      <c r="A83" s="569" t="s">
        <v>163</v>
      </c>
      <c r="B83" s="585">
        <v>54</v>
      </c>
      <c r="C83" s="1003" t="s">
        <v>405</v>
      </c>
      <c r="D83" s="1101"/>
      <c r="E83" s="1001"/>
      <c r="F83" s="1101"/>
      <c r="G83" s="1001"/>
      <c r="H83" s="1107"/>
      <c r="I83" s="1010"/>
      <c r="J83" s="1001"/>
      <c r="K83" s="1001"/>
      <c r="L83" s="609"/>
    </row>
    <row r="84" spans="1:12" s="610" customFormat="1" ht="21.75">
      <c r="A84" s="570"/>
      <c r="B84" s="585"/>
      <c r="C84" s="1015" t="s">
        <v>406</v>
      </c>
      <c r="D84" s="1101"/>
      <c r="E84" s="1001"/>
      <c r="F84" s="1101"/>
      <c r="G84" s="1001"/>
      <c r="H84" s="1107">
        <v>3</v>
      </c>
      <c r="I84" s="1010">
        <v>285.4</v>
      </c>
      <c r="J84" s="1001"/>
      <c r="K84" s="1001"/>
      <c r="L84" s="1180">
        <f aca="true" t="shared" si="7" ref="L84:L99">SUM(E84,G84,I84,J84,K84)</f>
        <v>285.4</v>
      </c>
    </row>
    <row r="85" spans="1:12" s="610" customFormat="1" ht="21.75">
      <c r="A85" s="570"/>
      <c r="B85" s="585"/>
      <c r="C85" s="1015" t="s">
        <v>469</v>
      </c>
      <c r="D85" s="1101">
        <v>5</v>
      </c>
      <c r="E85" s="1001">
        <v>63</v>
      </c>
      <c r="F85" s="1101"/>
      <c r="G85" s="1001"/>
      <c r="H85" s="1107"/>
      <c r="I85" s="1010"/>
      <c r="J85" s="1001"/>
      <c r="K85" s="1001"/>
      <c r="L85" s="1180">
        <f t="shared" si="7"/>
        <v>63</v>
      </c>
    </row>
    <row r="86" spans="1:12" s="607" customFormat="1" ht="42">
      <c r="A86" s="570" t="s">
        <v>111</v>
      </c>
      <c r="B86" s="585">
        <v>55</v>
      </c>
      <c r="C86" s="696" t="s">
        <v>188</v>
      </c>
      <c r="D86" s="594"/>
      <c r="E86" s="595"/>
      <c r="F86" s="1101">
        <v>2</v>
      </c>
      <c r="G86" s="1001">
        <v>908</v>
      </c>
      <c r="H86" s="1089">
        <v>10</v>
      </c>
      <c r="I86" s="1001">
        <v>875.7</v>
      </c>
      <c r="J86" s="1001">
        <v>50.6</v>
      </c>
      <c r="K86" s="595" t="s">
        <v>12</v>
      </c>
      <c r="L86" s="1180">
        <f t="shared" si="7"/>
        <v>1834.3</v>
      </c>
    </row>
    <row r="87" spans="1:12" s="607" customFormat="1" ht="41.25" customHeight="1">
      <c r="A87" s="571"/>
      <c r="B87" s="585">
        <v>56</v>
      </c>
      <c r="C87" s="1011" t="s">
        <v>468</v>
      </c>
      <c r="D87" s="1101"/>
      <c r="E87" s="1001"/>
      <c r="F87" s="1101"/>
      <c r="G87" s="1001"/>
      <c r="H87" s="1089"/>
      <c r="I87" s="1001"/>
      <c r="J87" s="1002"/>
      <c r="K87" s="1001" t="s">
        <v>12</v>
      </c>
      <c r="L87" s="609">
        <f t="shared" si="7"/>
        <v>0</v>
      </c>
    </row>
    <row r="88" spans="1:12" s="607" customFormat="1" ht="63">
      <c r="A88" s="571"/>
      <c r="B88" s="585"/>
      <c r="C88" s="1013" t="s">
        <v>395</v>
      </c>
      <c r="D88" s="1101">
        <v>10</v>
      </c>
      <c r="E88" s="1001">
        <v>223.1</v>
      </c>
      <c r="F88" s="1101"/>
      <c r="G88" s="1001"/>
      <c r="H88" s="1089">
        <v>4</v>
      </c>
      <c r="I88" s="1001">
        <v>913.2</v>
      </c>
      <c r="J88" s="1001"/>
      <c r="K88" s="1001"/>
      <c r="L88" s="1180">
        <f t="shared" si="7"/>
        <v>1136.3</v>
      </c>
    </row>
    <row r="89" spans="1:12" s="607" customFormat="1" ht="42">
      <c r="A89" s="571"/>
      <c r="B89" s="585"/>
      <c r="C89" s="1013" t="s">
        <v>399</v>
      </c>
      <c r="D89" s="1101">
        <v>10</v>
      </c>
      <c r="E89" s="1001">
        <v>723.6</v>
      </c>
      <c r="F89" s="1101"/>
      <c r="G89" s="1001"/>
      <c r="H89" s="1089"/>
      <c r="I89" s="1001"/>
      <c r="J89" s="1001"/>
      <c r="K89" s="1001"/>
      <c r="L89" s="1180">
        <f t="shared" si="7"/>
        <v>723.6</v>
      </c>
    </row>
    <row r="90" spans="1:12" s="607" customFormat="1" ht="42">
      <c r="A90" s="571"/>
      <c r="B90" s="585"/>
      <c r="C90" s="1013" t="s">
        <v>396</v>
      </c>
      <c r="D90" s="1101"/>
      <c r="E90" s="1001"/>
      <c r="F90" s="1101"/>
      <c r="G90" s="1001"/>
      <c r="H90" s="1089">
        <v>1</v>
      </c>
      <c r="I90" s="1001">
        <v>36.1</v>
      </c>
      <c r="J90" s="1001">
        <v>768.2</v>
      </c>
      <c r="K90" s="1001"/>
      <c r="L90" s="1180">
        <f t="shared" si="7"/>
        <v>804.3000000000001</v>
      </c>
    </row>
    <row r="91" spans="1:12" s="607" customFormat="1" ht="84">
      <c r="A91" s="571"/>
      <c r="B91" s="585"/>
      <c r="C91" s="1013" t="s">
        <v>397</v>
      </c>
      <c r="D91" s="1101">
        <v>16</v>
      </c>
      <c r="E91" s="1001">
        <v>673.1</v>
      </c>
      <c r="F91" s="1101"/>
      <c r="G91" s="1001"/>
      <c r="H91" s="1089"/>
      <c r="I91" s="1001"/>
      <c r="J91" s="1001"/>
      <c r="K91" s="1001"/>
      <c r="L91" s="1180">
        <f t="shared" si="7"/>
        <v>673.1</v>
      </c>
    </row>
    <row r="92" spans="1:12" s="607" customFormat="1" ht="21.75">
      <c r="A92" s="570" t="s">
        <v>393</v>
      </c>
      <c r="B92" s="585">
        <v>57</v>
      </c>
      <c r="C92" s="1013" t="s">
        <v>394</v>
      </c>
      <c r="D92" s="1101"/>
      <c r="E92" s="1001"/>
      <c r="F92" s="1101"/>
      <c r="G92" s="1001"/>
      <c r="H92" s="1089"/>
      <c r="I92" s="1001"/>
      <c r="J92" s="1001"/>
      <c r="K92" s="1001"/>
      <c r="L92" s="1180"/>
    </row>
    <row r="93" spans="1:12" s="607" customFormat="1" ht="21.75">
      <c r="A93" s="571"/>
      <c r="B93" s="585"/>
      <c r="C93" s="1013" t="s">
        <v>400</v>
      </c>
      <c r="D93" s="1101"/>
      <c r="E93" s="1001"/>
      <c r="F93" s="1101"/>
      <c r="G93" s="1001"/>
      <c r="H93" s="1089">
        <v>3</v>
      </c>
      <c r="I93" s="1001">
        <v>189.3</v>
      </c>
      <c r="J93" s="1001"/>
      <c r="K93" s="1001"/>
      <c r="L93" s="1180">
        <f t="shared" si="7"/>
        <v>189.3</v>
      </c>
    </row>
    <row r="94" spans="1:12" s="607" customFormat="1" ht="21.75">
      <c r="A94" s="571"/>
      <c r="B94" s="585"/>
      <c r="C94" s="1013" t="s">
        <v>401</v>
      </c>
      <c r="D94" s="1101"/>
      <c r="E94" s="1001"/>
      <c r="F94" s="1101"/>
      <c r="G94" s="1001"/>
      <c r="H94" s="1089">
        <v>2</v>
      </c>
      <c r="I94" s="1001">
        <v>11.1</v>
      </c>
      <c r="J94" s="1001"/>
      <c r="K94" s="1001"/>
      <c r="L94" s="1180">
        <f t="shared" si="7"/>
        <v>11.1</v>
      </c>
    </row>
    <row r="95" spans="1:12" s="607" customFormat="1" ht="21.75">
      <c r="A95" s="600"/>
      <c r="B95" s="593"/>
      <c r="C95" s="1013" t="s">
        <v>402</v>
      </c>
      <c r="D95" s="998">
        <v>7</v>
      </c>
      <c r="E95" s="999">
        <v>90.1</v>
      </c>
      <c r="F95" s="998"/>
      <c r="G95" s="999"/>
      <c r="H95" s="997"/>
      <c r="I95" s="1007"/>
      <c r="J95" s="1007"/>
      <c r="K95" s="1007"/>
      <c r="L95" s="1180">
        <f t="shared" si="7"/>
        <v>90.1</v>
      </c>
    </row>
    <row r="96" spans="1:12" s="607" customFormat="1" ht="21.75">
      <c r="A96" s="600"/>
      <c r="B96" s="593"/>
      <c r="C96" s="1013" t="s">
        <v>403</v>
      </c>
      <c r="D96" s="998"/>
      <c r="E96" s="999"/>
      <c r="F96" s="998"/>
      <c r="G96" s="999"/>
      <c r="H96" s="997">
        <v>9</v>
      </c>
      <c r="I96" s="1007">
        <v>439.8</v>
      </c>
      <c r="J96" s="1007"/>
      <c r="K96" s="1007"/>
      <c r="L96" s="1180">
        <f t="shared" si="7"/>
        <v>439.8</v>
      </c>
    </row>
    <row r="97" spans="1:12" s="607" customFormat="1" ht="21.75">
      <c r="A97" s="600"/>
      <c r="B97" s="593"/>
      <c r="C97" s="1013" t="s">
        <v>404</v>
      </c>
      <c r="D97" s="998"/>
      <c r="E97" s="999"/>
      <c r="F97" s="998"/>
      <c r="G97" s="999"/>
      <c r="H97" s="997">
        <v>3</v>
      </c>
      <c r="I97" s="1007">
        <v>37.4</v>
      </c>
      <c r="J97" s="1007"/>
      <c r="K97" s="1007"/>
      <c r="L97" s="1180">
        <f t="shared" si="7"/>
        <v>37.4</v>
      </c>
    </row>
    <row r="98" spans="1:12" s="607" customFormat="1" ht="21.75">
      <c r="A98" s="570" t="s">
        <v>108</v>
      </c>
      <c r="B98" s="593">
        <v>58</v>
      </c>
      <c r="C98" s="1012" t="s">
        <v>391</v>
      </c>
      <c r="D98" s="998"/>
      <c r="E98" s="999"/>
      <c r="F98" s="998"/>
      <c r="G98" s="999"/>
      <c r="H98" s="997"/>
      <c r="I98" s="1007"/>
      <c r="J98" s="1007"/>
      <c r="K98" s="1007"/>
      <c r="L98" s="1180"/>
    </row>
    <row r="99" spans="1:12" s="607" customFormat="1" ht="88.5" customHeight="1">
      <c r="A99" s="570"/>
      <c r="B99" s="593"/>
      <c r="C99" s="1013" t="s">
        <v>392</v>
      </c>
      <c r="D99" s="998">
        <v>38</v>
      </c>
      <c r="E99" s="999">
        <v>3131.4</v>
      </c>
      <c r="F99" s="998"/>
      <c r="G99" s="999"/>
      <c r="H99" s="997"/>
      <c r="I99" s="1007"/>
      <c r="J99" s="1007"/>
      <c r="K99" s="1007">
        <v>8.8</v>
      </c>
      <c r="L99" s="1180">
        <f t="shared" si="7"/>
        <v>3140.2000000000003</v>
      </c>
    </row>
    <row r="100" spans="1:12" s="621" customFormat="1" ht="21.75">
      <c r="A100" s="632"/>
      <c r="B100" s="640"/>
      <c r="C100" s="587" t="s">
        <v>106</v>
      </c>
      <c r="D100" s="590">
        <f aca="true" t="shared" si="8" ref="D100:K100">SUM(D82:D99)</f>
        <v>86</v>
      </c>
      <c r="E100" s="588">
        <f t="shared" si="8"/>
        <v>4904.3</v>
      </c>
      <c r="F100" s="590">
        <f t="shared" si="8"/>
        <v>2</v>
      </c>
      <c r="G100" s="588">
        <f t="shared" si="8"/>
        <v>908</v>
      </c>
      <c r="H100" s="590">
        <f t="shared" si="8"/>
        <v>35</v>
      </c>
      <c r="I100" s="588">
        <f t="shared" si="8"/>
        <v>2788.0000000000005</v>
      </c>
      <c r="J100" s="588">
        <f t="shared" si="8"/>
        <v>818.8000000000001</v>
      </c>
      <c r="K100" s="588">
        <f t="shared" si="8"/>
        <v>8.8</v>
      </c>
      <c r="L100" s="588">
        <f>SUM(L82:L97)</f>
        <v>6287.700000000001</v>
      </c>
    </row>
    <row r="101" spans="1:12" s="621" customFormat="1" ht="21.75">
      <c r="A101" s="568" t="s">
        <v>249</v>
      </c>
      <c r="B101" s="641"/>
      <c r="C101" s="568" t="s">
        <v>105</v>
      </c>
      <c r="D101" s="623"/>
      <c r="E101" s="592"/>
      <c r="F101" s="623"/>
      <c r="G101" s="592"/>
      <c r="H101" s="624"/>
      <c r="I101" s="592"/>
      <c r="J101" s="592"/>
      <c r="K101" s="592"/>
      <c r="L101" s="592"/>
    </row>
    <row r="102" spans="1:12" s="607" customFormat="1" ht="21.75">
      <c r="A102" s="569" t="s">
        <v>455</v>
      </c>
      <c r="B102" s="585">
        <v>59</v>
      </c>
      <c r="C102" s="1003" t="s">
        <v>464</v>
      </c>
      <c r="D102" s="615"/>
      <c r="E102" s="609"/>
      <c r="F102" s="615"/>
      <c r="G102" s="609"/>
      <c r="H102" s="608">
        <v>1</v>
      </c>
      <c r="I102" s="609">
        <v>47.9</v>
      </c>
      <c r="J102" s="609"/>
      <c r="K102" s="586"/>
      <c r="L102" s="1180">
        <f>SUM(E102,G102,I102,J102,K102)</f>
        <v>47.9</v>
      </c>
    </row>
    <row r="103" spans="1:12" s="621" customFormat="1" ht="21.75">
      <c r="A103" s="622"/>
      <c r="B103" s="640"/>
      <c r="C103" s="587" t="s">
        <v>106</v>
      </c>
      <c r="D103" s="590"/>
      <c r="E103" s="588"/>
      <c r="F103" s="590"/>
      <c r="G103" s="588"/>
      <c r="H103" s="589">
        <f>SUM(H102)</f>
        <v>1</v>
      </c>
      <c r="I103" s="1022">
        <f>SUM(I102)</f>
        <v>47.9</v>
      </c>
      <c r="J103" s="588">
        <f>SUM(J102)</f>
        <v>0</v>
      </c>
      <c r="K103" s="588">
        <f>SUM(K102)</f>
        <v>0</v>
      </c>
      <c r="L103" s="588">
        <f>SUM(L102)</f>
        <v>47.9</v>
      </c>
    </row>
    <row r="104" spans="1:12" s="621" customFormat="1" ht="21.75">
      <c r="A104" s="568" t="s">
        <v>274</v>
      </c>
      <c r="B104" s="641"/>
      <c r="C104" s="572" t="s">
        <v>109</v>
      </c>
      <c r="D104" s="623"/>
      <c r="E104" s="592"/>
      <c r="F104" s="623"/>
      <c r="G104" s="592"/>
      <c r="H104" s="624"/>
      <c r="I104" s="592"/>
      <c r="J104" s="592"/>
      <c r="K104" s="592"/>
      <c r="L104" s="592"/>
    </row>
    <row r="105" spans="1:12" s="607" customFormat="1" ht="40.5">
      <c r="A105" s="569" t="s">
        <v>163</v>
      </c>
      <c r="B105" s="585">
        <v>60</v>
      </c>
      <c r="C105" s="1035" t="s">
        <v>466</v>
      </c>
      <c r="D105" s="601"/>
      <c r="E105" s="602"/>
      <c r="F105" s="594"/>
      <c r="G105" s="595"/>
      <c r="H105" s="617">
        <v>2</v>
      </c>
      <c r="I105" s="577">
        <v>281.1</v>
      </c>
      <c r="J105" s="577"/>
      <c r="K105" s="577" t="s">
        <v>12</v>
      </c>
      <c r="L105" s="1180">
        <f aca="true" t="shared" si="9" ref="L105:L111">SUM(E105,G105,I105,J105,K105)</f>
        <v>281.1</v>
      </c>
    </row>
    <row r="106" spans="1:12" s="610" customFormat="1" ht="40.5">
      <c r="A106" s="569"/>
      <c r="B106" s="585">
        <v>61</v>
      </c>
      <c r="C106" s="1035" t="s">
        <v>481</v>
      </c>
      <c r="D106" s="1101">
        <v>3</v>
      </c>
      <c r="E106" s="1001">
        <v>202.7</v>
      </c>
      <c r="F106" s="594"/>
      <c r="G106" s="595"/>
      <c r="H106" s="617"/>
      <c r="I106" s="577"/>
      <c r="J106" s="577"/>
      <c r="K106" s="577"/>
      <c r="L106" s="1180">
        <f t="shared" si="9"/>
        <v>202.7</v>
      </c>
    </row>
    <row r="107" spans="1:12" s="610" customFormat="1" ht="21.75">
      <c r="A107" s="569"/>
      <c r="B107" s="585">
        <v>62</v>
      </c>
      <c r="C107" s="1035" t="s">
        <v>482</v>
      </c>
      <c r="D107" s="1101"/>
      <c r="E107" s="1001"/>
      <c r="F107" s="594"/>
      <c r="G107" s="595"/>
      <c r="H107" s="617">
        <v>2</v>
      </c>
      <c r="I107" s="1001">
        <v>342</v>
      </c>
      <c r="J107" s="577"/>
      <c r="K107" s="616">
        <f>D107+F107</f>
        <v>0</v>
      </c>
      <c r="L107" s="1180">
        <f t="shared" si="9"/>
        <v>342</v>
      </c>
    </row>
    <row r="108" spans="1:12" s="607" customFormat="1" ht="21.75">
      <c r="A108" s="569"/>
      <c r="B108" s="585">
        <v>63</v>
      </c>
      <c r="C108" s="1011" t="s">
        <v>471</v>
      </c>
      <c r="D108" s="1108"/>
      <c r="E108" s="1106"/>
      <c r="F108" s="594"/>
      <c r="G108" s="595"/>
      <c r="H108" s="617">
        <v>2</v>
      </c>
      <c r="I108" s="577">
        <v>333.6</v>
      </c>
      <c r="J108" s="577"/>
      <c r="K108" s="616">
        <f>D108+F108</f>
        <v>0</v>
      </c>
      <c r="L108" s="1180">
        <f t="shared" si="9"/>
        <v>333.6</v>
      </c>
    </row>
    <row r="109" spans="1:12" s="607" customFormat="1" ht="42">
      <c r="A109" s="569" t="s">
        <v>479</v>
      </c>
      <c r="B109" s="585">
        <v>64</v>
      </c>
      <c r="C109" s="1011" t="s">
        <v>480</v>
      </c>
      <c r="D109" s="1101">
        <v>3</v>
      </c>
      <c r="E109" s="1001">
        <v>222.6</v>
      </c>
      <c r="F109" s="594"/>
      <c r="G109" s="595"/>
      <c r="H109" s="617"/>
      <c r="I109" s="577"/>
      <c r="J109" s="577"/>
      <c r="K109" s="616"/>
      <c r="L109" s="1180">
        <f t="shared" si="9"/>
        <v>222.6</v>
      </c>
    </row>
    <row r="110" spans="1:12" s="607" customFormat="1" ht="21.75">
      <c r="A110" s="569" t="s">
        <v>162</v>
      </c>
      <c r="B110" s="585">
        <v>65</v>
      </c>
      <c r="C110" s="1011" t="s">
        <v>472</v>
      </c>
      <c r="D110" s="601"/>
      <c r="E110" s="602"/>
      <c r="F110" s="594"/>
      <c r="G110" s="595"/>
      <c r="H110" s="617">
        <v>2</v>
      </c>
      <c r="I110" s="577">
        <v>360.2</v>
      </c>
      <c r="J110" s="577"/>
      <c r="K110" s="616">
        <f>D110+F110</f>
        <v>0</v>
      </c>
      <c r="L110" s="1180">
        <f t="shared" si="9"/>
        <v>360.2</v>
      </c>
    </row>
    <row r="111" spans="1:12" s="607" customFormat="1" ht="42">
      <c r="A111" s="569" t="s">
        <v>467</v>
      </c>
      <c r="B111" s="585">
        <v>66</v>
      </c>
      <c r="C111" s="1000" t="s">
        <v>484</v>
      </c>
      <c r="D111" s="601"/>
      <c r="E111" s="602"/>
      <c r="F111" s="594"/>
      <c r="G111" s="595"/>
      <c r="H111" s="617">
        <v>6</v>
      </c>
      <c r="I111" s="577">
        <v>1390.1</v>
      </c>
      <c r="J111" s="577"/>
      <c r="K111" s="617">
        <f>D111+F111</f>
        <v>0</v>
      </c>
      <c r="L111" s="1180">
        <f t="shared" si="9"/>
        <v>1390.1</v>
      </c>
    </row>
    <row r="112" spans="1:12" s="621" customFormat="1" ht="21.75">
      <c r="A112" s="622"/>
      <c r="B112" s="640"/>
      <c r="C112" s="587" t="s">
        <v>106</v>
      </c>
      <c r="D112" s="590">
        <f>SUM(D105:D111)</f>
        <v>6</v>
      </c>
      <c r="E112" s="588">
        <f aca="true" t="shared" si="10" ref="E112:L112">SUM(E105:E111)</f>
        <v>425.29999999999995</v>
      </c>
      <c r="F112" s="590">
        <f t="shared" si="10"/>
        <v>0</v>
      </c>
      <c r="G112" s="590">
        <f t="shared" si="10"/>
        <v>0</v>
      </c>
      <c r="H112" s="590">
        <f t="shared" si="10"/>
        <v>14</v>
      </c>
      <c r="I112" s="588">
        <f t="shared" si="10"/>
        <v>2707</v>
      </c>
      <c r="J112" s="590">
        <f t="shared" si="10"/>
        <v>0</v>
      </c>
      <c r="K112" s="590">
        <f t="shared" si="10"/>
        <v>0</v>
      </c>
      <c r="L112" s="588">
        <f t="shared" si="10"/>
        <v>3132.3</v>
      </c>
    </row>
    <row r="113" spans="1:12" s="621" customFormat="1" ht="21.75">
      <c r="A113" s="591" t="s">
        <v>169</v>
      </c>
      <c r="B113" s="639"/>
      <c r="C113" s="591" t="s">
        <v>105</v>
      </c>
      <c r="D113" s="582"/>
      <c r="E113" s="583"/>
      <c r="F113" s="582"/>
      <c r="G113" s="583"/>
      <c r="H113" s="584"/>
      <c r="I113" s="583"/>
      <c r="J113" s="583"/>
      <c r="K113" s="583"/>
      <c r="L113" s="583"/>
    </row>
    <row r="114" spans="1:12" s="621" customFormat="1" ht="21.75">
      <c r="A114" s="569" t="s">
        <v>162</v>
      </c>
      <c r="B114" s="639">
        <v>67</v>
      </c>
      <c r="C114" s="1003" t="s">
        <v>470</v>
      </c>
      <c r="D114" s="1036">
        <v>28</v>
      </c>
      <c r="E114" s="1034">
        <v>885.1</v>
      </c>
      <c r="F114" s="582"/>
      <c r="G114" s="583"/>
      <c r="H114" s="584"/>
      <c r="I114" s="583"/>
      <c r="J114" s="613"/>
      <c r="K114" s="583"/>
      <c r="L114" s="1180">
        <f>SUM(E114,G114,I114,J114,K114)</f>
        <v>885.1</v>
      </c>
    </row>
    <row r="115" spans="1:12" s="607" customFormat="1" ht="42.75" customHeight="1">
      <c r="A115" s="576" t="s">
        <v>197</v>
      </c>
      <c r="B115" s="585">
        <v>68</v>
      </c>
      <c r="C115" s="575" t="s">
        <v>219</v>
      </c>
      <c r="D115" s="1101">
        <v>3</v>
      </c>
      <c r="E115" s="1001">
        <v>1527.2</v>
      </c>
      <c r="F115" s="594"/>
      <c r="G115" s="595"/>
      <c r="H115" s="617">
        <v>3</v>
      </c>
      <c r="I115" s="577">
        <v>28.2</v>
      </c>
      <c r="J115" s="577">
        <v>3171.1</v>
      </c>
      <c r="K115" s="602"/>
      <c r="L115" s="1180">
        <f>SUM(E115,G115,I115,J115,K115)</f>
        <v>4726.5</v>
      </c>
    </row>
    <row r="116" spans="1:12" s="621" customFormat="1" ht="21.75">
      <c r="A116" s="622"/>
      <c r="B116" s="640"/>
      <c r="C116" s="587" t="s">
        <v>106</v>
      </c>
      <c r="D116" s="590">
        <f>SUM(D114:D115)</f>
        <v>31</v>
      </c>
      <c r="E116" s="588">
        <f aca="true" t="shared" si="11" ref="E116:L116">SUM(E114:E115)</f>
        <v>2412.3</v>
      </c>
      <c r="F116" s="590">
        <f t="shared" si="11"/>
        <v>0</v>
      </c>
      <c r="G116" s="590">
        <f t="shared" si="11"/>
        <v>0</v>
      </c>
      <c r="H116" s="590">
        <f t="shared" si="11"/>
        <v>3</v>
      </c>
      <c r="I116" s="588">
        <f t="shared" si="11"/>
        <v>28.2</v>
      </c>
      <c r="J116" s="588">
        <f t="shared" si="11"/>
        <v>3171.1</v>
      </c>
      <c r="K116" s="590">
        <f t="shared" si="11"/>
        <v>0</v>
      </c>
      <c r="L116" s="588">
        <f t="shared" si="11"/>
        <v>5611.6</v>
      </c>
    </row>
    <row r="117" spans="1:12" s="621" customFormat="1" ht="21.75">
      <c r="A117" s="568" t="s">
        <v>462</v>
      </c>
      <c r="B117" s="641"/>
      <c r="C117" s="572" t="s">
        <v>109</v>
      </c>
      <c r="D117" s="623"/>
      <c r="E117" s="592"/>
      <c r="F117" s="623"/>
      <c r="G117" s="592"/>
      <c r="H117" s="624"/>
      <c r="I117" s="592"/>
      <c r="J117" s="592"/>
      <c r="K117" s="592"/>
      <c r="L117" s="592"/>
    </row>
    <row r="118" spans="1:12" s="607" customFormat="1" ht="21.75">
      <c r="A118" s="569" t="s">
        <v>455</v>
      </c>
      <c r="B118" s="585">
        <v>69</v>
      </c>
      <c r="C118" s="1050" t="s">
        <v>463</v>
      </c>
      <c r="D118" s="601"/>
      <c r="E118" s="602"/>
      <c r="F118" s="594"/>
      <c r="G118" s="595"/>
      <c r="H118" s="614">
        <v>3</v>
      </c>
      <c r="I118" s="613">
        <v>201.1</v>
      </c>
      <c r="J118" s="613"/>
      <c r="K118" s="577" t="s">
        <v>12</v>
      </c>
      <c r="L118" s="1180">
        <f>SUM(E118,G118,I118,J118,K118)</f>
        <v>201.1</v>
      </c>
    </row>
    <row r="119" spans="1:12" s="621" customFormat="1" ht="21.75">
      <c r="A119" s="622"/>
      <c r="B119" s="640"/>
      <c r="C119" s="587" t="s">
        <v>106</v>
      </c>
      <c r="D119" s="590"/>
      <c r="E119" s="588"/>
      <c r="F119" s="590"/>
      <c r="G119" s="588"/>
      <c r="H119" s="589">
        <f>SUM(H118)</f>
        <v>3</v>
      </c>
      <c r="I119" s="1022">
        <f>SUM(I118)</f>
        <v>201.1</v>
      </c>
      <c r="J119" s="588">
        <f>SUM(J118)</f>
        <v>0</v>
      </c>
      <c r="K119" s="588">
        <f>SUM(K118)</f>
        <v>0</v>
      </c>
      <c r="L119" s="588">
        <f>SUM(G119,I119,J119,K119)</f>
        <v>201.1</v>
      </c>
    </row>
    <row r="120" spans="1:12" s="621" customFormat="1" ht="21.75">
      <c r="A120" s="568" t="s">
        <v>457</v>
      </c>
      <c r="B120" s="641"/>
      <c r="C120" s="572" t="s">
        <v>109</v>
      </c>
      <c r="D120" s="623"/>
      <c r="E120" s="592"/>
      <c r="F120" s="623"/>
      <c r="G120" s="592"/>
      <c r="H120" s="624"/>
      <c r="I120" s="592"/>
      <c r="J120" s="592"/>
      <c r="K120" s="592"/>
      <c r="L120" s="592"/>
    </row>
    <row r="121" spans="1:12" s="607" customFormat="1" ht="42">
      <c r="A121" s="569" t="s">
        <v>455</v>
      </c>
      <c r="B121" s="585">
        <v>70</v>
      </c>
      <c r="C121" s="1003" t="s">
        <v>456</v>
      </c>
      <c r="D121" s="615"/>
      <c r="E121" s="609"/>
      <c r="F121" s="615"/>
      <c r="G121" s="609"/>
      <c r="H121" s="608"/>
      <c r="I121" s="1010"/>
      <c r="J121" s="1010">
        <v>2379</v>
      </c>
      <c r="K121" s="586"/>
      <c r="L121" s="1180">
        <f>SUM(E121,G121,I121,J121,K121)</f>
        <v>2379</v>
      </c>
    </row>
    <row r="122" spans="1:12" s="621" customFormat="1" ht="21.75">
      <c r="A122" s="839"/>
      <c r="B122" s="840"/>
      <c r="C122" s="587" t="s">
        <v>106</v>
      </c>
      <c r="D122" s="842"/>
      <c r="E122" s="843"/>
      <c r="F122" s="842"/>
      <c r="G122" s="843"/>
      <c r="H122" s="842"/>
      <c r="I122" s="843"/>
      <c r="J122" s="843">
        <f>SUM(J121)</f>
        <v>2379</v>
      </c>
      <c r="K122" s="843">
        <f>SUM(K121)</f>
        <v>0</v>
      </c>
      <c r="L122" s="843">
        <f>SUM(L121)</f>
        <v>2379</v>
      </c>
    </row>
    <row r="123" spans="1:12" s="621" customFormat="1" ht="21.75">
      <c r="A123" s="591" t="s">
        <v>452</v>
      </c>
      <c r="B123" s="641"/>
      <c r="C123" s="591" t="s">
        <v>105</v>
      </c>
      <c r="D123" s="625"/>
      <c r="E123" s="626"/>
      <c r="F123" s="625"/>
      <c r="G123" s="626"/>
      <c r="H123" s="627"/>
      <c r="I123" s="626"/>
      <c r="J123" s="626"/>
      <c r="K123" s="626"/>
      <c r="L123" s="596"/>
    </row>
    <row r="124" spans="1:12" s="607" customFormat="1" ht="21.75">
      <c r="A124" s="570" t="s">
        <v>453</v>
      </c>
      <c r="B124" s="585">
        <v>71</v>
      </c>
      <c r="C124" s="1006" t="s">
        <v>454</v>
      </c>
      <c r="D124" s="612"/>
      <c r="E124" s="613"/>
      <c r="F124" s="612"/>
      <c r="G124" s="613"/>
      <c r="H124" s="616">
        <v>1</v>
      </c>
      <c r="I124" s="577">
        <v>109.1</v>
      </c>
      <c r="J124" s="613"/>
      <c r="K124" s="613"/>
      <c r="L124" s="1180">
        <f>SUM(E124,G124,I124,J124,K124)</f>
        <v>109.1</v>
      </c>
    </row>
    <row r="125" spans="1:12" s="607" customFormat="1" ht="42">
      <c r="A125" s="569"/>
      <c r="B125" s="585">
        <v>72</v>
      </c>
      <c r="C125" s="1003" t="s">
        <v>456</v>
      </c>
      <c r="D125" s="615"/>
      <c r="E125" s="609"/>
      <c r="F125" s="615"/>
      <c r="G125" s="609"/>
      <c r="H125" s="608"/>
      <c r="I125" s="1010"/>
      <c r="J125" s="1010">
        <v>2379</v>
      </c>
      <c r="K125" s="586"/>
      <c r="L125" s="1180">
        <f>SUM(E125,G125,I125,J125,K125)</f>
        <v>2379</v>
      </c>
    </row>
    <row r="126" spans="1:12" s="621" customFormat="1" ht="21.75">
      <c r="A126" s="622"/>
      <c r="B126" s="640"/>
      <c r="C126" s="587" t="s">
        <v>106</v>
      </c>
      <c r="D126" s="590"/>
      <c r="E126" s="588"/>
      <c r="F126" s="590"/>
      <c r="G126" s="588"/>
      <c r="H126" s="590">
        <f>SUM(H124:H125)</f>
        <v>1</v>
      </c>
      <c r="I126" s="588">
        <f>SUM(I124:I125)</f>
        <v>109.1</v>
      </c>
      <c r="J126" s="588">
        <f>SUM(J124:J125)</f>
        <v>2379</v>
      </c>
      <c r="K126" s="590">
        <f>SUM(K124:K125)</f>
        <v>0</v>
      </c>
      <c r="L126" s="588">
        <f>SUM(L124:L125)</f>
        <v>2488.1</v>
      </c>
    </row>
    <row r="127" spans="1:12" s="621" customFormat="1" ht="21.75">
      <c r="A127" s="591" t="s">
        <v>110</v>
      </c>
      <c r="B127" s="641"/>
      <c r="C127" s="591" t="s">
        <v>105</v>
      </c>
      <c r="D127" s="625"/>
      <c r="E127" s="626"/>
      <c r="F127" s="625"/>
      <c r="G127" s="626"/>
      <c r="H127" s="627"/>
      <c r="I127" s="626"/>
      <c r="J127" s="626"/>
      <c r="K127" s="626"/>
      <c r="L127" s="596"/>
    </row>
    <row r="128" spans="1:12" s="610" customFormat="1" ht="42">
      <c r="A128" s="570" t="s">
        <v>111</v>
      </c>
      <c r="B128" s="585">
        <v>73</v>
      </c>
      <c r="C128" s="696" t="s">
        <v>175</v>
      </c>
      <c r="D128" s="616"/>
      <c r="E128" s="577"/>
      <c r="F128" s="616"/>
      <c r="G128" s="577">
        <v>491</v>
      </c>
      <c r="H128" s="617"/>
      <c r="I128" s="577"/>
      <c r="J128" s="577"/>
      <c r="K128" s="577"/>
      <c r="L128" s="1180">
        <f>SUM(E128,G128,I128,J128,K128)</f>
        <v>491</v>
      </c>
    </row>
    <row r="129" spans="1:12" s="607" customFormat="1" ht="21.75">
      <c r="A129" s="571"/>
      <c r="B129" s="585">
        <v>74</v>
      </c>
      <c r="C129" s="573" t="s">
        <v>112</v>
      </c>
      <c r="D129" s="612"/>
      <c r="E129" s="613"/>
      <c r="F129" s="612"/>
      <c r="G129" s="613">
        <v>142.1</v>
      </c>
      <c r="H129" s="614"/>
      <c r="I129" s="613"/>
      <c r="J129" s="613"/>
      <c r="K129" s="613"/>
      <c r="L129" s="1180">
        <f>SUM(E129,G129,I129,J129,K129)</f>
        <v>142.1</v>
      </c>
    </row>
    <row r="130" spans="1:12" s="607" customFormat="1" ht="21.75">
      <c r="A130" s="571"/>
      <c r="B130" s="585"/>
      <c r="C130" s="813" t="s">
        <v>324</v>
      </c>
      <c r="D130" s="612"/>
      <c r="E130" s="613"/>
      <c r="F130" s="612"/>
      <c r="G130" s="613"/>
      <c r="H130" s="614">
        <v>2</v>
      </c>
      <c r="I130" s="613">
        <v>434.2</v>
      </c>
      <c r="J130" s="613"/>
      <c r="K130" s="613"/>
      <c r="L130" s="1180">
        <f>SUM(E130,G130,I130,J130,K130)</f>
        <v>434.2</v>
      </c>
    </row>
    <row r="131" spans="1:12" s="621" customFormat="1" ht="21.75">
      <c r="A131" s="622"/>
      <c r="B131" s="640"/>
      <c r="C131" s="587" t="s">
        <v>106</v>
      </c>
      <c r="D131" s="590"/>
      <c r="E131" s="588"/>
      <c r="F131" s="590"/>
      <c r="G131" s="588">
        <f aca="true" t="shared" si="12" ref="G131:L131">SUM(G128:G130)</f>
        <v>633.1</v>
      </c>
      <c r="H131" s="590">
        <f t="shared" si="12"/>
        <v>2</v>
      </c>
      <c r="I131" s="588">
        <f t="shared" si="12"/>
        <v>434.2</v>
      </c>
      <c r="J131" s="588">
        <f t="shared" si="12"/>
        <v>0</v>
      </c>
      <c r="K131" s="588">
        <f t="shared" si="12"/>
        <v>0</v>
      </c>
      <c r="L131" s="588">
        <f t="shared" si="12"/>
        <v>1067.3</v>
      </c>
    </row>
    <row r="132" spans="1:12" s="621" customFormat="1" ht="21.75">
      <c r="A132" s="591" t="s">
        <v>292</v>
      </c>
      <c r="B132" s="639"/>
      <c r="C132" s="591" t="s">
        <v>104</v>
      </c>
      <c r="D132" s="945"/>
      <c r="E132" s="946"/>
      <c r="F132" s="945"/>
      <c r="G132" s="946"/>
      <c r="H132" s="947"/>
      <c r="I132" s="946"/>
      <c r="J132" s="946"/>
      <c r="K132" s="946"/>
      <c r="L132" s="948"/>
    </row>
    <row r="133" spans="1:12" s="607" customFormat="1" ht="41.25" customHeight="1">
      <c r="A133" s="569" t="s">
        <v>111</v>
      </c>
      <c r="B133" s="585">
        <v>75</v>
      </c>
      <c r="C133" s="1003" t="s">
        <v>543</v>
      </c>
      <c r="D133" s="612"/>
      <c r="E133" s="613"/>
      <c r="F133" s="612"/>
      <c r="G133" s="613"/>
      <c r="H133" s="616"/>
      <c r="I133" s="577"/>
      <c r="J133" s="613"/>
      <c r="K133" s="609">
        <f>7081+15562.7</f>
        <v>22643.7</v>
      </c>
      <c r="L133" s="1180">
        <f>SUM(E133,G133,I133,J133,K133)</f>
        <v>22643.7</v>
      </c>
    </row>
    <row r="134" spans="1:12" s="621" customFormat="1" ht="22.5" thickBot="1">
      <c r="A134" s="839"/>
      <c r="B134" s="840"/>
      <c r="C134" s="841" t="s">
        <v>106</v>
      </c>
      <c r="D134" s="842"/>
      <c r="E134" s="843"/>
      <c r="F134" s="842"/>
      <c r="G134" s="843"/>
      <c r="H134" s="842"/>
      <c r="I134" s="843"/>
      <c r="J134" s="843">
        <f>SUM(J133:J133)</f>
        <v>0</v>
      </c>
      <c r="K134" s="843">
        <f>SUM(K133:K133)</f>
        <v>22643.7</v>
      </c>
      <c r="L134" s="843">
        <f>SUM(L133:L133)</f>
        <v>22643.7</v>
      </c>
    </row>
    <row r="135" spans="1:12" s="621" customFormat="1" ht="20.25" customHeight="1" thickBot="1">
      <c r="A135" s="1277" t="s">
        <v>60</v>
      </c>
      <c r="B135" s="1277"/>
      <c r="C135" s="1277"/>
      <c r="D135" s="844">
        <f aca="true" t="shared" si="13" ref="D135:K135">SUM(D4:D134)/2</f>
        <v>360</v>
      </c>
      <c r="E135" s="845">
        <f t="shared" si="13"/>
        <v>33229</v>
      </c>
      <c r="F135" s="844">
        <f t="shared" si="13"/>
        <v>23</v>
      </c>
      <c r="G135" s="845">
        <f t="shared" si="13"/>
        <v>20609.999999999993</v>
      </c>
      <c r="H135" s="844">
        <f t="shared" si="13"/>
        <v>300</v>
      </c>
      <c r="I135" s="845">
        <f t="shared" si="13"/>
        <v>28712.899999999994</v>
      </c>
      <c r="J135" s="845">
        <f t="shared" si="13"/>
        <v>13312.6</v>
      </c>
      <c r="K135" s="845">
        <f t="shared" si="13"/>
        <v>57738.899999999994</v>
      </c>
      <c r="L135" s="845">
        <f>SUM(L14:L134)/2</f>
        <v>145331.30000000002</v>
      </c>
    </row>
    <row r="136" ht="19.5" customHeight="1">
      <c r="A136" s="295" t="s">
        <v>205</v>
      </c>
    </row>
  </sheetData>
  <sheetProtection/>
  <mergeCells count="11">
    <mergeCell ref="D2:E2"/>
    <mergeCell ref="A31:A32"/>
    <mergeCell ref="A135:C135"/>
    <mergeCell ref="H2:I2"/>
    <mergeCell ref="J2:J3"/>
    <mergeCell ref="K2:K3"/>
    <mergeCell ref="L2:L3"/>
    <mergeCell ref="A2:A3"/>
    <mergeCell ref="B2:B3"/>
    <mergeCell ref="C2:C3"/>
    <mergeCell ref="F2:G2"/>
  </mergeCells>
  <printOptions/>
  <pageMargins left="0" right="0" top="0.4" bottom="0.4"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5"/>
  </sheetPr>
  <dimension ref="A1:O60"/>
  <sheetViews>
    <sheetView zoomScalePageLayoutView="0" workbookViewId="0" topLeftCell="A1">
      <selection activeCell="D7" sqref="D7"/>
    </sheetView>
  </sheetViews>
  <sheetFormatPr defaultColWidth="9.140625" defaultRowHeight="12.75"/>
  <cols>
    <col min="1" max="1" width="28.00390625" style="68" customWidth="1"/>
    <col min="2" max="2" width="7.28125" style="58" customWidth="1"/>
    <col min="3" max="3" width="8.7109375" style="446" customWidth="1"/>
    <col min="4" max="4" width="7.00390625" style="58" customWidth="1"/>
    <col min="5" max="5" width="10.00390625" style="446" customWidth="1"/>
    <col min="6" max="6" width="7.28125" style="58" customWidth="1"/>
    <col min="7" max="7" width="7.57421875" style="442" customWidth="1"/>
    <col min="8" max="8" width="7.28125" style="68" customWidth="1"/>
    <col min="9" max="9" width="9.57421875" style="442" customWidth="1"/>
    <col min="10" max="10" width="7.57421875" style="68" customWidth="1"/>
    <col min="11" max="11" width="9.00390625" style="442" customWidth="1"/>
    <col min="16" max="16384" width="9.140625" style="68" customWidth="1"/>
  </cols>
  <sheetData>
    <row r="1" spans="1:15" s="72" customFormat="1" ht="23.25" customHeight="1" thickBot="1">
      <c r="A1" s="183" t="s">
        <v>328</v>
      </c>
      <c r="B1" s="96"/>
      <c r="C1" s="443"/>
      <c r="D1" s="96"/>
      <c r="E1" s="443"/>
      <c r="F1" s="96"/>
      <c r="G1" s="443"/>
      <c r="H1" s="433" t="s">
        <v>0</v>
      </c>
      <c r="I1" s="443"/>
      <c r="J1" s="82"/>
      <c r="L1"/>
      <c r="M1"/>
      <c r="N1"/>
      <c r="O1"/>
    </row>
    <row r="2" spans="1:15" s="72" customFormat="1" ht="70.5" customHeight="1">
      <c r="A2" s="1271" t="s">
        <v>1</v>
      </c>
      <c r="B2" s="1289" t="s">
        <v>70</v>
      </c>
      <c r="C2" s="1289"/>
      <c r="D2" s="1289" t="s">
        <v>77</v>
      </c>
      <c r="E2" s="1289"/>
      <c r="F2" s="1289" t="s">
        <v>80</v>
      </c>
      <c r="G2" s="1289"/>
      <c r="H2" s="1290" t="s">
        <v>92</v>
      </c>
      <c r="I2" s="1290"/>
      <c r="J2" s="1288" t="s">
        <v>65</v>
      </c>
      <c r="K2" s="1288"/>
      <c r="L2"/>
      <c r="M2"/>
      <c r="N2"/>
      <c r="O2"/>
    </row>
    <row r="3" spans="1:15" s="72" customFormat="1" ht="19.5" customHeight="1" thickBot="1">
      <c r="A3" s="1272"/>
      <c r="B3" s="171" t="s">
        <v>10</v>
      </c>
      <c r="C3" s="434" t="s">
        <v>9</v>
      </c>
      <c r="D3" s="171" t="s">
        <v>10</v>
      </c>
      <c r="E3" s="434" t="s">
        <v>9</v>
      </c>
      <c r="F3" s="171" t="s">
        <v>10</v>
      </c>
      <c r="G3" s="434" t="s">
        <v>9</v>
      </c>
      <c r="H3" s="171" t="s">
        <v>10</v>
      </c>
      <c r="I3" s="434" t="s">
        <v>9</v>
      </c>
      <c r="J3" s="171" t="s">
        <v>10</v>
      </c>
      <c r="K3" s="434" t="s">
        <v>9</v>
      </c>
      <c r="L3"/>
      <c r="M3"/>
      <c r="N3"/>
      <c r="O3"/>
    </row>
    <row r="4" spans="1:15" s="66" customFormat="1" ht="18.75" customHeight="1">
      <c r="A4" s="75" t="s">
        <v>619</v>
      </c>
      <c r="B4" s="169"/>
      <c r="C4" s="436"/>
      <c r="D4" s="88"/>
      <c r="E4" s="436"/>
      <c r="F4" s="169"/>
      <c r="G4" s="436"/>
      <c r="H4" s="168"/>
      <c r="I4" s="436"/>
      <c r="J4" s="165"/>
      <c r="K4" s="449"/>
      <c r="L4"/>
      <c r="M4"/>
      <c r="N4"/>
      <c r="O4"/>
    </row>
    <row r="5" spans="1:15" s="66" customFormat="1" ht="18.75" customHeight="1">
      <c r="A5" s="167" t="s">
        <v>20</v>
      </c>
      <c r="B5" s="264"/>
      <c r="C5" s="444"/>
      <c r="D5" s="264">
        <v>3</v>
      </c>
      <c r="E5" s="444">
        <v>419.6</v>
      </c>
      <c r="F5" s="264"/>
      <c r="G5" s="444"/>
      <c r="H5" s="263"/>
      <c r="I5" s="444"/>
      <c r="J5" s="266">
        <f>SUM(D5)</f>
        <v>3</v>
      </c>
      <c r="K5" s="450">
        <f>SUM(E5)</f>
        <v>419.6</v>
      </c>
      <c r="L5"/>
      <c r="M5"/>
      <c r="N5"/>
      <c r="O5"/>
    </row>
    <row r="6" spans="1:15" s="66" customFormat="1" ht="18.75" customHeight="1">
      <c r="A6" s="80" t="s">
        <v>620</v>
      </c>
      <c r="B6" s="169"/>
      <c r="C6" s="436"/>
      <c r="D6" s="1230"/>
      <c r="E6" s="436"/>
      <c r="F6" s="169"/>
      <c r="G6" s="436"/>
      <c r="H6" s="168"/>
      <c r="I6" s="436"/>
      <c r="J6" s="165"/>
      <c r="K6" s="449"/>
      <c r="L6"/>
      <c r="M6"/>
      <c r="N6"/>
      <c r="O6"/>
    </row>
    <row r="7" spans="1:15" s="66" customFormat="1" ht="18.75" customHeight="1">
      <c r="A7" s="75" t="s">
        <v>621</v>
      </c>
      <c r="B7" s="169"/>
      <c r="C7" s="436"/>
      <c r="D7" s="169">
        <v>3</v>
      </c>
      <c r="E7" s="436">
        <v>75.4</v>
      </c>
      <c r="F7" s="169"/>
      <c r="G7" s="436"/>
      <c r="H7" s="168"/>
      <c r="I7" s="436"/>
      <c r="J7" s="165">
        <f>SUM(D7)</f>
        <v>3</v>
      </c>
      <c r="K7" s="449">
        <f>SUM(E7)</f>
        <v>75.4</v>
      </c>
      <c r="L7"/>
      <c r="M7"/>
      <c r="N7"/>
      <c r="O7"/>
    </row>
    <row r="8" spans="1:15" s="267" customFormat="1" ht="18.75" customHeight="1">
      <c r="A8" s="167" t="s">
        <v>46</v>
      </c>
      <c r="B8" s="264"/>
      <c r="C8" s="444"/>
      <c r="D8" s="264">
        <v>3</v>
      </c>
      <c r="E8" s="447">
        <v>75.4</v>
      </c>
      <c r="F8" s="264"/>
      <c r="G8" s="444"/>
      <c r="H8" s="263"/>
      <c r="I8" s="444"/>
      <c r="J8" s="165">
        <f>SUM(D8)</f>
        <v>3</v>
      </c>
      <c r="K8" s="449">
        <f>SUM(E8)</f>
        <v>75.4</v>
      </c>
      <c r="L8" s="253"/>
      <c r="M8" s="253"/>
      <c r="N8" s="253"/>
      <c r="O8" s="253"/>
    </row>
    <row r="9" spans="1:15" s="72" customFormat="1" ht="21.75" thickBot="1">
      <c r="A9" s="105" t="s">
        <v>65</v>
      </c>
      <c r="B9" s="149"/>
      <c r="C9" s="437"/>
      <c r="D9" s="149">
        <f>SUM(D4:D8)</f>
        <v>9</v>
      </c>
      <c r="E9" s="437">
        <f>SUM(E4:E8)</f>
        <v>570.4</v>
      </c>
      <c r="F9" s="149"/>
      <c r="G9" s="149"/>
      <c r="H9" s="149"/>
      <c r="I9" s="437"/>
      <c r="J9" s="149">
        <f>SUM(J5:J8)</f>
        <v>9</v>
      </c>
      <c r="K9" s="1229">
        <f>SUM(K5:K8)</f>
        <v>570.4</v>
      </c>
      <c r="L9"/>
      <c r="M9"/>
      <c r="N9"/>
      <c r="O9"/>
    </row>
    <row r="10" spans="1:15" s="72" customFormat="1" ht="29.25" customHeight="1">
      <c r="A10" s="102"/>
      <c r="B10" s="102"/>
      <c r="C10" s="445"/>
      <c r="D10" s="102"/>
      <c r="E10" s="445"/>
      <c r="F10" s="102"/>
      <c r="G10" s="445"/>
      <c r="H10" s="103"/>
      <c r="I10" s="445"/>
      <c r="J10" s="104"/>
      <c r="K10" s="438"/>
      <c r="L10"/>
      <c r="M10"/>
      <c r="N10"/>
      <c r="O10"/>
    </row>
    <row r="11" spans="1:15" s="72" customFormat="1" ht="21.75" customHeight="1">
      <c r="A11" s="69"/>
      <c r="B11" s="106"/>
      <c r="C11" s="439"/>
      <c r="D11" s="106"/>
      <c r="E11" s="439"/>
      <c r="F11" s="106"/>
      <c r="G11" s="439"/>
      <c r="H11" s="106"/>
      <c r="I11" s="439"/>
      <c r="J11" s="106"/>
      <c r="K11" s="439"/>
      <c r="L11"/>
      <c r="M11"/>
      <c r="N11"/>
      <c r="O11"/>
    </row>
    <row r="12" spans="1:15" s="72" customFormat="1" ht="18" customHeight="1">
      <c r="A12" s="82"/>
      <c r="B12" s="100"/>
      <c r="C12" s="435"/>
      <c r="D12" s="64"/>
      <c r="E12" s="448"/>
      <c r="F12" s="100"/>
      <c r="G12" s="435"/>
      <c r="H12" s="100"/>
      <c r="I12" s="435"/>
      <c r="J12" s="51"/>
      <c r="K12" s="440"/>
      <c r="L12"/>
      <c r="M12"/>
      <c r="N12"/>
      <c r="O12"/>
    </row>
    <row r="13" spans="3:11" ht="17.25" customHeight="1">
      <c r="C13" s="441"/>
      <c r="E13" s="441"/>
      <c r="G13" s="441"/>
      <c r="I13" s="441"/>
      <c r="K13" s="441"/>
    </row>
    <row r="14" spans="1:15" s="72" customFormat="1" ht="23.25" customHeight="1">
      <c r="A14" s="183"/>
      <c r="B14" s="96"/>
      <c r="C14" s="443"/>
      <c r="D14" s="96"/>
      <c r="E14" s="443"/>
      <c r="F14" s="96"/>
      <c r="G14" s="443"/>
      <c r="H14" s="97"/>
      <c r="I14" s="443"/>
      <c r="J14" s="82"/>
      <c r="K14" s="433"/>
      <c r="L14"/>
      <c r="M14"/>
      <c r="N14"/>
      <c r="O14"/>
    </row>
    <row r="15" spans="3:11" ht="20.25" customHeight="1">
      <c r="C15" s="441"/>
      <c r="E15" s="441"/>
      <c r="G15" s="441"/>
      <c r="I15" s="441"/>
      <c r="K15" s="441"/>
    </row>
    <row r="16" spans="3:11" ht="20.25" customHeight="1">
      <c r="C16" s="441"/>
      <c r="E16" s="441"/>
      <c r="G16" s="441"/>
      <c r="I16" s="441"/>
      <c r="K16" s="441"/>
    </row>
    <row r="17" spans="3:11" ht="20.25" customHeight="1">
      <c r="C17" s="441"/>
      <c r="E17" s="441"/>
      <c r="G17" s="441"/>
      <c r="I17" s="441"/>
      <c r="K17" s="441"/>
    </row>
    <row r="18" spans="3:11" ht="20.25" customHeight="1">
      <c r="C18" s="441"/>
      <c r="E18" s="441"/>
      <c r="G18" s="441"/>
      <c r="I18" s="441"/>
      <c r="K18" s="441"/>
    </row>
    <row r="19" spans="3:11" ht="20.25" customHeight="1">
      <c r="C19" s="441"/>
      <c r="E19" s="441"/>
      <c r="G19" s="441"/>
      <c r="I19" s="441"/>
      <c r="K19" s="441"/>
    </row>
    <row r="20" spans="3:11" ht="20.25" customHeight="1">
      <c r="C20" s="441"/>
      <c r="E20" s="441"/>
      <c r="G20" s="441"/>
      <c r="I20" s="441"/>
      <c r="K20" s="441"/>
    </row>
    <row r="21" spans="3:11" ht="20.25" customHeight="1">
      <c r="C21" s="441"/>
      <c r="E21" s="441"/>
      <c r="G21" s="441"/>
      <c r="I21" s="441"/>
      <c r="K21" s="441"/>
    </row>
    <row r="22" spans="3:11" ht="20.25" customHeight="1">
      <c r="C22" s="441"/>
      <c r="E22" s="441"/>
      <c r="G22" s="441"/>
      <c r="I22" s="441"/>
      <c r="K22" s="441"/>
    </row>
    <row r="23" spans="3:11" ht="20.25" customHeight="1">
      <c r="C23" s="441"/>
      <c r="E23" s="441"/>
      <c r="G23" s="441"/>
      <c r="I23" s="441"/>
      <c r="K23" s="441"/>
    </row>
    <row r="24" spans="3:11" ht="20.25" customHeight="1">
      <c r="C24" s="441"/>
      <c r="E24" s="441"/>
      <c r="G24" s="441"/>
      <c r="I24" s="441"/>
      <c r="K24" s="441"/>
    </row>
    <row r="25" spans="3:11" ht="20.25" customHeight="1">
      <c r="C25" s="441"/>
      <c r="E25" s="441"/>
      <c r="G25" s="441"/>
      <c r="I25" s="441"/>
      <c r="K25" s="441"/>
    </row>
    <row r="26" spans="3:11" ht="20.25" customHeight="1">
      <c r="C26" s="441"/>
      <c r="E26" s="441"/>
      <c r="G26" s="441"/>
      <c r="I26" s="441"/>
      <c r="K26" s="441"/>
    </row>
    <row r="27" spans="3:11" ht="20.25" customHeight="1">
      <c r="C27" s="441"/>
      <c r="E27" s="441"/>
      <c r="G27" s="441"/>
      <c r="I27" s="441"/>
      <c r="K27" s="441"/>
    </row>
    <row r="28" spans="3:11" ht="20.25" customHeight="1">
      <c r="C28" s="441"/>
      <c r="E28" s="441"/>
      <c r="G28" s="441"/>
      <c r="I28" s="441"/>
      <c r="K28" s="441"/>
    </row>
    <row r="29" spans="3:11" ht="20.25" customHeight="1">
      <c r="C29" s="441"/>
      <c r="E29" s="441"/>
      <c r="G29" s="441"/>
      <c r="I29" s="441"/>
      <c r="K29" s="441"/>
    </row>
    <row r="30" spans="3:11" ht="20.25" customHeight="1">
      <c r="C30" s="441"/>
      <c r="E30" s="441"/>
      <c r="G30" s="441"/>
      <c r="I30" s="441"/>
      <c r="K30" s="441"/>
    </row>
    <row r="31" spans="3:11" ht="20.25" customHeight="1">
      <c r="C31" s="441"/>
      <c r="E31" s="441"/>
      <c r="G31" s="441"/>
      <c r="I31" s="441"/>
      <c r="K31" s="441"/>
    </row>
    <row r="32" spans="3:11" ht="20.25" customHeight="1">
      <c r="C32" s="441"/>
      <c r="E32" s="441"/>
      <c r="G32" s="441"/>
      <c r="I32" s="441"/>
      <c r="K32" s="441"/>
    </row>
    <row r="33" spans="3:11" ht="20.25" customHeight="1">
      <c r="C33" s="441"/>
      <c r="E33" s="441"/>
      <c r="G33" s="441"/>
      <c r="I33" s="441"/>
      <c r="K33" s="441"/>
    </row>
    <row r="34" spans="3:11" ht="20.25" customHeight="1">
      <c r="C34" s="441"/>
      <c r="E34" s="441"/>
      <c r="G34" s="441"/>
      <c r="I34" s="441"/>
      <c r="K34" s="441"/>
    </row>
    <row r="35" spans="3:11" ht="20.25" customHeight="1">
      <c r="C35" s="441"/>
      <c r="E35" s="441"/>
      <c r="G35" s="441"/>
      <c r="I35" s="441"/>
      <c r="K35" s="441"/>
    </row>
    <row r="36" spans="3:11" ht="20.25" customHeight="1">
      <c r="C36" s="441"/>
      <c r="E36" s="441"/>
      <c r="G36" s="441"/>
      <c r="I36" s="441"/>
      <c r="K36" s="441"/>
    </row>
    <row r="37" spans="3:11" ht="20.25" customHeight="1">
      <c r="C37" s="441"/>
      <c r="E37" s="441"/>
      <c r="G37" s="441"/>
      <c r="I37" s="441"/>
      <c r="K37" s="441"/>
    </row>
    <row r="38" spans="3:11" ht="20.25" customHeight="1">
      <c r="C38" s="441"/>
      <c r="E38" s="441"/>
      <c r="G38" s="441"/>
      <c r="I38" s="441"/>
      <c r="K38" s="441"/>
    </row>
    <row r="39" spans="3:11" ht="20.25" customHeight="1">
      <c r="C39" s="441"/>
      <c r="E39" s="441"/>
      <c r="G39" s="441"/>
      <c r="I39" s="441"/>
      <c r="K39" s="441"/>
    </row>
    <row r="40" spans="3:11" ht="20.25" customHeight="1">
      <c r="C40" s="441"/>
      <c r="E40" s="441"/>
      <c r="G40" s="441"/>
      <c r="I40" s="441"/>
      <c r="K40" s="441"/>
    </row>
    <row r="41" spans="3:11" ht="20.25" customHeight="1">
      <c r="C41" s="441"/>
      <c r="E41" s="441"/>
      <c r="G41" s="441"/>
      <c r="I41" s="441"/>
      <c r="K41" s="441"/>
    </row>
    <row r="42" spans="3:11" ht="20.25" customHeight="1">
      <c r="C42" s="441"/>
      <c r="E42" s="441"/>
      <c r="G42" s="441"/>
      <c r="I42" s="441"/>
      <c r="K42" s="441"/>
    </row>
    <row r="43" spans="3:11" ht="20.25" customHeight="1">
      <c r="C43" s="441"/>
      <c r="E43" s="441"/>
      <c r="G43" s="441"/>
      <c r="I43" s="441"/>
      <c r="K43" s="441"/>
    </row>
    <row r="44" spans="3:11" ht="20.25" customHeight="1">
      <c r="C44" s="441"/>
      <c r="E44" s="441"/>
      <c r="G44" s="441"/>
      <c r="I44" s="441"/>
      <c r="K44" s="441"/>
    </row>
    <row r="45" spans="3:11" ht="20.25" customHeight="1">
      <c r="C45" s="441"/>
      <c r="E45" s="441"/>
      <c r="G45" s="441"/>
      <c r="I45" s="441"/>
      <c r="K45" s="441"/>
    </row>
    <row r="46" spans="3:11" ht="20.25" customHeight="1">
      <c r="C46" s="441"/>
      <c r="E46" s="441"/>
      <c r="G46" s="441"/>
      <c r="I46" s="441"/>
      <c r="K46" s="441"/>
    </row>
    <row r="47" spans="3:11" ht="20.25" customHeight="1">
      <c r="C47" s="441"/>
      <c r="E47" s="441"/>
      <c r="G47" s="441"/>
      <c r="I47" s="441"/>
      <c r="K47" s="441"/>
    </row>
    <row r="48" spans="3:11" ht="20.25" customHeight="1">
      <c r="C48" s="441"/>
      <c r="E48" s="441"/>
      <c r="G48" s="441"/>
      <c r="I48" s="441"/>
      <c r="K48" s="441"/>
    </row>
    <row r="49" spans="3:11" ht="20.25" customHeight="1">
      <c r="C49" s="441"/>
      <c r="E49" s="441"/>
      <c r="G49" s="441"/>
      <c r="I49" s="441"/>
      <c r="K49" s="441"/>
    </row>
    <row r="50" spans="3:11" ht="20.25" customHeight="1">
      <c r="C50" s="441"/>
      <c r="E50" s="441"/>
      <c r="G50" s="441"/>
      <c r="I50" s="441"/>
      <c r="K50" s="441"/>
    </row>
    <row r="51" spans="3:11" ht="20.25" customHeight="1">
      <c r="C51" s="441"/>
      <c r="E51" s="441"/>
      <c r="G51" s="441"/>
      <c r="I51" s="441"/>
      <c r="K51" s="441"/>
    </row>
    <row r="52" spans="3:11" ht="20.25" customHeight="1">
      <c r="C52" s="441"/>
      <c r="E52" s="441"/>
      <c r="G52" s="441"/>
      <c r="I52" s="441"/>
      <c r="K52" s="441"/>
    </row>
    <row r="53" spans="3:11" ht="20.25" customHeight="1">
      <c r="C53" s="441"/>
      <c r="E53" s="441"/>
      <c r="G53" s="441"/>
      <c r="I53" s="441"/>
      <c r="K53" s="441"/>
    </row>
    <row r="54" spans="3:11" ht="20.25" customHeight="1">
      <c r="C54" s="441"/>
      <c r="E54" s="441"/>
      <c r="G54" s="441"/>
      <c r="I54" s="441"/>
      <c r="K54" s="441"/>
    </row>
    <row r="55" spans="3:11" ht="20.25" customHeight="1">
      <c r="C55" s="441"/>
      <c r="E55" s="441"/>
      <c r="G55" s="441"/>
      <c r="I55" s="441"/>
      <c r="K55" s="441"/>
    </row>
    <row r="56" spans="3:11" ht="20.25" customHeight="1">
      <c r="C56" s="441"/>
      <c r="E56" s="441"/>
      <c r="G56" s="441"/>
      <c r="I56" s="441"/>
      <c r="K56" s="441"/>
    </row>
    <row r="57" spans="3:11" ht="20.25" customHeight="1">
      <c r="C57" s="441"/>
      <c r="E57" s="441"/>
      <c r="G57" s="441"/>
      <c r="I57" s="441"/>
      <c r="K57" s="441"/>
    </row>
    <row r="58" spans="3:11" ht="20.25" customHeight="1">
      <c r="C58" s="441"/>
      <c r="E58" s="441"/>
      <c r="G58" s="441"/>
      <c r="I58" s="441"/>
      <c r="K58" s="441"/>
    </row>
    <row r="59" spans="3:11" ht="20.25" customHeight="1">
      <c r="C59" s="441"/>
      <c r="E59" s="441"/>
      <c r="G59" s="441"/>
      <c r="I59" s="441"/>
      <c r="K59" s="441"/>
    </row>
    <row r="60" spans="3:11" ht="20.25" customHeight="1">
      <c r="C60" s="441"/>
      <c r="E60" s="441"/>
      <c r="G60" s="441"/>
      <c r="I60" s="441"/>
      <c r="K60" s="441"/>
    </row>
  </sheetData>
  <sheetProtection/>
  <mergeCells count="6">
    <mergeCell ref="A2:A3"/>
    <mergeCell ref="J2:K2"/>
    <mergeCell ref="D2:E2"/>
    <mergeCell ref="B2:C2"/>
    <mergeCell ref="F2:G2"/>
    <mergeCell ref="H2:I2"/>
  </mergeCells>
  <printOptions horizontalCentered="1"/>
  <pageMargins left="0.25" right="0.354330708661417" top="1.04" bottom="0.31" header="0.31" footer="0.2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5"/>
  </sheetPr>
  <dimension ref="A1:AL58"/>
  <sheetViews>
    <sheetView zoomScalePageLayoutView="0" workbookViewId="0" topLeftCell="A1">
      <pane xSplit="1" ySplit="3" topLeftCell="B10" activePane="bottomRight" state="frozen"/>
      <selection pane="topLeft" activeCell="A1" sqref="A1"/>
      <selection pane="topRight" activeCell="B1" sqref="B1"/>
      <selection pane="bottomLeft" activeCell="A4" sqref="A4"/>
      <selection pane="bottomRight" activeCell="K22" sqref="K22"/>
    </sheetView>
  </sheetViews>
  <sheetFormatPr defaultColWidth="9.140625" defaultRowHeight="12.75"/>
  <cols>
    <col min="1" max="1" width="13.57421875" style="111" customWidth="1"/>
    <col min="2" max="2" width="4.7109375" style="137" customWidth="1"/>
    <col min="3" max="3" width="8.140625" style="328" customWidth="1"/>
    <col min="4" max="4" width="4.421875" style="138" customWidth="1"/>
    <col min="5" max="5" width="7.421875" style="344" customWidth="1"/>
    <col min="6" max="6" width="4.7109375" style="111" bestFit="1" customWidth="1"/>
    <col min="7" max="7" width="8.28125" style="341" bestFit="1" customWidth="1"/>
    <col min="8" max="8" width="5.140625" style="139" customWidth="1"/>
    <col min="9" max="9" width="8.28125" style="111" customWidth="1"/>
    <col min="10" max="10" width="4.421875" style="111" customWidth="1"/>
    <col min="11" max="11" width="9.140625" style="281" customWidth="1"/>
    <col min="12" max="12" width="4.7109375" style="139" customWidth="1"/>
    <col min="13" max="13" width="8.421875" style="138" customWidth="1"/>
    <col min="14" max="14" width="5.421875" style="139" customWidth="1"/>
    <col min="15" max="15" width="9.00390625" style="111" customWidth="1"/>
    <col min="16" max="16" width="4.7109375" style="139" customWidth="1"/>
    <col min="17" max="17" width="6.7109375" style="111" customWidth="1"/>
    <col min="18" max="18" width="5.00390625" style="139" bestFit="1" customWidth="1"/>
    <col min="19" max="19" width="9.57421875" style="341" customWidth="1"/>
    <col min="20" max="20" width="7.8515625" style="0" customWidth="1"/>
    <col min="21" max="21" width="5.00390625" style="0" customWidth="1"/>
    <col min="23" max="23" width="5.00390625" style="0" customWidth="1"/>
    <col min="25" max="25" width="4.8515625" style="0" customWidth="1"/>
    <col min="27" max="27" width="4.8515625" style="0" customWidth="1"/>
    <col min="29" max="29" width="4.8515625" style="0" customWidth="1"/>
    <col min="31" max="31" width="4.7109375" style="0" customWidth="1"/>
    <col min="33" max="33" width="5.00390625" style="0" customWidth="1"/>
    <col min="35" max="35" width="5.140625" style="0" customWidth="1"/>
    <col min="37" max="37" width="4.8515625" style="0" customWidth="1"/>
    <col min="39" max="39" width="4.8515625" style="111" customWidth="1"/>
    <col min="40" max="40" width="9.140625" style="111" customWidth="1"/>
    <col min="41" max="41" width="4.7109375" style="111" customWidth="1"/>
    <col min="42" max="42" width="9.140625" style="111" customWidth="1"/>
    <col min="43" max="43" width="5.140625" style="111" customWidth="1"/>
    <col min="44" max="44" width="9.140625" style="111" customWidth="1"/>
    <col min="45" max="45" width="5.140625" style="111" customWidth="1"/>
    <col min="46" max="16384" width="9.140625" style="111" customWidth="1"/>
  </cols>
  <sheetData>
    <row r="1" spans="1:38" s="59" customFormat="1" ht="29.25" customHeight="1" thickBot="1">
      <c r="A1" s="184" t="s">
        <v>329</v>
      </c>
      <c r="B1" s="137"/>
      <c r="C1" s="328"/>
      <c r="D1" s="138"/>
      <c r="E1" s="344"/>
      <c r="F1" s="138"/>
      <c r="G1" s="344"/>
      <c r="H1" s="139"/>
      <c r="I1" s="138"/>
      <c r="J1" s="138"/>
      <c r="K1" s="328"/>
      <c r="N1" s="139"/>
      <c r="P1" s="74"/>
      <c r="Q1" s="74"/>
      <c r="R1" s="74"/>
      <c r="S1" s="335" t="s">
        <v>0</v>
      </c>
      <c r="T1"/>
      <c r="U1"/>
      <c r="V1"/>
      <c r="W1"/>
      <c r="X1"/>
      <c r="Y1"/>
      <c r="Z1"/>
      <c r="AA1"/>
      <c r="AB1"/>
      <c r="AC1"/>
      <c r="AD1"/>
      <c r="AE1"/>
      <c r="AF1"/>
      <c r="AG1"/>
      <c r="AH1"/>
      <c r="AI1"/>
      <c r="AJ1"/>
      <c r="AK1"/>
      <c r="AL1"/>
    </row>
    <row r="2" spans="1:38" s="59" customFormat="1" ht="73.5" customHeight="1" thickBot="1">
      <c r="A2" s="1271" t="s">
        <v>1</v>
      </c>
      <c r="B2" s="1273" t="s">
        <v>70</v>
      </c>
      <c r="C2" s="1273"/>
      <c r="D2" s="1269" t="s">
        <v>72</v>
      </c>
      <c r="E2" s="1269"/>
      <c r="F2" s="1292" t="s">
        <v>84</v>
      </c>
      <c r="G2" s="1292"/>
      <c r="H2" s="1292" t="s">
        <v>76</v>
      </c>
      <c r="I2" s="1292"/>
      <c r="J2" s="1292" t="s">
        <v>77</v>
      </c>
      <c r="K2" s="1292"/>
      <c r="L2" s="1270" t="s">
        <v>78</v>
      </c>
      <c r="M2" s="1270"/>
      <c r="N2" s="1293" t="s">
        <v>80</v>
      </c>
      <c r="O2" s="1293"/>
      <c r="P2" s="1291" t="s">
        <v>485</v>
      </c>
      <c r="Q2" s="1291"/>
      <c r="R2" s="1274" t="s">
        <v>65</v>
      </c>
      <c r="S2" s="1274"/>
      <c r="T2"/>
      <c r="U2"/>
      <c r="V2"/>
      <c r="W2"/>
      <c r="X2"/>
      <c r="Y2"/>
      <c r="Z2"/>
      <c r="AA2"/>
      <c r="AB2"/>
      <c r="AC2"/>
      <c r="AD2"/>
      <c r="AE2"/>
      <c r="AF2"/>
      <c r="AG2"/>
      <c r="AH2"/>
      <c r="AI2"/>
      <c r="AJ2"/>
      <c r="AK2"/>
      <c r="AL2"/>
    </row>
    <row r="3" spans="1:38" s="59" customFormat="1" ht="23.25" customHeight="1" thickBot="1">
      <c r="A3" s="1272"/>
      <c r="B3" s="164" t="s">
        <v>10</v>
      </c>
      <c r="C3" s="329" t="s">
        <v>9</v>
      </c>
      <c r="D3" s="164" t="s">
        <v>10</v>
      </c>
      <c r="E3" s="336" t="s">
        <v>9</v>
      </c>
      <c r="F3" s="164" t="s">
        <v>10</v>
      </c>
      <c r="G3" s="336" t="s">
        <v>9</v>
      </c>
      <c r="H3" s="91" t="s">
        <v>10</v>
      </c>
      <c r="I3" s="159" t="s">
        <v>9</v>
      </c>
      <c r="J3" s="91" t="s">
        <v>10</v>
      </c>
      <c r="K3" s="329" t="s">
        <v>9</v>
      </c>
      <c r="L3" s="91" t="s">
        <v>10</v>
      </c>
      <c r="M3" s="159" t="s">
        <v>9</v>
      </c>
      <c r="N3" s="91" t="s">
        <v>10</v>
      </c>
      <c r="O3" s="159" t="s">
        <v>9</v>
      </c>
      <c r="P3" s="159" t="s">
        <v>10</v>
      </c>
      <c r="Q3" s="159" t="s">
        <v>9</v>
      </c>
      <c r="R3" s="159" t="s">
        <v>10</v>
      </c>
      <c r="S3" s="336" t="s">
        <v>9</v>
      </c>
      <c r="T3"/>
      <c r="U3"/>
      <c r="V3"/>
      <c r="W3"/>
      <c r="X3"/>
      <c r="Y3"/>
      <c r="Z3"/>
      <c r="AA3"/>
      <c r="AB3"/>
      <c r="AC3"/>
      <c r="AD3"/>
      <c r="AE3"/>
      <c r="AF3"/>
      <c r="AG3"/>
      <c r="AH3"/>
      <c r="AI3"/>
      <c r="AJ3"/>
      <c r="AK3"/>
      <c r="AL3"/>
    </row>
    <row r="4" spans="1:38" s="59" customFormat="1" ht="21.75" customHeight="1">
      <c r="A4" s="75" t="s">
        <v>85</v>
      </c>
      <c r="B4" s="61"/>
      <c r="C4" s="330"/>
      <c r="D4" s="62"/>
      <c r="E4" s="337"/>
      <c r="F4" s="62"/>
      <c r="G4" s="337"/>
      <c r="H4" s="63"/>
      <c r="I4" s="62"/>
      <c r="J4" s="62"/>
      <c r="K4" s="330"/>
      <c r="L4" s="63"/>
      <c r="M4" s="62"/>
      <c r="N4" s="63"/>
      <c r="O4" s="62"/>
      <c r="P4" s="63"/>
      <c r="Q4" s="62"/>
      <c r="R4" s="63"/>
      <c r="S4" s="337"/>
      <c r="T4"/>
      <c r="U4"/>
      <c r="V4"/>
      <c r="W4"/>
      <c r="X4"/>
      <c r="Y4"/>
      <c r="Z4"/>
      <c r="AA4"/>
      <c r="AB4"/>
      <c r="AC4"/>
      <c r="AD4"/>
      <c r="AE4"/>
      <c r="AF4"/>
      <c r="AG4"/>
      <c r="AH4"/>
      <c r="AI4"/>
      <c r="AJ4"/>
      <c r="AK4"/>
      <c r="AL4"/>
    </row>
    <row r="5" spans="1:38" s="79" customFormat="1" ht="23.25" customHeight="1">
      <c r="A5" s="109" t="s">
        <v>86</v>
      </c>
      <c r="B5" s="909"/>
      <c r="C5" s="910"/>
      <c r="D5" s="909"/>
      <c r="E5" s="911"/>
      <c r="F5" s="909"/>
      <c r="G5" s="911">
        <v>684.1</v>
      </c>
      <c r="H5" s="909"/>
      <c r="I5" s="909"/>
      <c r="J5" s="912"/>
      <c r="K5" s="910"/>
      <c r="L5" s="909"/>
      <c r="M5" s="909">
        <v>433.3</v>
      </c>
      <c r="N5" s="909"/>
      <c r="O5" s="909"/>
      <c r="P5" s="909"/>
      <c r="Q5" s="909"/>
      <c r="R5" s="89">
        <f aca="true" t="shared" si="0" ref="R5:S8">SUM(B5,D5,F5,H5,J5,L5,N5,P5)</f>
        <v>0</v>
      </c>
      <c r="S5" s="339">
        <f t="shared" si="0"/>
        <v>1117.4</v>
      </c>
      <c r="T5"/>
      <c r="U5"/>
      <c r="V5"/>
      <c r="W5"/>
      <c r="X5"/>
      <c r="Y5"/>
      <c r="Z5"/>
      <c r="AA5"/>
      <c r="AB5"/>
      <c r="AC5"/>
      <c r="AD5"/>
      <c r="AE5"/>
      <c r="AF5"/>
      <c r="AG5"/>
      <c r="AH5"/>
      <c r="AI5"/>
      <c r="AJ5"/>
      <c r="AK5"/>
      <c r="AL5"/>
    </row>
    <row r="6" spans="1:38" s="79" customFormat="1" ht="23.25" customHeight="1">
      <c r="A6" s="109" t="s">
        <v>87</v>
      </c>
      <c r="B6" s="909"/>
      <c r="C6" s="910"/>
      <c r="D6" s="922"/>
      <c r="E6" s="911"/>
      <c r="F6" s="912"/>
      <c r="G6" s="911">
        <v>55.2</v>
      </c>
      <c r="H6" s="909"/>
      <c r="I6" s="909">
        <v>1048.5</v>
      </c>
      <c r="J6" s="922"/>
      <c r="K6" s="910">
        <v>1246.1</v>
      </c>
      <c r="L6" s="909"/>
      <c r="M6" s="911">
        <v>49</v>
      </c>
      <c r="N6" s="909"/>
      <c r="O6" s="911"/>
      <c r="P6" s="909"/>
      <c r="Q6" s="909"/>
      <c r="R6" s="89">
        <f t="shared" si="0"/>
        <v>0</v>
      </c>
      <c r="S6" s="339">
        <f t="shared" si="0"/>
        <v>2398.8</v>
      </c>
      <c r="T6"/>
      <c r="U6"/>
      <c r="V6"/>
      <c r="W6"/>
      <c r="X6"/>
      <c r="Y6"/>
      <c r="Z6"/>
      <c r="AA6"/>
      <c r="AB6"/>
      <c r="AC6"/>
      <c r="AD6"/>
      <c r="AE6"/>
      <c r="AF6"/>
      <c r="AG6"/>
      <c r="AH6"/>
      <c r="AI6"/>
      <c r="AJ6"/>
      <c r="AK6"/>
      <c r="AL6"/>
    </row>
    <row r="7" spans="1:38" s="79" customFormat="1" ht="23.25" customHeight="1">
      <c r="A7" s="109" t="s">
        <v>88</v>
      </c>
      <c r="B7" s="922"/>
      <c r="C7" s="922">
        <v>284</v>
      </c>
      <c r="D7" s="909"/>
      <c r="E7" s="911">
        <v>5.6</v>
      </c>
      <c r="F7" s="909"/>
      <c r="G7" s="911">
        <v>836</v>
      </c>
      <c r="H7" s="909"/>
      <c r="I7" s="909">
        <v>2285.8</v>
      </c>
      <c r="J7" s="909"/>
      <c r="K7" s="910">
        <v>1173.7</v>
      </c>
      <c r="L7" s="909"/>
      <c r="M7" s="909">
        <v>581.4</v>
      </c>
      <c r="N7" s="909"/>
      <c r="O7" s="909">
        <v>383.4</v>
      </c>
      <c r="P7" s="909">
        <v>1</v>
      </c>
      <c r="Q7" s="909">
        <v>69.6</v>
      </c>
      <c r="R7" s="89">
        <f t="shared" si="0"/>
        <v>1</v>
      </c>
      <c r="S7" s="339">
        <f t="shared" si="0"/>
        <v>5619.5</v>
      </c>
      <c r="T7"/>
      <c r="U7"/>
      <c r="V7"/>
      <c r="W7"/>
      <c r="X7"/>
      <c r="Y7"/>
      <c r="Z7"/>
      <c r="AA7"/>
      <c r="AB7"/>
      <c r="AC7"/>
      <c r="AD7"/>
      <c r="AE7"/>
      <c r="AF7"/>
      <c r="AG7"/>
      <c r="AH7"/>
      <c r="AI7"/>
      <c r="AJ7"/>
      <c r="AK7"/>
      <c r="AL7"/>
    </row>
    <row r="8" spans="1:38" s="79" customFormat="1" ht="23.25" customHeight="1">
      <c r="A8" s="109" t="s">
        <v>89</v>
      </c>
      <c r="B8" s="909"/>
      <c r="C8" s="910">
        <v>313.8</v>
      </c>
      <c r="D8" s="909"/>
      <c r="E8" s="911"/>
      <c r="F8" s="909"/>
      <c r="G8" s="911"/>
      <c r="H8" s="922"/>
      <c r="I8" s="938">
        <v>451.8</v>
      </c>
      <c r="J8" s="922"/>
      <c r="K8" s="910"/>
      <c r="L8" s="922"/>
      <c r="M8" s="909"/>
      <c r="N8" s="909"/>
      <c r="O8" s="909">
        <v>395.9</v>
      </c>
      <c r="P8" s="912"/>
      <c r="Q8" s="909"/>
      <c r="R8" s="89">
        <f t="shared" si="0"/>
        <v>0</v>
      </c>
      <c r="S8" s="339">
        <f t="shared" si="0"/>
        <v>1161.5</v>
      </c>
      <c r="T8"/>
      <c r="U8"/>
      <c r="V8"/>
      <c r="W8"/>
      <c r="X8"/>
      <c r="Y8"/>
      <c r="Z8"/>
      <c r="AA8"/>
      <c r="AB8"/>
      <c r="AC8"/>
      <c r="AD8"/>
      <c r="AE8"/>
      <c r="AF8"/>
      <c r="AG8"/>
      <c r="AH8"/>
      <c r="AI8"/>
      <c r="AJ8"/>
      <c r="AK8"/>
      <c r="AL8"/>
    </row>
    <row r="9" spans="1:38" s="207" customFormat="1" ht="24.75" customHeight="1">
      <c r="A9" s="80" t="s">
        <v>16</v>
      </c>
      <c r="B9" s="913"/>
      <c r="C9" s="914"/>
      <c r="D9" s="916"/>
      <c r="E9" s="917"/>
      <c r="F9" s="916"/>
      <c r="G9" s="917"/>
      <c r="H9" s="939"/>
      <c r="I9" s="939"/>
      <c r="J9" s="939"/>
      <c r="K9" s="918"/>
      <c r="L9" s="916"/>
      <c r="M9" s="919"/>
      <c r="N9" s="916"/>
      <c r="O9" s="916"/>
      <c r="P9" s="916"/>
      <c r="Q9" s="916"/>
      <c r="R9" s="87"/>
      <c r="S9" s="338"/>
      <c r="T9" s="347"/>
      <c r="U9" s="347"/>
      <c r="V9" s="347"/>
      <c r="W9" s="347"/>
      <c r="X9" s="347"/>
      <c r="Y9" s="347"/>
      <c r="Z9" s="347"/>
      <c r="AA9" s="347"/>
      <c r="AB9" s="347"/>
      <c r="AC9" s="347"/>
      <c r="AD9" s="347"/>
      <c r="AE9" s="347"/>
      <c r="AF9" s="347"/>
      <c r="AG9" s="347"/>
      <c r="AH9" s="347"/>
      <c r="AI9" s="347"/>
      <c r="AJ9" s="347"/>
      <c r="AK9" s="347"/>
      <c r="AL9" s="347"/>
    </row>
    <row r="10" spans="1:38" s="40" customFormat="1" ht="24" customHeight="1">
      <c r="A10" s="109" t="s">
        <v>95</v>
      </c>
      <c r="B10" s="909"/>
      <c r="C10" s="910">
        <v>612.5</v>
      </c>
      <c r="D10" s="909"/>
      <c r="E10" s="911"/>
      <c r="F10" s="909"/>
      <c r="G10" s="911"/>
      <c r="H10" s="922"/>
      <c r="I10" s="922"/>
      <c r="J10" s="922"/>
      <c r="K10" s="910"/>
      <c r="L10" s="922">
        <v>1</v>
      </c>
      <c r="M10" s="909">
        <v>90</v>
      </c>
      <c r="N10" s="909"/>
      <c r="O10" s="909"/>
      <c r="P10" s="909"/>
      <c r="Q10" s="909"/>
      <c r="R10" s="89">
        <f>SUM(B10,D10,F10,H10,J10,L10,N10,P10)</f>
        <v>1</v>
      </c>
      <c r="S10" s="339">
        <f>SUM(C10,E10,G10,I10,K10,M10,O10,Q10)</f>
        <v>702.5</v>
      </c>
      <c r="T10"/>
      <c r="U10"/>
      <c r="V10"/>
      <c r="W10"/>
      <c r="X10"/>
      <c r="Y10"/>
      <c r="Z10"/>
      <c r="AA10"/>
      <c r="AB10"/>
      <c r="AC10"/>
      <c r="AD10"/>
      <c r="AE10"/>
      <c r="AF10"/>
      <c r="AG10"/>
      <c r="AH10"/>
      <c r="AI10"/>
      <c r="AJ10"/>
      <c r="AK10"/>
      <c r="AL10"/>
    </row>
    <row r="11" spans="1:38" s="342" customFormat="1" ht="24" customHeight="1">
      <c r="A11" s="109" t="s">
        <v>91</v>
      </c>
      <c r="B11" s="909"/>
      <c r="C11" s="910">
        <v>289</v>
      </c>
      <c r="D11" s="909"/>
      <c r="E11" s="911"/>
      <c r="F11" s="909"/>
      <c r="G11" s="911"/>
      <c r="H11" s="909"/>
      <c r="I11" s="909"/>
      <c r="J11" s="909"/>
      <c r="K11" s="910"/>
      <c r="L11" s="909"/>
      <c r="M11" s="909">
        <v>469.2</v>
      </c>
      <c r="N11" s="912"/>
      <c r="O11" s="909"/>
      <c r="P11" s="909"/>
      <c r="Q11" s="909"/>
      <c r="R11" s="89">
        <f>SUM(B11,D11,F11,H11,J11,L11,N11,P11)</f>
        <v>0</v>
      </c>
      <c r="S11" s="339">
        <f>SUM(C11,E11,G11,I11,K11,M11,O11,Q11)</f>
        <v>758.2</v>
      </c>
      <c r="T11" s="182"/>
      <c r="U11" s="182"/>
      <c r="V11" s="182"/>
      <c r="W11" s="182"/>
      <c r="X11" s="182"/>
      <c r="Y11" s="182"/>
      <c r="Z11" s="182"/>
      <c r="AA11" s="182"/>
      <c r="AB11" s="182"/>
      <c r="AC11" s="182"/>
      <c r="AD11" s="182"/>
      <c r="AE11" s="182"/>
      <c r="AF11" s="182"/>
      <c r="AG11" s="182"/>
      <c r="AH11" s="182"/>
      <c r="AI11" s="182"/>
      <c r="AJ11" s="182"/>
      <c r="AK11" s="182"/>
      <c r="AL11" s="182"/>
    </row>
    <row r="12" spans="1:38" s="348" customFormat="1" ht="21" customHeight="1">
      <c r="A12" s="80" t="s">
        <v>21</v>
      </c>
      <c r="B12" s="913"/>
      <c r="C12" s="920"/>
      <c r="D12" s="913"/>
      <c r="E12" s="921"/>
      <c r="F12" s="913"/>
      <c r="G12" s="921"/>
      <c r="H12" s="913"/>
      <c r="I12" s="913"/>
      <c r="J12" s="913"/>
      <c r="K12" s="920"/>
      <c r="L12" s="913"/>
      <c r="M12" s="913"/>
      <c r="N12" s="913"/>
      <c r="O12" s="913"/>
      <c r="P12" s="913"/>
      <c r="Q12" s="913"/>
      <c r="R12" s="87"/>
      <c r="S12" s="338"/>
      <c r="T12" s="347"/>
      <c r="U12" s="347"/>
      <c r="V12" s="347"/>
      <c r="W12" s="347"/>
      <c r="X12" s="347"/>
      <c r="Y12" s="347"/>
      <c r="Z12" s="347"/>
      <c r="AA12" s="347"/>
      <c r="AB12" s="347"/>
      <c r="AC12" s="347"/>
      <c r="AD12" s="347"/>
      <c r="AE12" s="347"/>
      <c r="AF12" s="347"/>
      <c r="AG12" s="347"/>
      <c r="AH12" s="347"/>
      <c r="AI12" s="347"/>
      <c r="AJ12" s="347"/>
      <c r="AK12" s="347"/>
      <c r="AL12" s="347"/>
    </row>
    <row r="13" spans="1:38" s="342" customFormat="1" ht="24" customHeight="1">
      <c r="A13" s="109" t="s">
        <v>90</v>
      </c>
      <c r="B13" s="909"/>
      <c r="C13" s="910"/>
      <c r="D13" s="922"/>
      <c r="E13" s="911"/>
      <c r="F13" s="922"/>
      <c r="G13" s="911">
        <v>0.6</v>
      </c>
      <c r="H13" s="909"/>
      <c r="I13" s="909"/>
      <c r="J13" s="922"/>
      <c r="K13" s="910">
        <v>278.4</v>
      </c>
      <c r="L13" s="909"/>
      <c r="M13" s="909"/>
      <c r="N13" s="909"/>
      <c r="O13" s="909"/>
      <c r="P13" s="909"/>
      <c r="Q13" s="909"/>
      <c r="R13" s="89">
        <f>SUM(B13,D13,F13,H13,J13,L13,N13,P13)</f>
        <v>0</v>
      </c>
      <c r="S13" s="339">
        <f>SUM(C13,E13,G13,I13,K13,M13,O13,Q13)</f>
        <v>279</v>
      </c>
      <c r="T13" s="182"/>
      <c r="U13" s="182"/>
      <c r="V13" s="182"/>
      <c r="W13" s="182"/>
      <c r="X13" s="182"/>
      <c r="Y13" s="182"/>
      <c r="Z13" s="182"/>
      <c r="AA13" s="182"/>
      <c r="AB13" s="182"/>
      <c r="AC13" s="182"/>
      <c r="AD13" s="182"/>
      <c r="AE13" s="182"/>
      <c r="AF13" s="182"/>
      <c r="AG13" s="182"/>
      <c r="AH13" s="182"/>
      <c r="AI13" s="182"/>
      <c r="AJ13" s="182"/>
      <c r="AK13" s="182"/>
      <c r="AL13" s="182"/>
    </row>
    <row r="14" spans="1:38" s="207" customFormat="1" ht="23.25" customHeight="1">
      <c r="A14" s="80" t="s">
        <v>24</v>
      </c>
      <c r="B14" s="913"/>
      <c r="C14" s="914"/>
      <c r="D14" s="916"/>
      <c r="E14" s="917"/>
      <c r="F14" s="919"/>
      <c r="G14" s="915"/>
      <c r="H14" s="916"/>
      <c r="I14" s="919"/>
      <c r="J14" s="919"/>
      <c r="K14" s="914"/>
      <c r="L14" s="916"/>
      <c r="M14" s="919"/>
      <c r="N14" s="916"/>
      <c r="O14" s="919"/>
      <c r="P14" s="916"/>
      <c r="Q14" s="919"/>
      <c r="R14" s="87"/>
      <c r="S14" s="338"/>
      <c r="T14" s="347"/>
      <c r="U14" s="347"/>
      <c r="V14" s="347"/>
      <c r="W14" s="347"/>
      <c r="X14" s="347"/>
      <c r="Y14" s="347"/>
      <c r="Z14" s="347"/>
      <c r="AA14" s="347"/>
      <c r="AB14" s="347"/>
      <c r="AC14" s="347"/>
      <c r="AD14" s="347"/>
      <c r="AE14" s="347"/>
      <c r="AF14" s="347"/>
      <c r="AG14" s="347"/>
      <c r="AH14" s="347"/>
      <c r="AI14" s="347"/>
      <c r="AJ14" s="347"/>
      <c r="AK14" s="347"/>
      <c r="AL14" s="347"/>
    </row>
    <row r="15" spans="1:38" s="40" customFormat="1" ht="23.25" customHeight="1">
      <c r="A15" s="109" t="s">
        <v>98</v>
      </c>
      <c r="B15" s="909"/>
      <c r="C15" s="910">
        <v>2253.1</v>
      </c>
      <c r="D15" s="909"/>
      <c r="E15" s="911"/>
      <c r="F15" s="909"/>
      <c r="G15" s="911">
        <v>311.1</v>
      </c>
      <c r="H15" s="909"/>
      <c r="I15" s="909"/>
      <c r="J15" s="912"/>
      <c r="K15" s="910"/>
      <c r="L15" s="909"/>
      <c r="M15" s="909"/>
      <c r="N15" s="912"/>
      <c r="O15" s="909"/>
      <c r="P15" s="912"/>
      <c r="Q15" s="909">
        <v>120.3</v>
      </c>
      <c r="R15" s="89">
        <f aca="true" t="shared" si="1" ref="R15:S20">SUM(B15,D15,F15,H15,J15,L15,N15,P15)</f>
        <v>0</v>
      </c>
      <c r="S15" s="339">
        <f t="shared" si="1"/>
        <v>2684.5</v>
      </c>
      <c r="T15"/>
      <c r="U15"/>
      <c r="V15"/>
      <c r="W15"/>
      <c r="X15"/>
      <c r="Y15"/>
      <c r="Z15"/>
      <c r="AA15"/>
      <c r="AB15"/>
      <c r="AC15"/>
      <c r="AD15"/>
      <c r="AE15"/>
      <c r="AF15"/>
      <c r="AG15"/>
      <c r="AH15"/>
      <c r="AI15"/>
      <c r="AJ15"/>
      <c r="AK15"/>
      <c r="AL15"/>
    </row>
    <row r="16" spans="1:38" s="40" customFormat="1" ht="23.25" customHeight="1">
      <c r="A16" s="109" t="s">
        <v>93</v>
      </c>
      <c r="B16" s="922"/>
      <c r="C16" s="910">
        <v>306.5</v>
      </c>
      <c r="D16" s="909"/>
      <c r="E16" s="911"/>
      <c r="F16" s="922"/>
      <c r="G16" s="911"/>
      <c r="H16" s="912"/>
      <c r="I16" s="909"/>
      <c r="J16" s="909"/>
      <c r="K16" s="910"/>
      <c r="L16" s="909"/>
      <c r="M16" s="909"/>
      <c r="N16" s="909"/>
      <c r="O16" s="909"/>
      <c r="P16" s="922"/>
      <c r="Q16" s="909">
        <v>212.2</v>
      </c>
      <c r="R16" s="89">
        <f t="shared" si="1"/>
        <v>0</v>
      </c>
      <c r="S16" s="339">
        <f t="shared" si="1"/>
        <v>518.7</v>
      </c>
      <c r="T16"/>
      <c r="U16"/>
      <c r="V16"/>
      <c r="W16"/>
      <c r="X16"/>
      <c r="Y16"/>
      <c r="Z16"/>
      <c r="AA16"/>
      <c r="AB16"/>
      <c r="AC16"/>
      <c r="AD16"/>
      <c r="AE16"/>
      <c r="AF16"/>
      <c r="AG16"/>
      <c r="AH16"/>
      <c r="AI16"/>
      <c r="AJ16"/>
      <c r="AK16"/>
      <c r="AL16"/>
    </row>
    <row r="17" spans="1:38" s="40" customFormat="1" ht="23.25" customHeight="1">
      <c r="A17" s="109" t="s">
        <v>125</v>
      </c>
      <c r="B17" s="909"/>
      <c r="C17" s="910"/>
      <c r="D17" s="909"/>
      <c r="E17" s="911"/>
      <c r="F17" s="912"/>
      <c r="G17" s="911"/>
      <c r="H17" s="912"/>
      <c r="I17" s="909"/>
      <c r="J17" s="922"/>
      <c r="K17" s="910"/>
      <c r="L17" s="909"/>
      <c r="M17" s="909">
        <v>806</v>
      </c>
      <c r="N17" s="922"/>
      <c r="O17" s="909">
        <v>407.7</v>
      </c>
      <c r="P17" s="922">
        <v>1</v>
      </c>
      <c r="Q17" s="909">
        <v>120.2</v>
      </c>
      <c r="R17" s="89">
        <f t="shared" si="1"/>
        <v>1</v>
      </c>
      <c r="S17" s="339">
        <f t="shared" si="1"/>
        <v>1333.9</v>
      </c>
      <c r="T17"/>
      <c r="U17"/>
      <c r="V17"/>
      <c r="W17"/>
      <c r="X17"/>
      <c r="Y17"/>
      <c r="Z17"/>
      <c r="AA17"/>
      <c r="AB17"/>
      <c r="AC17"/>
      <c r="AD17"/>
      <c r="AE17"/>
      <c r="AF17"/>
      <c r="AG17"/>
      <c r="AH17"/>
      <c r="AI17"/>
      <c r="AJ17"/>
      <c r="AK17"/>
      <c r="AL17"/>
    </row>
    <row r="18" spans="1:38" s="40" customFormat="1" ht="23.25" customHeight="1">
      <c r="A18" s="109" t="s">
        <v>99</v>
      </c>
      <c r="B18" s="909"/>
      <c r="C18" s="910">
        <v>461.3</v>
      </c>
      <c r="D18" s="909"/>
      <c r="E18" s="911"/>
      <c r="F18" s="912"/>
      <c r="G18" s="911">
        <v>254.6</v>
      </c>
      <c r="H18" s="909"/>
      <c r="I18" s="909">
        <v>268.4</v>
      </c>
      <c r="J18" s="922"/>
      <c r="K18" s="910"/>
      <c r="L18" s="909"/>
      <c r="M18" s="909">
        <v>376.7</v>
      </c>
      <c r="N18" s="922"/>
      <c r="O18" s="909"/>
      <c r="P18" s="909"/>
      <c r="Q18" s="909"/>
      <c r="R18" s="89">
        <f t="shared" si="1"/>
        <v>0</v>
      </c>
      <c r="S18" s="339">
        <f t="shared" si="1"/>
        <v>1361</v>
      </c>
      <c r="T18"/>
      <c r="U18"/>
      <c r="V18"/>
      <c r="W18"/>
      <c r="X18"/>
      <c r="Y18"/>
      <c r="Z18"/>
      <c r="AA18"/>
      <c r="AB18"/>
      <c r="AC18"/>
      <c r="AD18"/>
      <c r="AE18"/>
      <c r="AF18"/>
      <c r="AG18"/>
      <c r="AH18"/>
      <c r="AI18"/>
      <c r="AJ18"/>
      <c r="AK18"/>
      <c r="AL18"/>
    </row>
    <row r="19" spans="1:38" s="40" customFormat="1" ht="23.25" customHeight="1">
      <c r="A19" s="109" t="s">
        <v>126</v>
      </c>
      <c r="B19" s="909"/>
      <c r="C19" s="910">
        <v>50.2</v>
      </c>
      <c r="D19" s="909"/>
      <c r="E19" s="911"/>
      <c r="F19" s="909"/>
      <c r="G19" s="911">
        <v>301.7</v>
      </c>
      <c r="H19" s="909"/>
      <c r="I19" s="909"/>
      <c r="J19" s="909"/>
      <c r="K19" s="910"/>
      <c r="L19" s="909"/>
      <c r="M19" s="909">
        <v>1361.6</v>
      </c>
      <c r="N19" s="909"/>
      <c r="O19" s="909"/>
      <c r="P19" s="909"/>
      <c r="Q19" s="909"/>
      <c r="R19" s="89">
        <f t="shared" si="1"/>
        <v>0</v>
      </c>
      <c r="S19" s="339">
        <f t="shared" si="1"/>
        <v>1713.5</v>
      </c>
      <c r="T19"/>
      <c r="U19"/>
      <c r="V19"/>
      <c r="W19"/>
      <c r="X19"/>
      <c r="Y19"/>
      <c r="Z19"/>
      <c r="AA19"/>
      <c r="AB19"/>
      <c r="AC19"/>
      <c r="AD19"/>
      <c r="AE19"/>
      <c r="AF19"/>
      <c r="AG19"/>
      <c r="AH19"/>
      <c r="AI19"/>
      <c r="AJ19"/>
      <c r="AK19"/>
      <c r="AL19"/>
    </row>
    <row r="20" spans="1:38" s="342" customFormat="1" ht="23.25" customHeight="1">
      <c r="A20" s="109" t="s">
        <v>100</v>
      </c>
      <c r="B20" s="909"/>
      <c r="C20" s="910">
        <v>1590.7</v>
      </c>
      <c r="D20" s="909"/>
      <c r="E20" s="911"/>
      <c r="F20" s="909"/>
      <c r="G20" s="911"/>
      <c r="H20" s="909"/>
      <c r="I20" s="909">
        <v>1071.8</v>
      </c>
      <c r="J20" s="922"/>
      <c r="K20" s="910">
        <v>476.3</v>
      </c>
      <c r="L20" s="909">
        <v>1</v>
      </c>
      <c r="M20" s="909">
        <v>57.3</v>
      </c>
      <c r="N20" s="909"/>
      <c r="O20" s="909"/>
      <c r="P20" s="909"/>
      <c r="Q20" s="909"/>
      <c r="R20" s="89">
        <f t="shared" si="1"/>
        <v>1</v>
      </c>
      <c r="S20" s="339">
        <f t="shared" si="1"/>
        <v>3196.1000000000004</v>
      </c>
      <c r="T20" s="182"/>
      <c r="U20" s="182"/>
      <c r="V20" s="182"/>
      <c r="W20" s="182"/>
      <c r="X20" s="182"/>
      <c r="Y20" s="182"/>
      <c r="Z20" s="182"/>
      <c r="AA20" s="182"/>
      <c r="AB20" s="182"/>
      <c r="AC20" s="182"/>
      <c r="AD20" s="182"/>
      <c r="AE20" s="182"/>
      <c r="AF20" s="182"/>
      <c r="AG20" s="182"/>
      <c r="AH20" s="182"/>
      <c r="AI20" s="182"/>
      <c r="AJ20" s="182"/>
      <c r="AK20" s="182"/>
      <c r="AL20" s="182"/>
    </row>
    <row r="21" spans="1:38" s="348" customFormat="1" ht="23.25" customHeight="1">
      <c r="A21" s="14" t="s">
        <v>35</v>
      </c>
      <c r="B21" s="913"/>
      <c r="C21" s="923"/>
      <c r="D21" s="913"/>
      <c r="E21" s="924"/>
      <c r="F21" s="913"/>
      <c r="G21" s="924"/>
      <c r="H21" s="913"/>
      <c r="I21" s="925"/>
      <c r="J21" s="913"/>
      <c r="K21" s="923"/>
      <c r="L21" s="913"/>
      <c r="M21" s="925"/>
      <c r="N21" s="913"/>
      <c r="O21" s="925"/>
      <c r="P21" s="913"/>
      <c r="Q21" s="925"/>
      <c r="R21" s="87"/>
      <c r="S21" s="338"/>
      <c r="T21" s="347"/>
      <c r="U21" s="347"/>
      <c r="V21" s="347"/>
      <c r="W21" s="347"/>
      <c r="X21" s="347"/>
      <c r="Y21" s="347"/>
      <c r="Z21" s="347"/>
      <c r="AA21" s="347"/>
      <c r="AB21" s="347"/>
      <c r="AC21" s="347"/>
      <c r="AD21" s="347"/>
      <c r="AE21" s="347"/>
      <c r="AF21" s="347"/>
      <c r="AG21" s="347"/>
      <c r="AH21" s="347"/>
      <c r="AI21" s="347"/>
      <c r="AJ21" s="347"/>
      <c r="AK21" s="347"/>
      <c r="AL21" s="347"/>
    </row>
    <row r="22" spans="1:38" s="260" customFormat="1" ht="23.25" customHeight="1">
      <c r="A22" s="170" t="s">
        <v>155</v>
      </c>
      <c r="B22" s="926"/>
      <c r="C22" s="927"/>
      <c r="D22" s="926"/>
      <c r="E22" s="928"/>
      <c r="F22" s="926"/>
      <c r="G22" s="928"/>
      <c r="H22" s="926"/>
      <c r="I22" s="927"/>
      <c r="J22" s="926"/>
      <c r="K22" s="927">
        <v>487.1</v>
      </c>
      <c r="L22" s="926"/>
      <c r="M22" s="927">
        <v>1027.9</v>
      </c>
      <c r="N22" s="926"/>
      <c r="O22" s="929"/>
      <c r="P22" s="926"/>
      <c r="Q22" s="929"/>
      <c r="R22" s="163">
        <f>SUM(B22,D22,F22,H22,J22,L22,N22,P22)</f>
        <v>0</v>
      </c>
      <c r="S22" s="375">
        <f>SUM(C22,E22,G22,I22,K22,M22,O22,Q22)</f>
        <v>1515</v>
      </c>
      <c r="T22" s="253"/>
      <c r="U22" s="253"/>
      <c r="V22" s="253"/>
      <c r="W22" s="253"/>
      <c r="X22" s="253"/>
      <c r="Y22" s="253"/>
      <c r="Z22" s="253"/>
      <c r="AA22" s="253"/>
      <c r="AB22" s="253"/>
      <c r="AC22" s="253"/>
      <c r="AD22" s="253"/>
      <c r="AE22" s="253"/>
      <c r="AF22" s="253"/>
      <c r="AG22" s="253"/>
      <c r="AH22" s="253"/>
      <c r="AI22" s="253"/>
      <c r="AJ22" s="253"/>
      <c r="AK22" s="253"/>
      <c r="AL22" s="253"/>
    </row>
    <row r="23" spans="1:17" ht="21.75">
      <c r="A23" s="8" t="s">
        <v>69</v>
      </c>
      <c r="B23" s="930"/>
      <c r="C23" s="931"/>
      <c r="D23" s="933"/>
      <c r="E23" s="932"/>
      <c r="F23" s="934"/>
      <c r="G23" s="935"/>
      <c r="H23" s="936"/>
      <c r="I23" s="934"/>
      <c r="J23" s="934"/>
      <c r="K23" s="937"/>
      <c r="L23" s="936"/>
      <c r="M23" s="933"/>
      <c r="N23" s="936"/>
      <c r="O23" s="934"/>
      <c r="P23" s="936"/>
      <c r="Q23" s="934"/>
    </row>
    <row r="24" spans="1:19" ht="20.25" customHeight="1">
      <c r="A24" s="109" t="s">
        <v>243</v>
      </c>
      <c r="B24" s="930"/>
      <c r="C24" s="931">
        <v>436.3</v>
      </c>
      <c r="D24" s="933"/>
      <c r="E24" s="932"/>
      <c r="F24" s="934"/>
      <c r="G24" s="935"/>
      <c r="H24" s="936"/>
      <c r="I24" s="934"/>
      <c r="J24" s="934"/>
      <c r="K24" s="937"/>
      <c r="L24" s="936"/>
      <c r="M24" s="933"/>
      <c r="N24" s="936"/>
      <c r="O24" s="934"/>
      <c r="P24" s="936"/>
      <c r="Q24" s="934"/>
      <c r="R24" s="89">
        <f aca="true" t="shared" si="2" ref="R24:S28">SUM(B24,D24,F24,H24,J24,L24,N24,P24)</f>
        <v>0</v>
      </c>
      <c r="S24" s="339">
        <f t="shared" si="2"/>
        <v>436.3</v>
      </c>
    </row>
    <row r="25" spans="1:19" ht="18.75" customHeight="1">
      <c r="A25" s="109" t="s">
        <v>282</v>
      </c>
      <c r="B25" s="930"/>
      <c r="C25" s="931"/>
      <c r="D25" s="933"/>
      <c r="E25" s="932"/>
      <c r="F25" s="934"/>
      <c r="G25" s="935">
        <v>280.9</v>
      </c>
      <c r="H25" s="936"/>
      <c r="I25" s="934"/>
      <c r="J25" s="934"/>
      <c r="K25" s="937">
        <v>314.7</v>
      </c>
      <c r="L25" s="936"/>
      <c r="M25" s="931"/>
      <c r="N25" s="936"/>
      <c r="O25" s="934"/>
      <c r="P25" s="936"/>
      <c r="Q25" s="934"/>
      <c r="R25" s="89">
        <f t="shared" si="2"/>
        <v>0</v>
      </c>
      <c r="S25" s="339">
        <f t="shared" si="2"/>
        <v>595.5999999999999</v>
      </c>
    </row>
    <row r="26" spans="1:19" ht="18.75" customHeight="1">
      <c r="A26" s="109" t="s">
        <v>128</v>
      </c>
      <c r="B26" s="930"/>
      <c r="C26" s="931"/>
      <c r="D26" s="933"/>
      <c r="E26" s="932"/>
      <c r="F26" s="934"/>
      <c r="G26" s="935">
        <v>335.8</v>
      </c>
      <c r="H26" s="936"/>
      <c r="I26" s="934"/>
      <c r="J26" s="934"/>
      <c r="K26" s="937"/>
      <c r="L26" s="936"/>
      <c r="M26" s="931">
        <v>423.9</v>
      </c>
      <c r="N26" s="936"/>
      <c r="O26" s="934"/>
      <c r="P26" s="936"/>
      <c r="Q26" s="934"/>
      <c r="R26" s="89">
        <f t="shared" si="2"/>
        <v>0</v>
      </c>
      <c r="S26" s="339">
        <f t="shared" si="2"/>
        <v>759.7</v>
      </c>
    </row>
    <row r="27" spans="1:19" ht="18.75" customHeight="1">
      <c r="A27" s="109" t="s">
        <v>283</v>
      </c>
      <c r="B27" s="930"/>
      <c r="C27" s="931">
        <v>563.8</v>
      </c>
      <c r="D27" s="933"/>
      <c r="E27" s="932"/>
      <c r="F27" s="934"/>
      <c r="G27" s="935">
        <v>417</v>
      </c>
      <c r="H27" s="936"/>
      <c r="I27" s="934"/>
      <c r="J27" s="934"/>
      <c r="K27" s="937"/>
      <c r="L27" s="936"/>
      <c r="M27" s="931">
        <v>1478.8</v>
      </c>
      <c r="N27" s="936"/>
      <c r="O27" s="934"/>
      <c r="P27" s="936"/>
      <c r="Q27" s="934"/>
      <c r="R27" s="89">
        <f t="shared" si="2"/>
        <v>0</v>
      </c>
      <c r="S27" s="339">
        <f t="shared" si="2"/>
        <v>2459.6</v>
      </c>
    </row>
    <row r="28" spans="1:19" ht="18.75" customHeight="1" thickBot="1">
      <c r="A28" s="109" t="s">
        <v>141</v>
      </c>
      <c r="B28" s="930"/>
      <c r="C28" s="931"/>
      <c r="D28" s="933"/>
      <c r="E28" s="932"/>
      <c r="F28" s="934"/>
      <c r="G28" s="935"/>
      <c r="H28" s="936"/>
      <c r="I28" s="934"/>
      <c r="J28" s="934"/>
      <c r="K28" s="937"/>
      <c r="L28" s="936"/>
      <c r="M28" s="931">
        <v>514.2</v>
      </c>
      <c r="N28" s="936"/>
      <c r="O28" s="934"/>
      <c r="P28" s="936"/>
      <c r="Q28" s="934"/>
      <c r="R28" s="89">
        <f t="shared" si="2"/>
        <v>0</v>
      </c>
      <c r="S28" s="339">
        <f t="shared" si="2"/>
        <v>514.2</v>
      </c>
    </row>
    <row r="29" spans="1:38" s="40" customFormat="1" ht="22.5" customHeight="1" thickBot="1">
      <c r="A29" s="259" t="s">
        <v>60</v>
      </c>
      <c r="B29" s="160">
        <f aca="true" t="shared" si="3" ref="B29:S29">SUM(B5:B28)</f>
        <v>0</v>
      </c>
      <c r="C29" s="331">
        <f t="shared" si="3"/>
        <v>7161.2</v>
      </c>
      <c r="D29" s="160">
        <f t="shared" si="3"/>
        <v>0</v>
      </c>
      <c r="E29" s="331">
        <f t="shared" si="3"/>
        <v>5.6</v>
      </c>
      <c r="F29" s="160">
        <f t="shared" si="3"/>
        <v>0</v>
      </c>
      <c r="G29" s="331">
        <f t="shared" si="3"/>
        <v>3477</v>
      </c>
      <c r="H29" s="160">
        <f t="shared" si="3"/>
        <v>0</v>
      </c>
      <c r="I29" s="331">
        <f t="shared" si="3"/>
        <v>5126.3</v>
      </c>
      <c r="J29" s="160">
        <f t="shared" si="3"/>
        <v>0</v>
      </c>
      <c r="K29" s="331">
        <f t="shared" si="3"/>
        <v>3976.3</v>
      </c>
      <c r="L29" s="160">
        <f t="shared" si="3"/>
        <v>2</v>
      </c>
      <c r="M29" s="331">
        <f t="shared" si="3"/>
        <v>7669.299999999999</v>
      </c>
      <c r="N29" s="160">
        <f t="shared" si="3"/>
        <v>0</v>
      </c>
      <c r="O29" s="331">
        <f t="shared" si="3"/>
        <v>1187</v>
      </c>
      <c r="P29" s="160">
        <f t="shared" si="3"/>
        <v>2</v>
      </c>
      <c r="Q29" s="331">
        <f t="shared" si="3"/>
        <v>522.3</v>
      </c>
      <c r="R29" s="160">
        <f t="shared" si="3"/>
        <v>4</v>
      </c>
      <c r="S29" s="331">
        <f t="shared" si="3"/>
        <v>29125.000000000004</v>
      </c>
      <c r="T29"/>
      <c r="U29"/>
      <c r="V29"/>
      <c r="W29"/>
      <c r="X29"/>
      <c r="Y29"/>
      <c r="Z29"/>
      <c r="AA29"/>
      <c r="AB29"/>
      <c r="AC29"/>
      <c r="AD29"/>
      <c r="AE29"/>
      <c r="AF29"/>
      <c r="AG29"/>
      <c r="AH29"/>
      <c r="AI29"/>
      <c r="AJ29"/>
      <c r="AK29"/>
      <c r="AL29"/>
    </row>
    <row r="30" spans="1:38" s="59" customFormat="1" ht="18.75" customHeight="1">
      <c r="A30" s="72"/>
      <c r="B30" s="70"/>
      <c r="C30" s="334"/>
      <c r="D30" s="71"/>
      <c r="E30" s="346"/>
      <c r="G30" s="340"/>
      <c r="H30" s="31"/>
      <c r="K30" s="332"/>
      <c r="L30" s="31"/>
      <c r="M30" s="24"/>
      <c r="N30" s="31"/>
      <c r="P30" s="31"/>
      <c r="R30" s="31"/>
      <c r="S30" s="340"/>
      <c r="T30"/>
      <c r="U30"/>
      <c r="V30"/>
      <c r="W30"/>
      <c r="X30"/>
      <c r="Y30"/>
      <c r="Z30"/>
      <c r="AA30"/>
      <c r="AB30"/>
      <c r="AC30"/>
      <c r="AD30"/>
      <c r="AE30"/>
      <c r="AF30"/>
      <c r="AG30"/>
      <c r="AH30"/>
      <c r="AI30"/>
      <c r="AJ30"/>
      <c r="AK30"/>
      <c r="AL30"/>
    </row>
    <row r="31" spans="3:19" ht="18" customHeight="1">
      <c r="C31" s="333"/>
      <c r="E31" s="313"/>
      <c r="G31" s="313"/>
      <c r="K31" s="333"/>
      <c r="S31" s="313"/>
    </row>
    <row r="32" spans="3:19" ht="20.25" customHeight="1">
      <c r="C32" s="333"/>
      <c r="E32" s="313"/>
      <c r="G32" s="313"/>
      <c r="K32" s="333"/>
      <c r="S32" s="313"/>
    </row>
    <row r="33" spans="3:19" ht="21" customHeight="1">
      <c r="C33" s="333"/>
      <c r="E33" s="313"/>
      <c r="G33" s="313"/>
      <c r="K33" s="333"/>
      <c r="S33" s="313"/>
    </row>
    <row r="34" spans="3:19" ht="21" customHeight="1">
      <c r="C34" s="333"/>
      <c r="E34" s="313"/>
      <c r="G34" s="313"/>
      <c r="K34" s="333"/>
      <c r="S34" s="313"/>
    </row>
    <row r="35" spans="3:19" ht="21" customHeight="1">
      <c r="C35" s="333"/>
      <c r="E35" s="313"/>
      <c r="G35" s="313"/>
      <c r="K35" s="333"/>
      <c r="S35" s="313"/>
    </row>
    <row r="36" spans="3:19" ht="21" customHeight="1">
      <c r="C36" s="333"/>
      <c r="E36" s="313"/>
      <c r="G36" s="313"/>
      <c r="K36" s="333"/>
      <c r="S36" s="313"/>
    </row>
    <row r="37" spans="3:19" ht="21" customHeight="1">
      <c r="C37" s="333"/>
      <c r="E37" s="313"/>
      <c r="G37" s="313"/>
      <c r="K37" s="333"/>
      <c r="S37" s="313"/>
    </row>
    <row r="38" spans="3:19" ht="21" customHeight="1">
      <c r="C38" s="333"/>
      <c r="E38" s="313"/>
      <c r="G38" s="313"/>
      <c r="K38" s="333"/>
      <c r="S38" s="313"/>
    </row>
    <row r="39" spans="3:19" ht="21" customHeight="1">
      <c r="C39" s="333"/>
      <c r="E39" s="313"/>
      <c r="G39" s="313"/>
      <c r="K39" s="333"/>
      <c r="S39" s="313"/>
    </row>
    <row r="40" spans="3:19" ht="21" customHeight="1">
      <c r="C40" s="333"/>
      <c r="E40" s="313"/>
      <c r="G40" s="313"/>
      <c r="K40" s="333"/>
      <c r="S40" s="313"/>
    </row>
    <row r="41" spans="3:19" ht="21" customHeight="1">
      <c r="C41" s="333"/>
      <c r="E41" s="313"/>
      <c r="G41" s="313"/>
      <c r="K41" s="333"/>
      <c r="S41" s="313"/>
    </row>
    <row r="42" spans="3:19" ht="21" customHeight="1">
      <c r="C42" s="333"/>
      <c r="E42" s="313"/>
      <c r="G42" s="313"/>
      <c r="K42" s="333"/>
      <c r="S42" s="313"/>
    </row>
    <row r="43" spans="3:19" ht="21" customHeight="1">
      <c r="C43" s="333"/>
      <c r="E43" s="313"/>
      <c r="G43" s="313"/>
      <c r="K43" s="333"/>
      <c r="S43" s="313"/>
    </row>
    <row r="44" spans="3:19" ht="21" customHeight="1">
      <c r="C44" s="333"/>
      <c r="E44" s="313"/>
      <c r="G44" s="313"/>
      <c r="K44" s="333"/>
      <c r="S44" s="313"/>
    </row>
    <row r="45" spans="3:19" ht="21" customHeight="1">
      <c r="C45" s="333"/>
      <c r="E45" s="313"/>
      <c r="G45" s="313"/>
      <c r="K45" s="333"/>
      <c r="S45" s="313"/>
    </row>
    <row r="46" spans="3:19" ht="21" customHeight="1">
      <c r="C46" s="333"/>
      <c r="E46" s="313"/>
      <c r="G46" s="313"/>
      <c r="K46" s="333"/>
      <c r="S46" s="313"/>
    </row>
    <row r="47" spans="3:19" ht="21" customHeight="1">
      <c r="C47" s="333"/>
      <c r="E47" s="313"/>
      <c r="G47" s="313"/>
      <c r="K47" s="333"/>
      <c r="S47" s="313"/>
    </row>
    <row r="48" spans="3:19" ht="21" customHeight="1">
      <c r="C48" s="333"/>
      <c r="E48" s="313"/>
      <c r="G48" s="313"/>
      <c r="K48" s="333"/>
      <c r="S48" s="313"/>
    </row>
    <row r="49" spans="3:19" ht="21" customHeight="1">
      <c r="C49" s="333"/>
      <c r="E49" s="313"/>
      <c r="G49" s="313"/>
      <c r="K49" s="333"/>
      <c r="S49" s="313"/>
    </row>
    <row r="50" spans="3:19" ht="21" customHeight="1">
      <c r="C50" s="333"/>
      <c r="E50" s="313"/>
      <c r="G50" s="313"/>
      <c r="K50" s="333"/>
      <c r="S50" s="313"/>
    </row>
    <row r="51" spans="3:19" ht="21" customHeight="1">
      <c r="C51" s="333"/>
      <c r="E51" s="313"/>
      <c r="G51" s="313"/>
      <c r="K51" s="333"/>
      <c r="S51" s="313"/>
    </row>
    <row r="52" spans="3:19" ht="21" customHeight="1">
      <c r="C52" s="333"/>
      <c r="E52" s="313"/>
      <c r="G52" s="313"/>
      <c r="K52" s="333"/>
      <c r="S52" s="313"/>
    </row>
    <row r="53" spans="3:19" ht="21" customHeight="1">
      <c r="C53" s="333"/>
      <c r="E53" s="313"/>
      <c r="G53" s="313"/>
      <c r="K53" s="333"/>
      <c r="S53" s="313"/>
    </row>
    <row r="54" spans="3:19" ht="21" customHeight="1">
      <c r="C54" s="333"/>
      <c r="E54" s="313"/>
      <c r="G54" s="313"/>
      <c r="K54" s="333"/>
      <c r="S54" s="313"/>
    </row>
    <row r="55" spans="3:19" ht="21" customHeight="1">
      <c r="C55" s="333"/>
      <c r="E55" s="313"/>
      <c r="G55" s="313"/>
      <c r="K55" s="333"/>
      <c r="S55" s="313"/>
    </row>
    <row r="56" spans="3:19" ht="21" customHeight="1">
      <c r="C56" s="333"/>
      <c r="E56" s="313"/>
      <c r="G56" s="313"/>
      <c r="K56" s="333"/>
      <c r="S56" s="313"/>
    </row>
    <row r="57" spans="3:19" ht="21" customHeight="1">
      <c r="C57" s="333"/>
      <c r="E57" s="313"/>
      <c r="G57" s="313"/>
      <c r="K57" s="333"/>
      <c r="S57" s="313"/>
    </row>
    <row r="58" spans="3:19" ht="21" customHeight="1">
      <c r="C58" s="333"/>
      <c r="E58" s="313"/>
      <c r="G58" s="313"/>
      <c r="K58" s="333"/>
      <c r="S58" s="313"/>
    </row>
  </sheetData>
  <sheetProtection/>
  <mergeCells count="10">
    <mergeCell ref="A2:A3"/>
    <mergeCell ref="B2:C2"/>
    <mergeCell ref="D2:E2"/>
    <mergeCell ref="P2:Q2"/>
    <mergeCell ref="R2:S2"/>
    <mergeCell ref="J2:K2"/>
    <mergeCell ref="L2:M2"/>
    <mergeCell ref="N2:O2"/>
    <mergeCell ref="F2:G2"/>
    <mergeCell ref="H2:I2"/>
  </mergeCells>
  <printOptions horizontalCentered="1"/>
  <pageMargins left="0" right="0" top="0.4724409448818898" bottom="0.3937007874015748" header="0.4330708661417323" footer="0.4330708661417323"/>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tabColor indexed="45"/>
  </sheetPr>
  <dimension ref="A1:AS33"/>
  <sheetViews>
    <sheetView zoomScalePageLayoutView="0" workbookViewId="0" topLeftCell="A1">
      <selection activeCell="Q6" sqref="Q6"/>
    </sheetView>
  </sheetViews>
  <sheetFormatPr defaultColWidth="9.140625" defaultRowHeight="12.75"/>
  <cols>
    <col min="1" max="1" width="18.7109375" style="111" customWidth="1"/>
    <col min="2" max="2" width="4.57421875" style="137" customWidth="1"/>
    <col min="3" max="3" width="8.140625" style="344" customWidth="1"/>
    <col min="4" max="4" width="4.7109375" style="138" customWidth="1"/>
    <col min="5" max="5" width="6.140625" style="344" customWidth="1"/>
    <col min="6" max="6" width="4.7109375" style="138" bestFit="1" customWidth="1"/>
    <col min="7" max="7" width="7.7109375" style="344" customWidth="1"/>
    <col min="8" max="8" width="4.8515625" style="138" customWidth="1"/>
    <col min="9" max="9" width="7.00390625" style="138" customWidth="1"/>
    <col min="10" max="10" width="4.7109375" style="138" customWidth="1"/>
    <col min="11" max="11" width="7.00390625" style="344" customWidth="1"/>
    <col min="12" max="12" width="4.57421875" style="138" customWidth="1"/>
    <col min="13" max="13" width="6.421875" style="344" customWidth="1"/>
    <col min="14" max="14" width="5.28125" style="139" customWidth="1"/>
    <col min="15" max="15" width="9.28125" style="344" customWidth="1"/>
    <col min="16" max="16" width="4.421875" style="138" customWidth="1"/>
    <col min="17" max="17" width="10.28125" style="138" customWidth="1"/>
    <col min="18" max="18" width="8.140625" style="138" customWidth="1"/>
    <col min="19" max="19" width="8.00390625" style="344" customWidth="1"/>
    <col min="20" max="20" width="5.28125" style="111" customWidth="1"/>
    <col min="21" max="21" width="10.00390625" style="0" customWidth="1"/>
    <col min="22" max="22" width="20.28125" style="0" customWidth="1"/>
    <col min="23" max="23" width="6.140625" style="0" customWidth="1"/>
    <col min="24" max="24" width="8.28125" style="0" customWidth="1"/>
    <col min="25" max="25" width="5.28125" style="0" customWidth="1"/>
    <col min="26" max="26" width="8.421875" style="0" customWidth="1"/>
    <col min="27" max="27" width="5.57421875" style="0" customWidth="1"/>
    <col min="28" max="28" width="7.140625" style="0" customWidth="1"/>
    <col min="29" max="29" width="5.00390625" style="0" customWidth="1"/>
    <col min="30" max="30" width="8.00390625" style="0" customWidth="1"/>
    <col min="31" max="31" width="5.00390625" style="0" customWidth="1"/>
    <col min="32" max="32" width="8.28125" style="0" customWidth="1"/>
    <col min="33" max="33" width="5.28125" style="0" customWidth="1"/>
    <col min="35" max="35" width="5.7109375" style="0" customWidth="1"/>
    <col min="36" max="36" width="7.140625" style="0" customWidth="1"/>
    <col min="37" max="37" width="5.8515625" style="0" customWidth="1"/>
    <col min="39" max="39" width="5.57421875" style="0" customWidth="1"/>
    <col min="40" max="40" width="8.7109375" style="0" customWidth="1"/>
    <col min="41" max="41" width="6.140625" style="0" customWidth="1"/>
    <col min="46" max="16384" width="9.140625" style="111" customWidth="1"/>
  </cols>
  <sheetData>
    <row r="1" spans="1:45" s="59" customFormat="1" ht="25.5" customHeight="1">
      <c r="A1" s="184" t="s">
        <v>501</v>
      </c>
      <c r="B1" s="137"/>
      <c r="C1" s="344"/>
      <c r="D1" s="138"/>
      <c r="E1" s="344"/>
      <c r="F1" s="138"/>
      <c r="G1" s="344"/>
      <c r="H1" s="138"/>
      <c r="I1" s="138"/>
      <c r="J1" s="138"/>
      <c r="K1" s="344"/>
      <c r="L1" s="138"/>
      <c r="M1" s="344"/>
      <c r="O1" s="355"/>
      <c r="P1" s="69"/>
      <c r="Q1" s="69"/>
      <c r="S1" s="340"/>
      <c r="T1" s="111"/>
      <c r="U1"/>
      <c r="V1"/>
      <c r="W1"/>
      <c r="X1"/>
      <c r="Y1"/>
      <c r="Z1"/>
      <c r="AA1"/>
      <c r="AB1"/>
      <c r="AC1"/>
      <c r="AD1"/>
      <c r="AE1"/>
      <c r="AF1"/>
      <c r="AG1"/>
      <c r="AH1"/>
      <c r="AI1"/>
      <c r="AJ1"/>
      <c r="AK1"/>
      <c r="AL1"/>
      <c r="AM1"/>
      <c r="AN1"/>
      <c r="AO1"/>
      <c r="AP1"/>
      <c r="AQ1"/>
      <c r="AR1"/>
      <c r="AS1"/>
    </row>
    <row r="2" spans="1:45" s="59" customFormat="1" ht="21" customHeight="1" thickBot="1">
      <c r="A2" s="155"/>
      <c r="B2" s="137"/>
      <c r="C2" s="344"/>
      <c r="D2" s="138"/>
      <c r="E2" s="344"/>
      <c r="F2" s="138"/>
      <c r="G2" s="344"/>
      <c r="H2" s="138"/>
      <c r="I2" s="138"/>
      <c r="J2" s="138"/>
      <c r="K2" s="344"/>
      <c r="L2" s="138"/>
      <c r="M2" s="344"/>
      <c r="O2" s="355"/>
      <c r="P2" s="69"/>
      <c r="Q2" s="69"/>
      <c r="S2" s="335" t="s">
        <v>0</v>
      </c>
      <c r="T2" s="111"/>
      <c r="U2"/>
      <c r="V2"/>
      <c r="W2"/>
      <c r="X2"/>
      <c r="Y2"/>
      <c r="Z2"/>
      <c r="AA2"/>
      <c r="AB2"/>
      <c r="AC2"/>
      <c r="AD2"/>
      <c r="AE2"/>
      <c r="AF2"/>
      <c r="AG2"/>
      <c r="AH2"/>
      <c r="AI2"/>
      <c r="AJ2"/>
      <c r="AK2"/>
      <c r="AL2"/>
      <c r="AM2"/>
      <c r="AN2"/>
      <c r="AO2"/>
      <c r="AP2"/>
      <c r="AQ2"/>
      <c r="AR2"/>
      <c r="AS2"/>
    </row>
    <row r="3" spans="1:43" s="59" customFormat="1" ht="74.25" customHeight="1" thickBot="1">
      <c r="A3" s="1271" t="s">
        <v>1</v>
      </c>
      <c r="B3" s="1294" t="s">
        <v>70</v>
      </c>
      <c r="C3" s="1294"/>
      <c r="D3" s="1294" t="s">
        <v>168</v>
      </c>
      <c r="E3" s="1294"/>
      <c r="F3" s="1294" t="s">
        <v>72</v>
      </c>
      <c r="G3" s="1294"/>
      <c r="H3" s="1294" t="s">
        <v>84</v>
      </c>
      <c r="I3" s="1294"/>
      <c r="J3" s="1294" t="s">
        <v>154</v>
      </c>
      <c r="K3" s="1294"/>
      <c r="L3" s="1294" t="s">
        <v>186</v>
      </c>
      <c r="M3" s="1294"/>
      <c r="N3" s="1295" t="s">
        <v>78</v>
      </c>
      <c r="O3" s="1295"/>
      <c r="P3" s="1295" t="s">
        <v>79</v>
      </c>
      <c r="Q3" s="1295"/>
      <c r="R3" s="1274" t="s">
        <v>65</v>
      </c>
      <c r="S3" s="1274"/>
      <c r="T3"/>
      <c r="U3"/>
      <c r="V3"/>
      <c r="W3"/>
      <c r="X3"/>
      <c r="Y3"/>
      <c r="Z3"/>
      <c r="AA3"/>
      <c r="AB3"/>
      <c r="AC3"/>
      <c r="AD3"/>
      <c r="AE3"/>
      <c r="AF3"/>
      <c r="AG3"/>
      <c r="AH3"/>
      <c r="AI3"/>
      <c r="AJ3"/>
      <c r="AK3"/>
      <c r="AL3"/>
      <c r="AM3"/>
      <c r="AN3"/>
      <c r="AO3"/>
      <c r="AP3"/>
      <c r="AQ3"/>
    </row>
    <row r="4" spans="1:43" s="59" customFormat="1" ht="24.75" customHeight="1" thickBot="1">
      <c r="A4" s="1272"/>
      <c r="B4" s="107" t="s">
        <v>10</v>
      </c>
      <c r="C4" s="351" t="s">
        <v>9</v>
      </c>
      <c r="D4" s="107" t="s">
        <v>10</v>
      </c>
      <c r="E4" s="351" t="s">
        <v>9</v>
      </c>
      <c r="F4" s="107" t="s">
        <v>10</v>
      </c>
      <c r="G4" s="351" t="s">
        <v>9</v>
      </c>
      <c r="H4" s="107" t="s">
        <v>10</v>
      </c>
      <c r="I4" s="108" t="s">
        <v>9</v>
      </c>
      <c r="J4" s="107" t="s">
        <v>10</v>
      </c>
      <c r="K4" s="351" t="s">
        <v>9</v>
      </c>
      <c r="L4" s="107" t="s">
        <v>10</v>
      </c>
      <c r="M4" s="351" t="s">
        <v>9</v>
      </c>
      <c r="N4" s="107" t="s">
        <v>10</v>
      </c>
      <c r="O4" s="351" t="s">
        <v>9</v>
      </c>
      <c r="P4" s="107" t="s">
        <v>10</v>
      </c>
      <c r="Q4" s="108" t="s">
        <v>9</v>
      </c>
      <c r="R4" s="107" t="s">
        <v>10</v>
      </c>
      <c r="S4" s="351" t="s">
        <v>9</v>
      </c>
      <c r="T4"/>
      <c r="U4"/>
      <c r="V4"/>
      <c r="W4"/>
      <c r="X4"/>
      <c r="Y4"/>
      <c r="Z4"/>
      <c r="AA4"/>
      <c r="AB4"/>
      <c r="AC4"/>
      <c r="AD4"/>
      <c r="AE4"/>
      <c r="AF4"/>
      <c r="AG4"/>
      <c r="AH4"/>
      <c r="AI4"/>
      <c r="AJ4"/>
      <c r="AK4"/>
      <c r="AL4"/>
      <c r="AM4"/>
      <c r="AN4"/>
      <c r="AO4"/>
      <c r="AP4"/>
      <c r="AQ4"/>
    </row>
    <row r="5" spans="1:43" s="59" customFormat="1" ht="22.5" customHeight="1">
      <c r="A5" s="80" t="s">
        <v>116</v>
      </c>
      <c r="B5" s="83"/>
      <c r="C5" s="352"/>
      <c r="D5" s="84"/>
      <c r="E5" s="352"/>
      <c r="F5" s="84"/>
      <c r="G5" s="352"/>
      <c r="H5" s="84"/>
      <c r="I5" s="84"/>
      <c r="J5" s="84"/>
      <c r="K5" s="352"/>
      <c r="L5" s="85"/>
      <c r="M5" s="352"/>
      <c r="N5" s="84"/>
      <c r="O5" s="352"/>
      <c r="P5" s="84"/>
      <c r="Q5" s="84"/>
      <c r="R5" s="77"/>
      <c r="S5" s="356"/>
      <c r="T5"/>
      <c r="U5"/>
      <c r="V5"/>
      <c r="W5"/>
      <c r="X5"/>
      <c r="Y5"/>
      <c r="Z5"/>
      <c r="AA5"/>
      <c r="AB5"/>
      <c r="AC5"/>
      <c r="AD5"/>
      <c r="AE5"/>
      <c r="AF5"/>
      <c r="AG5"/>
      <c r="AH5"/>
      <c r="AI5"/>
      <c r="AJ5"/>
      <c r="AK5"/>
      <c r="AL5"/>
      <c r="AM5"/>
      <c r="AN5"/>
      <c r="AO5"/>
      <c r="AP5"/>
      <c r="AQ5"/>
    </row>
    <row r="6" spans="1:43" s="40" customFormat="1" ht="22.5" customHeight="1">
      <c r="A6" s="76" t="s">
        <v>94</v>
      </c>
      <c r="B6" s="1204">
        <f>5+3+5+10+6+5</f>
        <v>34</v>
      </c>
      <c r="C6" s="1205">
        <f>132.6+91+120.6+214.3+177.9+149.2</f>
        <v>885.5999999999999</v>
      </c>
      <c r="D6" s="1206">
        <v>5</v>
      </c>
      <c r="E6" s="1207">
        <v>85</v>
      </c>
      <c r="F6" s="1204"/>
      <c r="G6" s="1207"/>
      <c r="H6" s="1204"/>
      <c r="I6" s="1204"/>
      <c r="J6" s="1204">
        <f>4+6</f>
        <v>10</v>
      </c>
      <c r="K6" s="1207">
        <f>74.9+159.6</f>
        <v>234.5</v>
      </c>
      <c r="L6" s="1204">
        <v>5</v>
      </c>
      <c r="M6" s="1207">
        <v>102.2</v>
      </c>
      <c r="N6" s="1204">
        <f>1+5+5+3</f>
        <v>14</v>
      </c>
      <c r="O6" s="1207">
        <f>95.8+68.5+141+48.2</f>
        <v>353.5</v>
      </c>
      <c r="P6" s="1204">
        <f>5+5+6</f>
        <v>16</v>
      </c>
      <c r="Q6" s="1214">
        <f>73.3+43.5+228.6</f>
        <v>345.4</v>
      </c>
      <c r="R6" s="89">
        <f>P6+B6+D6+F6+H6+J6+L6+N6</f>
        <v>84</v>
      </c>
      <c r="S6" s="1041">
        <f>Q6+C6+E6+G6+I6+K6+M6+O6</f>
        <v>2006.2</v>
      </c>
      <c r="T6"/>
      <c r="U6"/>
      <c r="V6"/>
      <c r="W6"/>
      <c r="X6"/>
      <c r="Y6"/>
      <c r="Z6"/>
      <c r="AA6"/>
      <c r="AB6"/>
      <c r="AC6"/>
      <c r="AD6"/>
      <c r="AE6"/>
      <c r="AF6"/>
      <c r="AG6"/>
      <c r="AH6"/>
      <c r="AI6"/>
      <c r="AJ6"/>
      <c r="AK6"/>
      <c r="AL6"/>
      <c r="AM6"/>
      <c r="AN6"/>
      <c r="AO6"/>
      <c r="AP6"/>
      <c r="AQ6"/>
    </row>
    <row r="7" spans="1:43" s="59" customFormat="1" ht="22.5" customHeight="1">
      <c r="A7" s="80" t="s">
        <v>143</v>
      </c>
      <c r="B7" s="1208"/>
      <c r="C7" s="1209"/>
      <c r="D7" s="1210"/>
      <c r="E7" s="1209"/>
      <c r="F7" s="1210"/>
      <c r="G7" s="1209"/>
      <c r="H7" s="1210"/>
      <c r="I7" s="1210"/>
      <c r="J7" s="1210"/>
      <c r="K7" s="1209"/>
      <c r="L7" s="1211"/>
      <c r="M7" s="1209"/>
      <c r="N7" s="1210"/>
      <c r="O7" s="1209"/>
      <c r="P7" s="1210"/>
      <c r="Q7" s="1210"/>
      <c r="R7" s="162"/>
      <c r="S7" s="357"/>
      <c r="T7"/>
      <c r="U7"/>
      <c r="V7"/>
      <c r="W7"/>
      <c r="X7"/>
      <c r="Y7"/>
      <c r="Z7"/>
      <c r="AA7"/>
      <c r="AB7"/>
      <c r="AC7"/>
      <c r="AD7"/>
      <c r="AE7"/>
      <c r="AF7"/>
      <c r="AG7"/>
      <c r="AH7"/>
      <c r="AI7"/>
      <c r="AJ7"/>
      <c r="AK7"/>
      <c r="AL7"/>
      <c r="AM7"/>
      <c r="AN7"/>
      <c r="AO7"/>
      <c r="AP7"/>
      <c r="AQ7"/>
    </row>
    <row r="8" spans="1:43" s="40" customFormat="1" ht="22.5" customHeight="1" thickBot="1">
      <c r="A8" s="76" t="s">
        <v>117</v>
      </c>
      <c r="B8" s="1212">
        <f>5+4+5+4+3+5+4+1+5</f>
        <v>36</v>
      </c>
      <c r="C8" s="1212">
        <f>160.2+105.6+109.2+209+114.6+127.8+102.9+22.8+116.5</f>
        <v>1068.6</v>
      </c>
      <c r="D8" s="1204"/>
      <c r="E8" s="1205"/>
      <c r="F8" s="1204">
        <v>3</v>
      </c>
      <c r="G8" s="1205">
        <v>66.9</v>
      </c>
      <c r="H8" s="1213">
        <f>5+5</f>
        <v>10</v>
      </c>
      <c r="I8" s="1214">
        <f>208.7+133.7</f>
        <v>342.4</v>
      </c>
      <c r="J8" s="1204">
        <f>5+2</f>
        <v>7</v>
      </c>
      <c r="K8" s="1205">
        <f>214.1+93.8</f>
        <v>307.9</v>
      </c>
      <c r="L8" s="1204">
        <v>5</v>
      </c>
      <c r="M8" s="1205">
        <v>14.9</v>
      </c>
      <c r="N8" s="1204">
        <f>5+5+5+5+5+4+5+3+4+5</f>
        <v>46</v>
      </c>
      <c r="O8" s="1205">
        <f>132.1+151.7+117.4+246.6+80.4+76.9+153.1+57.9+97.8+200.2</f>
        <v>1314.1</v>
      </c>
      <c r="P8" s="1204">
        <f>8+5+5+5+5+1+5+3</f>
        <v>37</v>
      </c>
      <c r="Q8" s="1214">
        <f>298.3+168.2+205.1+74+185+35.7+166.2+105.3</f>
        <v>1237.8</v>
      </c>
      <c r="R8" s="89">
        <f>B8+D8+F8+H8+J8+L8+N8+P8</f>
        <v>144</v>
      </c>
      <c r="S8" s="1041">
        <f>C8+E8+G8+I8+K8+M8+O8+Q8</f>
        <v>4352.6</v>
      </c>
      <c r="T8"/>
      <c r="U8"/>
      <c r="V8"/>
      <c r="W8"/>
      <c r="X8"/>
      <c r="Y8"/>
      <c r="Z8"/>
      <c r="AA8"/>
      <c r="AB8"/>
      <c r="AC8"/>
      <c r="AD8"/>
      <c r="AE8"/>
      <c r="AF8"/>
      <c r="AG8"/>
      <c r="AH8"/>
      <c r="AI8"/>
      <c r="AJ8"/>
      <c r="AK8"/>
      <c r="AL8"/>
      <c r="AM8"/>
      <c r="AN8"/>
      <c r="AO8"/>
      <c r="AP8"/>
      <c r="AQ8"/>
    </row>
    <row r="9" spans="1:43" s="40" customFormat="1" ht="22.5" customHeight="1" thickBot="1">
      <c r="A9" s="220" t="s">
        <v>65</v>
      </c>
      <c r="B9" s="160">
        <f>SUM(B5:B7)</f>
        <v>34</v>
      </c>
      <c r="C9" s="331">
        <f>SUM(C5:C8)</f>
        <v>1954.1999999999998</v>
      </c>
      <c r="D9" s="160">
        <f aca="true" t="shared" si="0" ref="D9:S9">SUM(D5:D8)</f>
        <v>5</v>
      </c>
      <c r="E9" s="343">
        <f t="shared" si="0"/>
        <v>85</v>
      </c>
      <c r="F9" s="160">
        <f>F6</f>
        <v>0</v>
      </c>
      <c r="G9" s="331">
        <f t="shared" si="0"/>
        <v>66.9</v>
      </c>
      <c r="H9" s="160">
        <f>H6</f>
        <v>0</v>
      </c>
      <c r="I9" s="331">
        <f t="shared" si="0"/>
        <v>342.4</v>
      </c>
      <c r="J9" s="160">
        <f>J6</f>
        <v>10</v>
      </c>
      <c r="K9" s="331">
        <f t="shared" si="0"/>
        <v>542.4</v>
      </c>
      <c r="L9" s="160">
        <f>L6</f>
        <v>5</v>
      </c>
      <c r="M9" s="331">
        <f t="shared" si="0"/>
        <v>117.10000000000001</v>
      </c>
      <c r="N9" s="160">
        <f>N6</f>
        <v>14</v>
      </c>
      <c r="O9" s="331">
        <f t="shared" si="0"/>
        <v>1667.6</v>
      </c>
      <c r="P9" s="160">
        <f>P6</f>
        <v>16</v>
      </c>
      <c r="Q9" s="160">
        <f t="shared" si="0"/>
        <v>1583.1999999999998</v>
      </c>
      <c r="R9" s="161">
        <f>R6</f>
        <v>84</v>
      </c>
      <c r="S9" s="1093">
        <f t="shared" si="0"/>
        <v>6358.8</v>
      </c>
      <c r="T9"/>
      <c r="U9"/>
      <c r="V9"/>
      <c r="W9"/>
      <c r="X9"/>
      <c r="Y9"/>
      <c r="Z9"/>
      <c r="AA9"/>
      <c r="AB9"/>
      <c r="AC9"/>
      <c r="AD9"/>
      <c r="AE9"/>
      <c r="AF9"/>
      <c r="AG9"/>
      <c r="AH9"/>
      <c r="AI9"/>
      <c r="AJ9"/>
      <c r="AK9"/>
      <c r="AL9"/>
      <c r="AM9"/>
      <c r="AN9"/>
      <c r="AO9"/>
      <c r="AP9"/>
      <c r="AQ9"/>
    </row>
    <row r="10" spans="1:45" s="59" customFormat="1" ht="15" customHeight="1">
      <c r="A10" s="92"/>
      <c r="B10" s="61"/>
      <c r="C10" s="337"/>
      <c r="D10" s="62"/>
      <c r="E10" s="337"/>
      <c r="F10" s="62"/>
      <c r="G10" s="337"/>
      <c r="H10" s="62"/>
      <c r="I10" s="62"/>
      <c r="J10" s="62"/>
      <c r="K10" s="337"/>
      <c r="L10" s="62"/>
      <c r="M10" s="337"/>
      <c r="N10" s="63"/>
      <c r="O10" s="337"/>
      <c r="P10" s="62"/>
      <c r="Q10" s="62"/>
      <c r="R10" s="62"/>
      <c r="S10" s="337"/>
      <c r="U10"/>
      <c r="V10"/>
      <c r="W10"/>
      <c r="X10"/>
      <c r="Y10"/>
      <c r="Z10"/>
      <c r="AA10"/>
      <c r="AB10"/>
      <c r="AC10"/>
      <c r="AD10"/>
      <c r="AE10"/>
      <c r="AF10"/>
      <c r="AG10"/>
      <c r="AH10"/>
      <c r="AI10"/>
      <c r="AJ10"/>
      <c r="AK10"/>
      <c r="AL10"/>
      <c r="AM10"/>
      <c r="AN10"/>
      <c r="AO10"/>
      <c r="AP10"/>
      <c r="AQ10"/>
      <c r="AR10"/>
      <c r="AS10"/>
    </row>
    <row r="11" spans="3:45" s="133" customFormat="1" ht="23.25" customHeight="1">
      <c r="C11" s="349"/>
      <c r="E11" s="349"/>
      <c r="G11" s="349"/>
      <c r="K11" s="349"/>
      <c r="M11" s="349"/>
      <c r="O11" s="349"/>
      <c r="S11" s="349"/>
      <c r="U11"/>
      <c r="V11"/>
      <c r="W11"/>
      <c r="X11"/>
      <c r="Y11"/>
      <c r="Z11"/>
      <c r="AA11"/>
      <c r="AB11"/>
      <c r="AC11"/>
      <c r="AD11"/>
      <c r="AE11"/>
      <c r="AF11"/>
      <c r="AG11"/>
      <c r="AH11"/>
      <c r="AI11"/>
      <c r="AJ11"/>
      <c r="AK11"/>
      <c r="AL11"/>
      <c r="AM11"/>
      <c r="AN11"/>
      <c r="AO11"/>
      <c r="AP11"/>
      <c r="AQ11"/>
      <c r="AR11"/>
      <c r="AS11"/>
    </row>
    <row r="12" spans="3:19" ht="21" customHeight="1">
      <c r="C12" s="313"/>
      <c r="E12" s="313"/>
      <c r="G12" s="313"/>
      <c r="K12" s="313"/>
      <c r="M12" s="313"/>
      <c r="O12" s="313"/>
      <c r="S12" s="313"/>
    </row>
    <row r="13" spans="3:19" ht="21" customHeight="1">
      <c r="C13" s="313"/>
      <c r="E13" s="313"/>
      <c r="G13" s="313"/>
      <c r="K13" s="313"/>
      <c r="M13" s="313"/>
      <c r="O13" s="313"/>
      <c r="S13" s="313"/>
    </row>
    <row r="14" spans="3:19" ht="21" customHeight="1">
      <c r="C14" s="313"/>
      <c r="E14" s="313"/>
      <c r="G14" s="313"/>
      <c r="K14" s="313"/>
      <c r="M14" s="313"/>
      <c r="O14" s="313"/>
      <c r="S14" s="313"/>
    </row>
    <row r="15" spans="3:19" ht="21" customHeight="1">
      <c r="C15" s="313"/>
      <c r="E15" s="313"/>
      <c r="G15" s="313"/>
      <c r="K15" s="313"/>
      <c r="M15" s="313"/>
      <c r="O15" s="313"/>
      <c r="S15" s="313"/>
    </row>
    <row r="16" spans="3:19" ht="21" customHeight="1">
      <c r="C16" s="313"/>
      <c r="E16" s="313"/>
      <c r="G16" s="313"/>
      <c r="K16" s="313"/>
      <c r="M16" s="313"/>
      <c r="O16" s="313"/>
      <c r="S16" s="313"/>
    </row>
    <row r="17" spans="3:19" ht="21" customHeight="1">
      <c r="C17" s="313"/>
      <c r="E17" s="313"/>
      <c r="G17" s="313"/>
      <c r="K17" s="313"/>
      <c r="M17" s="313"/>
      <c r="O17" s="313"/>
      <c r="S17" s="313"/>
    </row>
    <row r="18" spans="3:19" ht="21" customHeight="1">
      <c r="C18" s="313"/>
      <c r="E18" s="313"/>
      <c r="G18" s="313"/>
      <c r="K18" s="313"/>
      <c r="M18" s="313"/>
      <c r="O18" s="313"/>
      <c r="S18" s="313"/>
    </row>
    <row r="19" spans="3:19" ht="21" customHeight="1">
      <c r="C19" s="313"/>
      <c r="E19" s="313"/>
      <c r="G19" s="313"/>
      <c r="K19" s="313"/>
      <c r="M19" s="313"/>
      <c r="O19" s="313"/>
      <c r="S19" s="313"/>
    </row>
    <row r="20" spans="3:19" ht="18.75" customHeight="1">
      <c r="C20" s="313"/>
      <c r="E20" s="354"/>
      <c r="F20" s="227"/>
      <c r="G20" s="354"/>
      <c r="K20" s="313"/>
      <c r="M20" s="313"/>
      <c r="O20" s="313"/>
      <c r="S20" s="313"/>
    </row>
    <row r="21" spans="3:19" ht="18.75" customHeight="1">
      <c r="C21" s="313"/>
      <c r="E21" s="313"/>
      <c r="G21" s="313"/>
      <c r="K21" s="313"/>
      <c r="M21" s="313"/>
      <c r="O21" s="313"/>
      <c r="S21" s="313"/>
    </row>
    <row r="22" spans="3:19" ht="18.75" customHeight="1">
      <c r="C22" s="313"/>
      <c r="E22" s="313"/>
      <c r="G22" s="313"/>
      <c r="K22" s="313"/>
      <c r="M22" s="313"/>
      <c r="O22" s="313"/>
      <c r="S22" s="313"/>
    </row>
    <row r="23" spans="3:19" ht="18.75" customHeight="1">
      <c r="C23" s="313"/>
      <c r="E23" s="313"/>
      <c r="G23" s="313"/>
      <c r="K23" s="313"/>
      <c r="M23" s="313"/>
      <c r="O23" s="313"/>
      <c r="S23" s="313"/>
    </row>
    <row r="24" spans="3:19" ht="18.75" customHeight="1">
      <c r="C24" s="313"/>
      <c r="E24" s="313"/>
      <c r="G24" s="313"/>
      <c r="K24" s="313"/>
      <c r="M24" s="313"/>
      <c r="O24" s="313"/>
      <c r="S24" s="313"/>
    </row>
    <row r="25" spans="3:19" ht="18.75" customHeight="1">
      <c r="C25" s="313"/>
      <c r="E25" s="313"/>
      <c r="G25" s="313"/>
      <c r="K25" s="313"/>
      <c r="M25" s="313"/>
      <c r="O25" s="313"/>
      <c r="S25" s="313"/>
    </row>
    <row r="26" spans="3:19" ht="18.75" customHeight="1">
      <c r="C26" s="313"/>
      <c r="E26" s="313"/>
      <c r="G26" s="313"/>
      <c r="K26" s="313"/>
      <c r="M26" s="313"/>
      <c r="O26" s="313"/>
      <c r="S26" s="313"/>
    </row>
    <row r="27" spans="3:19" ht="18.75" customHeight="1">
      <c r="C27" s="313"/>
      <c r="E27" s="313"/>
      <c r="G27" s="313"/>
      <c r="K27" s="313"/>
      <c r="M27" s="313"/>
      <c r="O27" s="313"/>
      <c r="S27" s="313"/>
    </row>
    <row r="28" spans="3:19" ht="18.75" customHeight="1">
      <c r="C28" s="313"/>
      <c r="E28" s="313"/>
      <c r="G28" s="313"/>
      <c r="K28" s="313"/>
      <c r="M28" s="313"/>
      <c r="O28" s="313"/>
      <c r="S28" s="313"/>
    </row>
    <row r="29" spans="3:19" ht="18.75" customHeight="1">
      <c r="C29" s="313"/>
      <c r="E29" s="313"/>
      <c r="G29" s="313"/>
      <c r="K29" s="313"/>
      <c r="M29" s="313"/>
      <c r="O29" s="313"/>
      <c r="S29" s="313"/>
    </row>
    <row r="30" spans="3:19" ht="18.75" customHeight="1">
      <c r="C30" s="313"/>
      <c r="E30" s="313"/>
      <c r="G30" s="313"/>
      <c r="K30" s="313"/>
      <c r="M30" s="313"/>
      <c r="O30" s="313"/>
      <c r="S30" s="313"/>
    </row>
    <row r="31" spans="3:19" ht="18.75" customHeight="1">
      <c r="C31" s="313"/>
      <c r="E31" s="313"/>
      <c r="G31" s="313"/>
      <c r="K31" s="313"/>
      <c r="M31" s="313"/>
      <c r="O31" s="313"/>
      <c r="S31" s="313"/>
    </row>
    <row r="32" spans="3:19" ht="18.75" customHeight="1">
      <c r="C32" s="313"/>
      <c r="E32" s="313"/>
      <c r="G32" s="313"/>
      <c r="K32" s="313"/>
      <c r="M32" s="313"/>
      <c r="O32" s="313"/>
      <c r="S32" s="313"/>
    </row>
    <row r="33" spans="3:19" ht="18.75" customHeight="1">
      <c r="C33" s="313"/>
      <c r="E33" s="313"/>
      <c r="G33" s="313"/>
      <c r="K33" s="313"/>
      <c r="M33" s="313"/>
      <c r="O33" s="313"/>
      <c r="S33" s="313"/>
    </row>
  </sheetData>
  <sheetProtection/>
  <mergeCells count="10">
    <mergeCell ref="D3:E3"/>
    <mergeCell ref="A3:A4"/>
    <mergeCell ref="B3:C3"/>
    <mergeCell ref="F3:G3"/>
    <mergeCell ref="P3:Q3"/>
    <mergeCell ref="R3:S3"/>
    <mergeCell ref="N3:O3"/>
    <mergeCell ref="L3:M3"/>
    <mergeCell ref="H3:I3"/>
    <mergeCell ref="J3:K3"/>
  </mergeCells>
  <printOptions horizontalCentered="1"/>
  <pageMargins left="0.25" right="0.15" top="0.5" bottom="0.35" header="0.511811023622047" footer="0.511811023622047"/>
  <pageSetup horizontalDpi="600" verticalDpi="600" orientation="landscape" paperSize="9" scale="105" r:id="rId1"/>
</worksheet>
</file>

<file path=xl/worksheets/sheet9.xml><?xml version="1.0" encoding="utf-8"?>
<worksheet xmlns="http://schemas.openxmlformats.org/spreadsheetml/2006/main" xmlns:r="http://schemas.openxmlformats.org/officeDocument/2006/relationships">
  <sheetPr>
    <tabColor indexed="14"/>
  </sheetPr>
  <dimension ref="A1:AK49"/>
  <sheetViews>
    <sheetView zoomScalePageLayoutView="0" workbookViewId="0" topLeftCell="A1">
      <selection activeCell="F17" sqref="F17:G17"/>
    </sheetView>
  </sheetViews>
  <sheetFormatPr defaultColWidth="9.140625" defaultRowHeight="12.75"/>
  <cols>
    <col min="1" max="1" width="21.8515625" style="111" customWidth="1"/>
    <col min="2" max="2" width="4.28125" style="208" customWidth="1"/>
    <col min="3" max="3" width="68.57421875" style="138" customWidth="1"/>
    <col min="4" max="4" width="4.140625" style="139" customWidth="1"/>
    <col min="5" max="5" width="9.28125" style="762" customWidth="1"/>
    <col min="6" max="6" width="5.00390625" style="388" customWidth="1"/>
    <col min="7" max="7" width="8.00390625" style="389" customWidth="1"/>
    <col min="8" max="8" width="6.00390625" style="388" bestFit="1" customWidth="1"/>
    <col min="9" max="9" width="5.00390625" style="388" bestFit="1" customWidth="1"/>
    <col min="10" max="10" width="5.140625" style="384" customWidth="1"/>
    <col min="11" max="11" width="8.140625" style="393" customWidth="1"/>
    <col min="12" max="12" width="5.28125" style="111" customWidth="1"/>
    <col min="13" max="13" width="10.00390625" style="0" customWidth="1"/>
    <col min="14" max="14" width="20.28125" style="0" customWidth="1"/>
    <col min="15" max="15" width="6.140625" style="0" customWidth="1"/>
    <col min="16" max="16" width="8.28125" style="0" customWidth="1"/>
    <col min="17" max="17" width="4.7109375" style="0" customWidth="1"/>
    <col min="18" max="18" width="7.8515625" style="0" customWidth="1"/>
    <col min="19" max="19" width="4.8515625" style="0" customWidth="1"/>
    <col min="20" max="20" width="8.421875" style="0" customWidth="1"/>
    <col min="21" max="21" width="5.28125" style="0" customWidth="1"/>
    <col min="22" max="22" width="6.57421875" style="0" customWidth="1"/>
    <col min="23" max="23" width="4.7109375" style="0" customWidth="1"/>
    <col min="24" max="24" width="8.421875" style="0" customWidth="1"/>
    <col min="25" max="25" width="5.28125" style="0" customWidth="1"/>
    <col min="27" max="27" width="5.7109375" style="0" customWidth="1"/>
    <col min="28" max="28" width="7.140625" style="0" customWidth="1"/>
    <col min="29" max="29" width="5.8515625" style="0" customWidth="1"/>
    <col min="31" max="31" width="5.57421875" style="0" customWidth="1"/>
    <col min="32" max="32" width="8.7109375" style="0" customWidth="1"/>
    <col min="33" max="33" width="6.140625" style="0" customWidth="1"/>
    <col min="38" max="16384" width="9.140625" style="111" customWidth="1"/>
  </cols>
  <sheetData>
    <row r="1" spans="1:37" s="59" customFormat="1" ht="25.5" customHeight="1">
      <c r="A1" s="184" t="s">
        <v>330</v>
      </c>
      <c r="B1" s="208"/>
      <c r="C1" s="138"/>
      <c r="E1" s="757"/>
      <c r="F1" s="381"/>
      <c r="G1" s="382"/>
      <c r="H1" s="383"/>
      <c r="I1" s="383"/>
      <c r="J1" s="384"/>
      <c r="K1" s="393"/>
      <c r="L1" s="111"/>
      <c r="M1"/>
      <c r="N1"/>
      <c r="O1"/>
      <c r="P1"/>
      <c r="Q1"/>
      <c r="R1"/>
      <c r="S1"/>
      <c r="T1"/>
      <c r="U1"/>
      <c r="V1"/>
      <c r="W1"/>
      <c r="X1"/>
      <c r="Y1"/>
      <c r="Z1"/>
      <c r="AA1"/>
      <c r="AB1"/>
      <c r="AC1"/>
      <c r="AD1"/>
      <c r="AE1"/>
      <c r="AF1"/>
      <c r="AG1"/>
      <c r="AH1"/>
      <c r="AI1"/>
      <c r="AJ1"/>
      <c r="AK1"/>
    </row>
    <row r="2" spans="1:12" ht="16.5" customHeight="1" thickBot="1">
      <c r="A2" s="185"/>
      <c r="B2" s="209"/>
      <c r="C2" s="202"/>
      <c r="D2" s="202"/>
      <c r="E2" s="758"/>
      <c r="F2" s="385"/>
      <c r="G2" s="386"/>
      <c r="H2" s="385"/>
      <c r="I2" s="385"/>
      <c r="J2" s="385"/>
      <c r="K2" s="394" t="s">
        <v>0</v>
      </c>
      <c r="L2" s="65"/>
    </row>
    <row r="3" spans="1:37" s="65" customFormat="1" ht="33.75" customHeight="1">
      <c r="A3" s="1296" t="s">
        <v>135</v>
      </c>
      <c r="B3" s="1296" t="s">
        <v>142</v>
      </c>
      <c r="C3" s="1298"/>
      <c r="D3" s="1304" t="s">
        <v>118</v>
      </c>
      <c r="E3" s="1304"/>
      <c r="F3" s="1304" t="s">
        <v>67</v>
      </c>
      <c r="G3" s="1305"/>
      <c r="H3" s="1301" t="s">
        <v>63</v>
      </c>
      <c r="I3" s="1301" t="s">
        <v>64</v>
      </c>
      <c r="J3" s="1299" t="s">
        <v>119</v>
      </c>
      <c r="K3" s="1300"/>
      <c r="M3"/>
      <c r="N3"/>
      <c r="O3"/>
      <c r="P3"/>
      <c r="Q3"/>
      <c r="R3"/>
      <c r="S3"/>
      <c r="T3"/>
      <c r="U3"/>
      <c r="V3"/>
      <c r="W3"/>
      <c r="X3"/>
      <c r="Y3"/>
      <c r="Z3"/>
      <c r="AA3"/>
      <c r="AB3"/>
      <c r="AC3"/>
      <c r="AD3"/>
      <c r="AE3"/>
      <c r="AF3"/>
      <c r="AG3"/>
      <c r="AH3"/>
      <c r="AI3"/>
      <c r="AJ3"/>
      <c r="AK3"/>
    </row>
    <row r="4" spans="1:37" s="65" customFormat="1" ht="27.75" customHeight="1" thickBot="1">
      <c r="A4" s="1297"/>
      <c r="B4" s="1297"/>
      <c r="C4" s="1297"/>
      <c r="D4" s="710" t="s">
        <v>10</v>
      </c>
      <c r="E4" s="759" t="s">
        <v>9</v>
      </c>
      <c r="F4" s="710" t="s">
        <v>10</v>
      </c>
      <c r="G4" s="711" t="s">
        <v>9</v>
      </c>
      <c r="H4" s="1302"/>
      <c r="I4" s="1303"/>
      <c r="J4" s="712" t="s">
        <v>10</v>
      </c>
      <c r="K4" s="711" t="s">
        <v>9</v>
      </c>
      <c r="M4"/>
      <c r="N4"/>
      <c r="O4"/>
      <c r="P4"/>
      <c r="Q4"/>
      <c r="R4"/>
      <c r="S4"/>
      <c r="T4"/>
      <c r="U4"/>
      <c r="V4"/>
      <c r="W4"/>
      <c r="X4"/>
      <c r="Y4"/>
      <c r="Z4"/>
      <c r="AA4"/>
      <c r="AB4"/>
      <c r="AC4"/>
      <c r="AD4"/>
      <c r="AE4"/>
      <c r="AF4"/>
      <c r="AG4"/>
      <c r="AH4"/>
      <c r="AI4"/>
      <c r="AJ4"/>
      <c r="AK4"/>
    </row>
    <row r="5" spans="1:37" s="391" customFormat="1" ht="25.5" customHeight="1">
      <c r="A5" s="75" t="s">
        <v>277</v>
      </c>
      <c r="B5" s="257">
        <v>1</v>
      </c>
      <c r="C5" s="350" t="s">
        <v>440</v>
      </c>
      <c r="D5" s="643"/>
      <c r="E5" s="560"/>
      <c r="F5" s="1016">
        <v>5</v>
      </c>
      <c r="G5" s="1040">
        <v>160.2</v>
      </c>
      <c r="H5" s="256"/>
      <c r="I5" s="256"/>
      <c r="J5" s="387">
        <f aca="true" t="shared" si="0" ref="J5:J44">D5</f>
        <v>0</v>
      </c>
      <c r="K5" s="395">
        <f aca="true" t="shared" si="1" ref="K5:K45">E5+G5</f>
        <v>160.2</v>
      </c>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row>
    <row r="6" spans="2:37" s="65" customFormat="1" ht="21">
      <c r="B6" s="257">
        <v>2</v>
      </c>
      <c r="C6" s="350" t="s">
        <v>425</v>
      </c>
      <c r="D6" s="645"/>
      <c r="E6" s="561"/>
      <c r="F6" s="643">
        <v>4</v>
      </c>
      <c r="G6" s="644">
        <v>105.6</v>
      </c>
      <c r="H6" s="256"/>
      <c r="I6" s="256"/>
      <c r="J6" s="387">
        <f t="shared" si="0"/>
        <v>0</v>
      </c>
      <c r="K6" s="395">
        <f t="shared" si="1"/>
        <v>105.6</v>
      </c>
      <c r="M6"/>
      <c r="N6"/>
      <c r="O6"/>
      <c r="P6"/>
      <c r="Q6"/>
      <c r="R6"/>
      <c r="S6"/>
      <c r="T6"/>
      <c r="U6"/>
      <c r="V6"/>
      <c r="W6"/>
      <c r="X6"/>
      <c r="Y6"/>
      <c r="Z6"/>
      <c r="AA6"/>
      <c r="AB6"/>
      <c r="AC6"/>
      <c r="AD6"/>
      <c r="AE6"/>
      <c r="AF6"/>
      <c r="AG6"/>
      <c r="AH6"/>
      <c r="AI6"/>
      <c r="AJ6"/>
      <c r="AK6"/>
    </row>
    <row r="7" spans="1:37" s="65" customFormat="1" ht="21.75">
      <c r="A7" s="75"/>
      <c r="B7" s="257">
        <v>3</v>
      </c>
      <c r="C7" s="350" t="s">
        <v>412</v>
      </c>
      <c r="D7" s="645">
        <v>5</v>
      </c>
      <c r="E7" s="561">
        <v>132.6</v>
      </c>
      <c r="F7" s="643">
        <v>5</v>
      </c>
      <c r="G7" s="644">
        <v>109.2</v>
      </c>
      <c r="H7" s="256"/>
      <c r="I7" s="256"/>
      <c r="J7" s="387">
        <f t="shared" si="0"/>
        <v>5</v>
      </c>
      <c r="K7" s="395">
        <f t="shared" si="1"/>
        <v>241.8</v>
      </c>
      <c r="M7"/>
      <c r="N7"/>
      <c r="O7"/>
      <c r="P7"/>
      <c r="Q7"/>
      <c r="R7"/>
      <c r="S7"/>
      <c r="T7"/>
      <c r="U7"/>
      <c r="V7"/>
      <c r="W7"/>
      <c r="X7"/>
      <c r="Y7"/>
      <c r="Z7"/>
      <c r="AA7"/>
      <c r="AB7"/>
      <c r="AC7"/>
      <c r="AD7"/>
      <c r="AE7"/>
      <c r="AF7"/>
      <c r="AG7"/>
      <c r="AH7"/>
      <c r="AI7"/>
      <c r="AJ7"/>
      <c r="AK7"/>
    </row>
    <row r="8" spans="1:37" s="391" customFormat="1" ht="21">
      <c r="A8" s="255"/>
      <c r="B8" s="257">
        <v>4</v>
      </c>
      <c r="C8" s="350" t="s">
        <v>423</v>
      </c>
      <c r="D8" s="643">
        <v>3</v>
      </c>
      <c r="E8" s="560">
        <v>91</v>
      </c>
      <c r="F8" s="256"/>
      <c r="G8" s="256"/>
      <c r="H8" s="256"/>
      <c r="I8" s="256"/>
      <c r="J8" s="387">
        <f t="shared" si="0"/>
        <v>3</v>
      </c>
      <c r="K8" s="395">
        <f t="shared" si="1"/>
        <v>91</v>
      </c>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row>
    <row r="9" spans="1:37" s="65" customFormat="1" ht="21">
      <c r="A9" s="75"/>
      <c r="B9" s="257">
        <v>5</v>
      </c>
      <c r="C9" s="350" t="s">
        <v>441</v>
      </c>
      <c r="D9" s="643"/>
      <c r="E9" s="560"/>
      <c r="F9" s="1016">
        <v>4</v>
      </c>
      <c r="G9" s="1040">
        <v>209</v>
      </c>
      <c r="H9" s="256"/>
      <c r="I9" s="256"/>
      <c r="J9" s="387">
        <f t="shared" si="0"/>
        <v>0</v>
      </c>
      <c r="K9" s="395">
        <f t="shared" si="1"/>
        <v>209</v>
      </c>
      <c r="M9"/>
      <c r="N9"/>
      <c r="O9"/>
      <c r="P9"/>
      <c r="Q9"/>
      <c r="R9"/>
      <c r="S9"/>
      <c r="T9"/>
      <c r="U9"/>
      <c r="V9"/>
      <c r="W9"/>
      <c r="X9"/>
      <c r="Y9"/>
      <c r="Z9"/>
      <c r="AA9"/>
      <c r="AB9"/>
      <c r="AC9"/>
      <c r="AD9"/>
      <c r="AE9"/>
      <c r="AF9"/>
      <c r="AG9"/>
      <c r="AH9"/>
      <c r="AI9"/>
      <c r="AJ9"/>
      <c r="AK9"/>
    </row>
    <row r="10" spans="1:37" s="391" customFormat="1" ht="40.5">
      <c r="A10" s="255"/>
      <c r="B10" s="257">
        <v>6</v>
      </c>
      <c r="C10" s="350" t="s">
        <v>414</v>
      </c>
      <c r="D10" s="643">
        <v>5</v>
      </c>
      <c r="E10" s="560">
        <v>120.6</v>
      </c>
      <c r="F10" s="643"/>
      <c r="G10" s="644"/>
      <c r="H10" s="256"/>
      <c r="I10" s="256"/>
      <c r="J10" s="387">
        <f t="shared" si="0"/>
        <v>5</v>
      </c>
      <c r="K10" s="395">
        <f t="shared" si="1"/>
        <v>120.6</v>
      </c>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row>
    <row r="11" spans="1:37" s="65" customFormat="1" ht="21">
      <c r="A11" s="75"/>
      <c r="B11" s="257">
        <v>7</v>
      </c>
      <c r="C11" s="350" t="s">
        <v>430</v>
      </c>
      <c r="D11" s="643">
        <v>10</v>
      </c>
      <c r="E11" s="560">
        <v>214.3</v>
      </c>
      <c r="F11" s="1016">
        <v>3</v>
      </c>
      <c r="G11" s="1040">
        <v>114.6</v>
      </c>
      <c r="H11" s="256"/>
      <c r="I11" s="256"/>
      <c r="J11" s="387">
        <f t="shared" si="0"/>
        <v>10</v>
      </c>
      <c r="K11" s="395">
        <f t="shared" si="1"/>
        <v>328.9</v>
      </c>
      <c r="M11"/>
      <c r="N11"/>
      <c r="O11"/>
      <c r="P11"/>
      <c r="Q11"/>
      <c r="R11"/>
      <c r="S11"/>
      <c r="T11"/>
      <c r="U11"/>
      <c r="V11"/>
      <c r="W11"/>
      <c r="X11"/>
      <c r="Y11"/>
      <c r="Z11"/>
      <c r="AA11"/>
      <c r="AB11"/>
      <c r="AC11"/>
      <c r="AD11"/>
      <c r="AE11"/>
      <c r="AF11"/>
      <c r="AG11"/>
      <c r="AH11"/>
      <c r="AI11"/>
      <c r="AJ11"/>
      <c r="AK11"/>
    </row>
    <row r="12" spans="1:37" s="65" customFormat="1" ht="40.5">
      <c r="A12" s="75"/>
      <c r="B12" s="257">
        <v>8</v>
      </c>
      <c r="C12" s="350" t="s">
        <v>416</v>
      </c>
      <c r="D12" s="1016">
        <v>6</v>
      </c>
      <c r="E12" s="1038">
        <v>177.9</v>
      </c>
      <c r="F12" s="1016">
        <v>5</v>
      </c>
      <c r="G12" s="1037">
        <v>127.8</v>
      </c>
      <c r="H12" s="256"/>
      <c r="I12" s="256"/>
      <c r="J12" s="387">
        <f t="shared" si="0"/>
        <v>6</v>
      </c>
      <c r="K12" s="395">
        <f t="shared" si="1"/>
        <v>305.7</v>
      </c>
      <c r="M12"/>
      <c r="N12"/>
      <c r="O12"/>
      <c r="P12"/>
      <c r="Q12"/>
      <c r="R12"/>
      <c r="S12"/>
      <c r="T12"/>
      <c r="U12"/>
      <c r="V12"/>
      <c r="W12"/>
      <c r="X12"/>
      <c r="Y12"/>
      <c r="Z12"/>
      <c r="AA12"/>
      <c r="AB12"/>
      <c r="AC12"/>
      <c r="AD12"/>
      <c r="AE12"/>
      <c r="AF12"/>
      <c r="AG12"/>
      <c r="AH12"/>
      <c r="AI12"/>
      <c r="AJ12"/>
      <c r="AK12"/>
    </row>
    <row r="13" spans="1:37" s="65" customFormat="1" ht="40.5">
      <c r="A13" s="75"/>
      <c r="B13" s="257">
        <v>9</v>
      </c>
      <c r="C13" s="350" t="s">
        <v>427</v>
      </c>
      <c r="D13" s="295"/>
      <c r="E13" s="760"/>
      <c r="F13" s="298">
        <v>4</v>
      </c>
      <c r="G13" s="1019">
        <v>102.9</v>
      </c>
      <c r="H13" s="256"/>
      <c r="I13" s="256"/>
      <c r="J13" s="387">
        <f t="shared" si="0"/>
        <v>0</v>
      </c>
      <c r="K13" s="395">
        <f t="shared" si="1"/>
        <v>102.9</v>
      </c>
      <c r="M13"/>
      <c r="N13"/>
      <c r="O13"/>
      <c r="P13"/>
      <c r="Q13"/>
      <c r="R13"/>
      <c r="S13"/>
      <c r="T13"/>
      <c r="U13"/>
      <c r="V13"/>
      <c r="W13"/>
      <c r="X13"/>
      <c r="Y13"/>
      <c r="Z13"/>
      <c r="AA13"/>
      <c r="AB13"/>
      <c r="AC13"/>
      <c r="AD13"/>
      <c r="AE13"/>
      <c r="AF13"/>
      <c r="AG13"/>
      <c r="AH13"/>
      <c r="AI13"/>
      <c r="AJ13"/>
      <c r="AK13"/>
    </row>
    <row r="14" spans="2:37" s="65" customFormat="1" ht="21">
      <c r="B14" s="257">
        <v>10</v>
      </c>
      <c r="C14" s="210" t="s">
        <v>424</v>
      </c>
      <c r="D14" s="643">
        <v>5</v>
      </c>
      <c r="E14" s="560">
        <v>149.2</v>
      </c>
      <c r="F14" s="643">
        <v>1</v>
      </c>
      <c r="G14" s="644">
        <v>22.8</v>
      </c>
      <c r="H14" s="256"/>
      <c r="I14" s="256"/>
      <c r="J14" s="387">
        <f t="shared" si="0"/>
        <v>5</v>
      </c>
      <c r="K14" s="395">
        <f t="shared" si="1"/>
        <v>172</v>
      </c>
      <c r="M14"/>
      <c r="N14"/>
      <c r="O14"/>
      <c r="P14"/>
      <c r="Q14"/>
      <c r="R14"/>
      <c r="S14"/>
      <c r="T14"/>
      <c r="U14"/>
      <c r="V14"/>
      <c r="W14"/>
      <c r="X14"/>
      <c r="Y14"/>
      <c r="Z14"/>
      <c r="AA14"/>
      <c r="AB14"/>
      <c r="AC14"/>
      <c r="AD14"/>
      <c r="AE14"/>
      <c r="AF14"/>
      <c r="AG14"/>
      <c r="AH14"/>
      <c r="AI14"/>
      <c r="AJ14"/>
      <c r="AK14"/>
    </row>
    <row r="15" spans="1:37" s="65" customFormat="1" ht="21.75">
      <c r="A15" s="75"/>
      <c r="B15" s="257">
        <v>11</v>
      </c>
      <c r="C15" s="350" t="s">
        <v>413</v>
      </c>
      <c r="D15" s="645"/>
      <c r="E15" s="561"/>
      <c r="F15" s="643">
        <v>5</v>
      </c>
      <c r="G15" s="644">
        <v>116.5</v>
      </c>
      <c r="H15" s="256"/>
      <c r="I15" s="256"/>
      <c r="J15" s="387">
        <f t="shared" si="0"/>
        <v>0</v>
      </c>
      <c r="K15" s="395">
        <f t="shared" si="1"/>
        <v>116.5</v>
      </c>
      <c r="M15"/>
      <c r="N15"/>
      <c r="O15"/>
      <c r="P15"/>
      <c r="Q15"/>
      <c r="R15"/>
      <c r="S15"/>
      <c r="T15"/>
      <c r="U15"/>
      <c r="V15"/>
      <c r="W15"/>
      <c r="X15"/>
      <c r="Y15"/>
      <c r="Z15"/>
      <c r="AA15"/>
      <c r="AB15"/>
      <c r="AC15"/>
      <c r="AD15"/>
      <c r="AE15"/>
      <c r="AF15"/>
      <c r="AG15"/>
      <c r="AH15"/>
      <c r="AI15"/>
      <c r="AJ15"/>
      <c r="AK15"/>
    </row>
    <row r="16" spans="1:37" s="391" customFormat="1" ht="25.5" customHeight="1">
      <c r="A16" s="255" t="s">
        <v>438</v>
      </c>
      <c r="B16" s="257">
        <v>12</v>
      </c>
      <c r="C16" s="350" t="s">
        <v>439</v>
      </c>
      <c r="D16" s="643">
        <v>5</v>
      </c>
      <c r="E16" s="560">
        <v>85</v>
      </c>
      <c r="F16" s="256"/>
      <c r="G16" s="256"/>
      <c r="H16" s="256"/>
      <c r="I16" s="256"/>
      <c r="J16" s="387">
        <f t="shared" si="0"/>
        <v>5</v>
      </c>
      <c r="K16" s="395">
        <f t="shared" si="1"/>
        <v>85</v>
      </c>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row>
    <row r="17" spans="1:37" s="391" customFormat="1" ht="25.5" customHeight="1">
      <c r="A17" s="255" t="s">
        <v>275</v>
      </c>
      <c r="B17" s="257">
        <v>13</v>
      </c>
      <c r="C17" s="350" t="s">
        <v>443</v>
      </c>
      <c r="D17" s="643"/>
      <c r="E17" s="560"/>
      <c r="F17" s="1016">
        <v>3</v>
      </c>
      <c r="G17" s="1040">
        <v>66.9</v>
      </c>
      <c r="H17" s="256"/>
      <c r="I17" s="256"/>
      <c r="J17" s="387">
        <f t="shared" si="0"/>
        <v>0</v>
      </c>
      <c r="K17" s="395">
        <f t="shared" si="1"/>
        <v>66.9</v>
      </c>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row>
    <row r="18" spans="1:37" s="391" customFormat="1" ht="24" customHeight="1">
      <c r="A18" s="255" t="s">
        <v>278</v>
      </c>
      <c r="B18" s="257">
        <v>14</v>
      </c>
      <c r="C18" s="350" t="s">
        <v>436</v>
      </c>
      <c r="D18" s="643"/>
      <c r="E18" s="560"/>
      <c r="F18" s="643">
        <v>5</v>
      </c>
      <c r="G18" s="1039">
        <v>208.7</v>
      </c>
      <c r="H18" s="256"/>
      <c r="I18" s="256"/>
      <c r="J18" s="387">
        <f t="shared" si="0"/>
        <v>0</v>
      </c>
      <c r="K18" s="395">
        <f t="shared" si="1"/>
        <v>208.7</v>
      </c>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row>
    <row r="19" spans="1:37" s="391" customFormat="1" ht="21">
      <c r="A19" s="255"/>
      <c r="B19" s="257">
        <v>15</v>
      </c>
      <c r="C19" s="350" t="s">
        <v>445</v>
      </c>
      <c r="D19" s="643"/>
      <c r="E19" s="560"/>
      <c r="F19" s="643">
        <v>5</v>
      </c>
      <c r="G19" s="1039">
        <v>133.7</v>
      </c>
      <c r="H19" s="256"/>
      <c r="I19" s="256"/>
      <c r="J19" s="387">
        <f t="shared" si="0"/>
        <v>0</v>
      </c>
      <c r="K19" s="395">
        <f t="shared" si="1"/>
        <v>133.7</v>
      </c>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row>
    <row r="20" spans="1:37" s="65" customFormat="1" ht="44.25" customHeight="1">
      <c r="A20" s="255" t="s">
        <v>279</v>
      </c>
      <c r="B20" s="257">
        <v>16</v>
      </c>
      <c r="C20" s="350" t="s">
        <v>418</v>
      </c>
      <c r="D20" s="643">
        <v>4</v>
      </c>
      <c r="E20" s="560">
        <v>74.9</v>
      </c>
      <c r="F20" s="643"/>
      <c r="G20" s="644"/>
      <c r="H20" s="256"/>
      <c r="I20" s="256"/>
      <c r="J20" s="387">
        <f t="shared" si="0"/>
        <v>4</v>
      </c>
      <c r="K20" s="395">
        <f t="shared" si="1"/>
        <v>74.9</v>
      </c>
      <c r="M20"/>
      <c r="N20"/>
      <c r="O20"/>
      <c r="P20"/>
      <c r="Q20"/>
      <c r="R20"/>
      <c r="S20"/>
      <c r="T20"/>
      <c r="U20"/>
      <c r="V20"/>
      <c r="W20"/>
      <c r="X20"/>
      <c r="Y20"/>
      <c r="Z20"/>
      <c r="AA20"/>
      <c r="AB20"/>
      <c r="AC20"/>
      <c r="AD20"/>
      <c r="AE20"/>
      <c r="AF20"/>
      <c r="AG20"/>
      <c r="AH20"/>
      <c r="AI20"/>
      <c r="AJ20"/>
      <c r="AK20"/>
    </row>
    <row r="21" spans="1:37" s="65" customFormat="1" ht="21">
      <c r="A21" s="255"/>
      <c r="B21" s="257">
        <v>17</v>
      </c>
      <c r="C21" s="350" t="s">
        <v>409</v>
      </c>
      <c r="D21" s="643">
        <v>6</v>
      </c>
      <c r="E21" s="560">
        <v>159.6</v>
      </c>
      <c r="F21" s="643">
        <v>5</v>
      </c>
      <c r="G21" s="644">
        <v>214.1</v>
      </c>
      <c r="H21" s="256"/>
      <c r="I21" s="256"/>
      <c r="J21" s="387">
        <f t="shared" si="0"/>
        <v>6</v>
      </c>
      <c r="K21" s="395">
        <f t="shared" si="1"/>
        <v>373.7</v>
      </c>
      <c r="M21"/>
      <c r="N21"/>
      <c r="O21"/>
      <c r="P21"/>
      <c r="Q21"/>
      <c r="R21"/>
      <c r="S21"/>
      <c r="T21"/>
      <c r="U21"/>
      <c r="V21"/>
      <c r="W21"/>
      <c r="X21"/>
      <c r="Y21"/>
      <c r="Z21"/>
      <c r="AA21"/>
      <c r="AB21"/>
      <c r="AC21"/>
      <c r="AD21"/>
      <c r="AE21"/>
      <c r="AF21"/>
      <c r="AG21"/>
      <c r="AH21"/>
      <c r="AI21"/>
      <c r="AJ21"/>
      <c r="AK21"/>
    </row>
    <row r="22" spans="1:37" s="65" customFormat="1" ht="21">
      <c r="A22" s="255"/>
      <c r="B22" s="257">
        <v>18</v>
      </c>
      <c r="C22" s="350" t="s">
        <v>422</v>
      </c>
      <c r="D22" s="643"/>
      <c r="E22" s="560"/>
      <c r="F22" s="643">
        <v>2</v>
      </c>
      <c r="G22" s="644">
        <v>93.8</v>
      </c>
      <c r="H22" s="256"/>
      <c r="I22" s="256"/>
      <c r="J22" s="387">
        <f t="shared" si="0"/>
        <v>0</v>
      </c>
      <c r="K22" s="395">
        <f t="shared" si="1"/>
        <v>93.8</v>
      </c>
      <c r="M22"/>
      <c r="N22"/>
      <c r="O22"/>
      <c r="P22"/>
      <c r="Q22"/>
      <c r="R22"/>
      <c r="S22"/>
      <c r="T22"/>
      <c r="U22"/>
      <c r="V22"/>
      <c r="W22"/>
      <c r="X22"/>
      <c r="Y22"/>
      <c r="Z22"/>
      <c r="AA22"/>
      <c r="AB22"/>
      <c r="AC22"/>
      <c r="AD22"/>
      <c r="AE22"/>
      <c r="AF22"/>
      <c r="AG22"/>
      <c r="AH22"/>
      <c r="AI22"/>
      <c r="AJ22"/>
      <c r="AK22"/>
    </row>
    <row r="23" spans="1:37" s="65" customFormat="1" ht="21">
      <c r="A23" s="255" t="s">
        <v>420</v>
      </c>
      <c r="B23" s="257">
        <v>19</v>
      </c>
      <c r="C23" s="350" t="s">
        <v>421</v>
      </c>
      <c r="D23" s="643">
        <v>5</v>
      </c>
      <c r="E23" s="560">
        <v>102.2</v>
      </c>
      <c r="F23" s="643">
        <v>5</v>
      </c>
      <c r="G23" s="644">
        <v>14.9</v>
      </c>
      <c r="H23" s="256"/>
      <c r="I23" s="256"/>
      <c r="J23" s="387">
        <f t="shared" si="0"/>
        <v>5</v>
      </c>
      <c r="K23" s="395">
        <f t="shared" si="1"/>
        <v>117.10000000000001</v>
      </c>
      <c r="M23"/>
      <c r="N23"/>
      <c r="O23"/>
      <c r="P23"/>
      <c r="Q23"/>
      <c r="R23"/>
      <c r="S23"/>
      <c r="T23"/>
      <c r="U23"/>
      <c r="V23"/>
      <c r="W23"/>
      <c r="X23"/>
      <c r="Y23"/>
      <c r="Z23"/>
      <c r="AA23"/>
      <c r="AB23"/>
      <c r="AC23"/>
      <c r="AD23"/>
      <c r="AE23"/>
      <c r="AF23"/>
      <c r="AG23"/>
      <c r="AH23"/>
      <c r="AI23"/>
      <c r="AJ23"/>
      <c r="AK23"/>
    </row>
    <row r="24" spans="1:37" s="65" customFormat="1" ht="21">
      <c r="A24" s="255" t="s">
        <v>280</v>
      </c>
      <c r="B24" s="257">
        <v>20</v>
      </c>
      <c r="C24" s="350" t="s">
        <v>408</v>
      </c>
      <c r="D24" s="643">
        <v>1</v>
      </c>
      <c r="E24" s="560">
        <v>95.8</v>
      </c>
      <c r="F24" s="643"/>
      <c r="G24" s="644"/>
      <c r="H24" s="256"/>
      <c r="I24" s="256"/>
      <c r="J24" s="387">
        <f t="shared" si="0"/>
        <v>1</v>
      </c>
      <c r="K24" s="395">
        <f t="shared" si="1"/>
        <v>95.8</v>
      </c>
      <c r="M24"/>
      <c r="N24"/>
      <c r="O24"/>
      <c r="P24"/>
      <c r="Q24"/>
      <c r="R24"/>
      <c r="S24"/>
      <c r="T24"/>
      <c r="U24"/>
      <c r="V24"/>
      <c r="W24"/>
      <c r="X24"/>
      <c r="Y24"/>
      <c r="Z24"/>
      <c r="AA24"/>
      <c r="AB24"/>
      <c r="AC24"/>
      <c r="AD24"/>
      <c r="AE24"/>
      <c r="AF24"/>
      <c r="AG24"/>
      <c r="AH24"/>
      <c r="AI24"/>
      <c r="AJ24"/>
      <c r="AK24"/>
    </row>
    <row r="25" spans="2:37" s="65" customFormat="1" ht="40.5">
      <c r="B25" s="257">
        <v>21</v>
      </c>
      <c r="C25" s="350" t="s">
        <v>411</v>
      </c>
      <c r="D25" s="643">
        <v>5</v>
      </c>
      <c r="E25" s="560">
        <v>68.5</v>
      </c>
      <c r="F25" s="643">
        <v>5</v>
      </c>
      <c r="G25" s="644">
        <v>132.1</v>
      </c>
      <c r="H25" s="256"/>
      <c r="I25" s="256"/>
      <c r="J25" s="387">
        <f t="shared" si="0"/>
        <v>5</v>
      </c>
      <c r="K25" s="395">
        <f t="shared" si="1"/>
        <v>200.6</v>
      </c>
      <c r="M25"/>
      <c r="N25"/>
      <c r="O25"/>
      <c r="P25"/>
      <c r="Q25"/>
      <c r="R25"/>
      <c r="S25"/>
      <c r="T25"/>
      <c r="U25"/>
      <c r="V25"/>
      <c r="W25"/>
      <c r="X25"/>
      <c r="Y25"/>
      <c r="Z25"/>
      <c r="AA25"/>
      <c r="AB25"/>
      <c r="AC25"/>
      <c r="AD25"/>
      <c r="AE25"/>
      <c r="AF25"/>
      <c r="AG25"/>
      <c r="AH25"/>
      <c r="AI25"/>
      <c r="AJ25"/>
      <c r="AK25"/>
    </row>
    <row r="26" spans="1:37" s="65" customFormat="1" ht="40.5">
      <c r="A26" s="255"/>
      <c r="B26" s="257">
        <v>22</v>
      </c>
      <c r="C26" s="350" t="s">
        <v>426</v>
      </c>
      <c r="D26" s="643"/>
      <c r="E26" s="560"/>
      <c r="F26" s="643">
        <v>5</v>
      </c>
      <c r="G26" s="644">
        <v>151.7</v>
      </c>
      <c r="H26" s="256"/>
      <c r="I26" s="256"/>
      <c r="J26" s="387">
        <f t="shared" si="0"/>
        <v>0</v>
      </c>
      <c r="K26" s="395">
        <f t="shared" si="1"/>
        <v>151.7</v>
      </c>
      <c r="M26"/>
      <c r="N26"/>
      <c r="O26"/>
      <c r="P26"/>
      <c r="Q26"/>
      <c r="R26"/>
      <c r="S26"/>
      <c r="T26"/>
      <c r="U26"/>
      <c r="V26"/>
      <c r="W26"/>
      <c r="X26"/>
      <c r="Y26"/>
      <c r="Z26"/>
      <c r="AA26"/>
      <c r="AB26"/>
      <c r="AC26"/>
      <c r="AD26"/>
      <c r="AE26"/>
      <c r="AF26"/>
      <c r="AG26"/>
      <c r="AH26"/>
      <c r="AI26"/>
      <c r="AJ26"/>
      <c r="AK26"/>
    </row>
    <row r="27" spans="2:37" s="65" customFormat="1" ht="26.25" customHeight="1">
      <c r="B27" s="257">
        <v>23</v>
      </c>
      <c r="C27" s="350" t="s">
        <v>435</v>
      </c>
      <c r="D27" s="643"/>
      <c r="E27" s="560"/>
      <c r="F27" s="643">
        <v>5</v>
      </c>
      <c r="G27" s="644">
        <v>117.4</v>
      </c>
      <c r="H27" s="256"/>
      <c r="I27" s="256"/>
      <c r="J27" s="387">
        <f t="shared" si="0"/>
        <v>0</v>
      </c>
      <c r="K27" s="395">
        <f t="shared" si="1"/>
        <v>117.4</v>
      </c>
      <c r="M27"/>
      <c r="N27"/>
      <c r="O27"/>
      <c r="P27"/>
      <c r="Q27"/>
      <c r="R27"/>
      <c r="S27"/>
      <c r="T27"/>
      <c r="U27"/>
      <c r="V27"/>
      <c r="W27"/>
      <c r="X27"/>
      <c r="Y27"/>
      <c r="Z27"/>
      <c r="AA27"/>
      <c r="AB27"/>
      <c r="AC27"/>
      <c r="AD27"/>
      <c r="AE27"/>
      <c r="AF27"/>
      <c r="AG27"/>
      <c r="AH27"/>
      <c r="AI27"/>
      <c r="AJ27"/>
      <c r="AK27"/>
    </row>
    <row r="28" spans="1:37" s="65" customFormat="1" ht="21">
      <c r="A28" s="255"/>
      <c r="B28" s="257">
        <v>24</v>
      </c>
      <c r="C28" s="350" t="s">
        <v>432</v>
      </c>
      <c r="D28" s="643"/>
      <c r="E28" s="560"/>
      <c r="F28" s="643">
        <v>5</v>
      </c>
      <c r="G28" s="644">
        <v>246.6</v>
      </c>
      <c r="H28" s="256"/>
      <c r="I28" s="256"/>
      <c r="J28" s="387">
        <f t="shared" si="0"/>
        <v>0</v>
      </c>
      <c r="K28" s="395">
        <f t="shared" si="1"/>
        <v>246.6</v>
      </c>
      <c r="M28"/>
      <c r="N28"/>
      <c r="O28"/>
      <c r="P28"/>
      <c r="Q28"/>
      <c r="R28"/>
      <c r="S28"/>
      <c r="T28"/>
      <c r="U28"/>
      <c r="V28"/>
      <c r="W28"/>
      <c r="X28"/>
      <c r="Y28"/>
      <c r="Z28"/>
      <c r="AA28"/>
      <c r="AB28"/>
      <c r="AC28"/>
      <c r="AD28"/>
      <c r="AE28"/>
      <c r="AF28"/>
      <c r="AG28"/>
      <c r="AH28"/>
      <c r="AI28"/>
      <c r="AJ28"/>
      <c r="AK28"/>
    </row>
    <row r="29" spans="2:37" s="65" customFormat="1" ht="26.25" customHeight="1">
      <c r="B29" s="257">
        <v>25</v>
      </c>
      <c r="C29" s="350" t="s">
        <v>437</v>
      </c>
      <c r="D29" s="643"/>
      <c r="E29" s="560"/>
      <c r="F29" s="643">
        <v>5</v>
      </c>
      <c r="G29" s="644">
        <v>80.4</v>
      </c>
      <c r="H29" s="256"/>
      <c r="I29" s="256"/>
      <c r="J29" s="387">
        <f t="shared" si="0"/>
        <v>0</v>
      </c>
      <c r="K29" s="395">
        <f t="shared" si="1"/>
        <v>80.4</v>
      </c>
      <c r="M29"/>
      <c r="N29"/>
      <c r="O29"/>
      <c r="P29"/>
      <c r="Q29"/>
      <c r="R29"/>
      <c r="S29"/>
      <c r="T29"/>
      <c r="U29"/>
      <c r="V29"/>
      <c r="W29"/>
      <c r="X29"/>
      <c r="Y29"/>
      <c r="Z29"/>
      <c r="AA29"/>
      <c r="AB29"/>
      <c r="AC29"/>
      <c r="AD29"/>
      <c r="AE29"/>
      <c r="AF29"/>
      <c r="AG29"/>
      <c r="AH29"/>
      <c r="AI29"/>
      <c r="AJ29"/>
      <c r="AK29"/>
    </row>
    <row r="30" spans="1:37" s="65" customFormat="1" ht="21">
      <c r="A30" s="255"/>
      <c r="B30" s="257">
        <v>26</v>
      </c>
      <c r="C30" s="350" t="s">
        <v>415</v>
      </c>
      <c r="D30" s="643"/>
      <c r="E30" s="560"/>
      <c r="F30" s="643">
        <v>4</v>
      </c>
      <c r="G30" s="644">
        <v>76.9</v>
      </c>
      <c r="H30" s="256"/>
      <c r="I30" s="256"/>
      <c r="J30" s="387">
        <f t="shared" si="0"/>
        <v>0</v>
      </c>
      <c r="K30" s="395">
        <f t="shared" si="1"/>
        <v>76.9</v>
      </c>
      <c r="M30"/>
      <c r="N30"/>
      <c r="O30"/>
      <c r="P30"/>
      <c r="Q30"/>
      <c r="R30"/>
      <c r="S30"/>
      <c r="T30"/>
      <c r="U30"/>
      <c r="V30"/>
      <c r="W30"/>
      <c r="X30"/>
      <c r="Y30"/>
      <c r="Z30"/>
      <c r="AA30"/>
      <c r="AB30"/>
      <c r="AC30"/>
      <c r="AD30"/>
      <c r="AE30"/>
      <c r="AF30"/>
      <c r="AG30"/>
      <c r="AH30"/>
      <c r="AI30"/>
      <c r="AJ30"/>
      <c r="AK30"/>
    </row>
    <row r="31" spans="1:37" s="65" customFormat="1" ht="40.5">
      <c r="A31" s="255"/>
      <c r="B31" s="257">
        <v>27</v>
      </c>
      <c r="C31" s="350" t="s">
        <v>428</v>
      </c>
      <c r="D31" s="643"/>
      <c r="E31" s="560"/>
      <c r="F31" s="643">
        <v>5</v>
      </c>
      <c r="G31" s="644">
        <v>153.1</v>
      </c>
      <c r="H31" s="256"/>
      <c r="I31" s="256"/>
      <c r="J31" s="387">
        <f t="shared" si="0"/>
        <v>0</v>
      </c>
      <c r="K31" s="395">
        <f t="shared" si="1"/>
        <v>153.1</v>
      </c>
      <c r="M31"/>
      <c r="N31"/>
      <c r="O31"/>
      <c r="P31"/>
      <c r="Q31"/>
      <c r="R31"/>
      <c r="S31"/>
      <c r="T31"/>
      <c r="U31"/>
      <c r="V31"/>
      <c r="W31"/>
      <c r="X31"/>
      <c r="Y31"/>
      <c r="Z31"/>
      <c r="AA31"/>
      <c r="AB31"/>
      <c r="AC31"/>
      <c r="AD31"/>
      <c r="AE31"/>
      <c r="AF31"/>
      <c r="AG31"/>
      <c r="AH31"/>
      <c r="AI31"/>
      <c r="AJ31"/>
      <c r="AK31"/>
    </row>
    <row r="32" spans="1:37" s="65" customFormat="1" ht="40.5">
      <c r="A32" s="255"/>
      <c r="B32" s="257">
        <v>28</v>
      </c>
      <c r="C32" s="350" t="s">
        <v>207</v>
      </c>
      <c r="D32" s="643"/>
      <c r="E32" s="560"/>
      <c r="F32" s="1016">
        <v>3</v>
      </c>
      <c r="G32" s="644">
        <v>57.9</v>
      </c>
      <c r="H32" s="256"/>
      <c r="I32" s="256"/>
      <c r="J32" s="387">
        <f t="shared" si="0"/>
        <v>0</v>
      </c>
      <c r="K32" s="395">
        <f t="shared" si="1"/>
        <v>57.9</v>
      </c>
      <c r="M32"/>
      <c r="N32"/>
      <c r="O32"/>
      <c r="P32"/>
      <c r="Q32"/>
      <c r="R32"/>
      <c r="S32"/>
      <c r="T32"/>
      <c r="U32"/>
      <c r="V32"/>
      <c r="W32"/>
      <c r="X32"/>
      <c r="Y32"/>
      <c r="Z32"/>
      <c r="AA32"/>
      <c r="AB32"/>
      <c r="AC32"/>
      <c r="AD32"/>
      <c r="AE32"/>
      <c r="AF32"/>
      <c r="AG32"/>
      <c r="AH32"/>
      <c r="AI32"/>
      <c r="AJ32"/>
      <c r="AK32"/>
    </row>
    <row r="33" spans="1:37" s="65" customFormat="1" ht="40.5">
      <c r="A33" s="255"/>
      <c r="B33" s="257">
        <v>29</v>
      </c>
      <c r="C33" s="350" t="s">
        <v>431</v>
      </c>
      <c r="D33" s="643"/>
      <c r="E33" s="560"/>
      <c r="F33" s="643">
        <v>4</v>
      </c>
      <c r="G33" s="644">
        <v>97.8</v>
      </c>
      <c r="H33" s="256"/>
      <c r="I33" s="256"/>
      <c r="J33" s="387">
        <f t="shared" si="0"/>
        <v>0</v>
      </c>
      <c r="K33" s="395">
        <f t="shared" si="1"/>
        <v>97.8</v>
      </c>
      <c r="M33"/>
      <c r="N33"/>
      <c r="O33"/>
      <c r="P33"/>
      <c r="Q33"/>
      <c r="R33"/>
      <c r="S33"/>
      <c r="T33"/>
      <c r="U33"/>
      <c r="V33"/>
      <c r="W33"/>
      <c r="X33"/>
      <c r="Y33"/>
      <c r="Z33"/>
      <c r="AA33"/>
      <c r="AB33"/>
      <c r="AC33"/>
      <c r="AD33"/>
      <c r="AE33"/>
      <c r="AF33"/>
      <c r="AG33"/>
      <c r="AH33"/>
      <c r="AI33"/>
      <c r="AJ33"/>
      <c r="AK33"/>
    </row>
    <row r="34" spans="1:37" s="65" customFormat="1" ht="21">
      <c r="A34" s="255"/>
      <c r="B34" s="257">
        <v>30</v>
      </c>
      <c r="C34" s="350" t="s">
        <v>429</v>
      </c>
      <c r="D34" s="643">
        <v>5</v>
      </c>
      <c r="E34" s="560">
        <v>141</v>
      </c>
      <c r="F34" s="643">
        <v>5</v>
      </c>
      <c r="G34" s="644">
        <v>200.2</v>
      </c>
      <c r="H34" s="256"/>
      <c r="I34" s="256"/>
      <c r="J34" s="387">
        <f t="shared" si="0"/>
        <v>5</v>
      </c>
      <c r="K34" s="395">
        <f t="shared" si="1"/>
        <v>341.2</v>
      </c>
      <c r="M34"/>
      <c r="N34"/>
      <c r="O34"/>
      <c r="P34"/>
      <c r="Q34"/>
      <c r="R34"/>
      <c r="S34"/>
      <c r="T34"/>
      <c r="U34"/>
      <c r="V34"/>
      <c r="W34"/>
      <c r="X34"/>
      <c r="Y34"/>
      <c r="Z34"/>
      <c r="AA34"/>
      <c r="AB34"/>
      <c r="AC34"/>
      <c r="AD34"/>
      <c r="AE34"/>
      <c r="AF34"/>
      <c r="AG34"/>
      <c r="AH34"/>
      <c r="AI34"/>
      <c r="AJ34"/>
      <c r="AK34"/>
    </row>
    <row r="35" spans="1:37" s="65" customFormat="1" ht="21">
      <c r="A35" s="255"/>
      <c r="B35" s="257">
        <v>31</v>
      </c>
      <c r="C35" s="350" t="s">
        <v>419</v>
      </c>
      <c r="D35" s="643">
        <v>3</v>
      </c>
      <c r="E35" s="560">
        <v>48.2</v>
      </c>
      <c r="F35" s="643"/>
      <c r="G35" s="644"/>
      <c r="H35" s="256"/>
      <c r="I35" s="256"/>
      <c r="J35" s="387">
        <f t="shared" si="0"/>
        <v>3</v>
      </c>
      <c r="K35" s="395">
        <f t="shared" si="1"/>
        <v>48.2</v>
      </c>
      <c r="M35"/>
      <c r="N35"/>
      <c r="O35"/>
      <c r="P35"/>
      <c r="Q35"/>
      <c r="R35"/>
      <c r="S35"/>
      <c r="T35"/>
      <c r="U35"/>
      <c r="V35"/>
      <c r="W35"/>
      <c r="X35"/>
      <c r="Y35"/>
      <c r="Z35"/>
      <c r="AA35"/>
      <c r="AB35"/>
      <c r="AC35"/>
      <c r="AD35"/>
      <c r="AE35"/>
      <c r="AF35"/>
      <c r="AG35"/>
      <c r="AH35"/>
      <c r="AI35"/>
      <c r="AJ35"/>
      <c r="AK35"/>
    </row>
    <row r="36" spans="1:11" ht="21.75">
      <c r="A36" s="255" t="s">
        <v>281</v>
      </c>
      <c r="B36" s="257">
        <v>32</v>
      </c>
      <c r="C36" s="1018" t="s">
        <v>433</v>
      </c>
      <c r="D36" s="643"/>
      <c r="E36" s="560"/>
      <c r="F36" s="557">
        <v>8</v>
      </c>
      <c r="G36" s="558">
        <v>298.3</v>
      </c>
      <c r="H36" s="256"/>
      <c r="I36" s="256"/>
      <c r="J36" s="387">
        <f t="shared" si="0"/>
        <v>0</v>
      </c>
      <c r="K36" s="395">
        <f t="shared" si="1"/>
        <v>298.3</v>
      </c>
    </row>
    <row r="37" spans="2:37" s="65" customFormat="1" ht="21">
      <c r="B37" s="257">
        <v>33</v>
      </c>
      <c r="C37" s="350" t="s">
        <v>410</v>
      </c>
      <c r="D37" s="643">
        <v>5</v>
      </c>
      <c r="E37" s="560">
        <v>73.3</v>
      </c>
      <c r="F37" s="643">
        <v>5</v>
      </c>
      <c r="G37" s="1017">
        <v>168.2</v>
      </c>
      <c r="H37" s="256"/>
      <c r="I37" s="256"/>
      <c r="J37" s="387">
        <f t="shared" si="0"/>
        <v>5</v>
      </c>
      <c r="K37" s="395">
        <f t="shared" si="1"/>
        <v>241.5</v>
      </c>
      <c r="M37"/>
      <c r="N37"/>
      <c r="O37"/>
      <c r="P37"/>
      <c r="Q37"/>
      <c r="R37"/>
      <c r="S37"/>
      <c r="T37"/>
      <c r="U37"/>
      <c r="V37"/>
      <c r="W37"/>
      <c r="X37"/>
      <c r="Y37"/>
      <c r="Z37"/>
      <c r="AA37"/>
      <c r="AB37"/>
      <c r="AC37"/>
      <c r="AD37"/>
      <c r="AE37"/>
      <c r="AF37"/>
      <c r="AG37"/>
      <c r="AH37"/>
      <c r="AI37"/>
      <c r="AJ37"/>
      <c r="AK37"/>
    </row>
    <row r="38" spans="2:11" ht="42">
      <c r="B38" s="257">
        <v>34</v>
      </c>
      <c r="C38" s="1018" t="s">
        <v>417</v>
      </c>
      <c r="D38" s="643">
        <v>5</v>
      </c>
      <c r="E38" s="560">
        <v>43.5</v>
      </c>
      <c r="F38" s="557"/>
      <c r="G38" s="558"/>
      <c r="H38" s="256"/>
      <c r="I38" s="256"/>
      <c r="J38" s="387">
        <f t="shared" si="0"/>
        <v>5</v>
      </c>
      <c r="K38" s="395">
        <f t="shared" si="1"/>
        <v>43.5</v>
      </c>
    </row>
    <row r="39" spans="2:37" s="65" customFormat="1" ht="40.5">
      <c r="B39" s="257">
        <v>35</v>
      </c>
      <c r="C39" s="350" t="s">
        <v>407</v>
      </c>
      <c r="D39" s="643"/>
      <c r="E39" s="560"/>
      <c r="F39" s="643">
        <v>5</v>
      </c>
      <c r="G39" s="644">
        <v>205.1</v>
      </c>
      <c r="H39" s="256"/>
      <c r="I39" s="256"/>
      <c r="J39" s="387">
        <f t="shared" si="0"/>
        <v>0</v>
      </c>
      <c r="K39" s="395">
        <f t="shared" si="1"/>
        <v>205.1</v>
      </c>
      <c r="M39"/>
      <c r="N39"/>
      <c r="O39"/>
      <c r="P39"/>
      <c r="Q39"/>
      <c r="R39"/>
      <c r="S39"/>
      <c r="T39"/>
      <c r="U39"/>
      <c r="V39"/>
      <c r="W39"/>
      <c r="X39"/>
      <c r="Y39"/>
      <c r="Z39"/>
      <c r="AA39"/>
      <c r="AB39"/>
      <c r="AC39"/>
      <c r="AD39"/>
      <c r="AE39"/>
      <c r="AF39"/>
      <c r="AG39"/>
      <c r="AH39"/>
      <c r="AI39"/>
      <c r="AJ39"/>
      <c r="AK39"/>
    </row>
    <row r="40" spans="2:11" ht="21.75">
      <c r="B40" s="257">
        <v>36</v>
      </c>
      <c r="C40" s="1018" t="s">
        <v>446</v>
      </c>
      <c r="D40" s="643"/>
      <c r="E40" s="560"/>
      <c r="F40" s="557">
        <v>5</v>
      </c>
      <c r="G40" s="558">
        <v>74</v>
      </c>
      <c r="H40" s="256"/>
      <c r="I40" s="256"/>
      <c r="J40" s="387">
        <f t="shared" si="0"/>
        <v>0</v>
      </c>
      <c r="K40" s="395">
        <f t="shared" si="1"/>
        <v>74</v>
      </c>
    </row>
    <row r="41" spans="2:11" ht="21.75">
      <c r="B41" s="257">
        <v>37</v>
      </c>
      <c r="C41" s="949" t="s">
        <v>196</v>
      </c>
      <c r="D41" s="643">
        <v>6</v>
      </c>
      <c r="E41" s="560">
        <v>228.6</v>
      </c>
      <c r="F41" s="557"/>
      <c r="G41" s="558"/>
      <c r="H41" s="256"/>
      <c r="I41" s="256"/>
      <c r="J41" s="387">
        <f t="shared" si="0"/>
        <v>6</v>
      </c>
      <c r="K41" s="395">
        <f t="shared" si="1"/>
        <v>228.6</v>
      </c>
    </row>
    <row r="42" spans="2:37" s="65" customFormat="1" ht="40.5">
      <c r="B42" s="257">
        <v>38</v>
      </c>
      <c r="C42" s="350" t="s">
        <v>208</v>
      </c>
      <c r="D42" s="643"/>
      <c r="E42" s="560"/>
      <c r="F42" s="643">
        <v>5</v>
      </c>
      <c r="G42" s="644">
        <v>185</v>
      </c>
      <c r="H42" s="256"/>
      <c r="I42" s="256"/>
      <c r="J42" s="387">
        <f t="shared" si="0"/>
        <v>0</v>
      </c>
      <c r="K42" s="395">
        <f t="shared" si="1"/>
        <v>185</v>
      </c>
      <c r="M42"/>
      <c r="N42"/>
      <c r="O42"/>
      <c r="P42"/>
      <c r="Q42"/>
      <c r="R42"/>
      <c r="S42"/>
      <c r="T42"/>
      <c r="U42"/>
      <c r="V42"/>
      <c r="W42"/>
      <c r="X42"/>
      <c r="Y42"/>
      <c r="Z42"/>
      <c r="AA42"/>
      <c r="AB42"/>
      <c r="AC42"/>
      <c r="AD42"/>
      <c r="AE42"/>
      <c r="AF42"/>
      <c r="AG42"/>
      <c r="AH42"/>
      <c r="AI42"/>
      <c r="AJ42"/>
      <c r="AK42"/>
    </row>
    <row r="43" spans="2:11" ht="21.75">
      <c r="B43" s="257">
        <v>39</v>
      </c>
      <c r="C43" s="1018" t="s">
        <v>434</v>
      </c>
      <c r="D43" s="643"/>
      <c r="E43" s="560"/>
      <c r="F43" s="557">
        <v>1</v>
      </c>
      <c r="G43" s="558">
        <v>35.7</v>
      </c>
      <c r="H43" s="256"/>
      <c r="I43" s="256"/>
      <c r="J43" s="387">
        <f t="shared" si="0"/>
        <v>0</v>
      </c>
      <c r="K43" s="395">
        <f t="shared" si="1"/>
        <v>35.7</v>
      </c>
    </row>
    <row r="44" spans="2:11" ht="42">
      <c r="B44" s="257">
        <v>40</v>
      </c>
      <c r="C44" s="1018" t="s">
        <v>442</v>
      </c>
      <c r="D44" s="643"/>
      <c r="E44" s="560"/>
      <c r="F44" s="557">
        <v>5</v>
      </c>
      <c r="G44" s="558">
        <v>166.2</v>
      </c>
      <c r="H44" s="256"/>
      <c r="I44" s="256"/>
      <c r="J44" s="387">
        <f t="shared" si="0"/>
        <v>0</v>
      </c>
      <c r="K44" s="395">
        <f t="shared" si="1"/>
        <v>166.2</v>
      </c>
    </row>
    <row r="45" spans="2:11" ht="22.5" thickBot="1">
      <c r="B45" s="257">
        <v>41</v>
      </c>
      <c r="C45" s="1018" t="s">
        <v>444</v>
      </c>
      <c r="D45" s="643"/>
      <c r="E45" s="560"/>
      <c r="F45" s="557">
        <v>3</v>
      </c>
      <c r="G45" s="558">
        <v>105.3</v>
      </c>
      <c r="H45" s="256"/>
      <c r="I45" s="256"/>
      <c r="J45" s="256" t="s">
        <v>12</v>
      </c>
      <c r="K45" s="395">
        <f t="shared" si="1"/>
        <v>105.3</v>
      </c>
    </row>
    <row r="46" spans="1:37" s="391" customFormat="1" ht="21.75" thickBot="1">
      <c r="A46" s="396"/>
      <c r="B46" s="397"/>
      <c r="C46" s="398" t="s">
        <v>119</v>
      </c>
      <c r="D46" s="390">
        <f>SUM(D5:D45)</f>
        <v>84</v>
      </c>
      <c r="E46" s="756">
        <f>SUM(E5:E45)</f>
        <v>2006.1999999999998</v>
      </c>
      <c r="F46" s="390">
        <f>SUM(F5:F45)</f>
        <v>144</v>
      </c>
      <c r="G46" s="755">
        <f>SUM(G5:G45)</f>
        <v>4352.6</v>
      </c>
      <c r="H46" s="846">
        <f>SUM(H5:H36)</f>
        <v>0</v>
      </c>
      <c r="I46" s="390">
        <f>SUM(I5:I36)</f>
        <v>0</v>
      </c>
      <c r="J46" s="390">
        <f>SUM(J5:J45)</f>
        <v>84</v>
      </c>
      <c r="K46" s="754">
        <f>SUM(K5:K45)</f>
        <v>6358.8</v>
      </c>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row>
    <row r="47" spans="2:37" s="65" customFormat="1" ht="23.25" customHeight="1">
      <c r="B47" s="94"/>
      <c r="E47" s="761"/>
      <c r="F47" s="391"/>
      <c r="G47" s="392"/>
      <c r="H47" s="391"/>
      <c r="I47" s="391"/>
      <c r="J47" s="391"/>
      <c r="K47" s="392"/>
      <c r="M47"/>
      <c r="N47"/>
      <c r="O47"/>
      <c r="P47"/>
      <c r="Q47"/>
      <c r="R47"/>
      <c r="S47"/>
      <c r="T47"/>
      <c r="U47"/>
      <c r="V47"/>
      <c r="W47"/>
      <c r="X47"/>
      <c r="Y47"/>
      <c r="Z47"/>
      <c r="AA47"/>
      <c r="AB47"/>
      <c r="AC47"/>
      <c r="AD47"/>
      <c r="AE47"/>
      <c r="AF47"/>
      <c r="AG47"/>
      <c r="AH47"/>
      <c r="AI47"/>
      <c r="AJ47"/>
      <c r="AK47"/>
    </row>
    <row r="48" spans="2:37" s="65" customFormat="1" ht="23.25" customHeight="1">
      <c r="B48" s="94"/>
      <c r="E48" s="761"/>
      <c r="F48" s="391"/>
      <c r="G48" s="392"/>
      <c r="H48" s="391"/>
      <c r="I48" s="391"/>
      <c r="J48" s="391"/>
      <c r="K48" s="392"/>
      <c r="M48"/>
      <c r="N48"/>
      <c r="O48"/>
      <c r="P48"/>
      <c r="Q48"/>
      <c r="R48"/>
      <c r="S48"/>
      <c r="T48"/>
      <c r="U48"/>
      <c r="V48"/>
      <c r="W48"/>
      <c r="X48"/>
      <c r="Y48"/>
      <c r="Z48"/>
      <c r="AA48"/>
      <c r="AB48"/>
      <c r="AC48"/>
      <c r="AD48"/>
      <c r="AE48"/>
      <c r="AF48"/>
      <c r="AG48"/>
      <c r="AH48"/>
      <c r="AI48"/>
      <c r="AJ48"/>
      <c r="AK48"/>
    </row>
    <row r="49" spans="2:37" s="65" customFormat="1" ht="23.25" customHeight="1">
      <c r="B49" s="94"/>
      <c r="E49" s="761"/>
      <c r="F49" s="391"/>
      <c r="G49" s="392"/>
      <c r="H49" s="391"/>
      <c r="I49" s="391"/>
      <c r="J49" s="391"/>
      <c r="K49" s="392"/>
      <c r="M49"/>
      <c r="N49"/>
      <c r="O49"/>
      <c r="P49"/>
      <c r="Q49"/>
      <c r="R49"/>
      <c r="S49"/>
      <c r="T49"/>
      <c r="U49"/>
      <c r="V49"/>
      <c r="W49"/>
      <c r="X49"/>
      <c r="Y49"/>
      <c r="Z49"/>
      <c r="AA49"/>
      <c r="AB49"/>
      <c r="AC49"/>
      <c r="AD49"/>
      <c r="AE49"/>
      <c r="AF49"/>
      <c r="AG49"/>
      <c r="AH49"/>
      <c r="AI49"/>
      <c r="AJ49"/>
      <c r="AK49"/>
    </row>
  </sheetData>
  <sheetProtection/>
  <mergeCells count="7">
    <mergeCell ref="A3:A4"/>
    <mergeCell ref="B3:C4"/>
    <mergeCell ref="J3:K3"/>
    <mergeCell ref="H3:H4"/>
    <mergeCell ref="I3:I4"/>
    <mergeCell ref="F3:G3"/>
    <mergeCell ref="D3:E3"/>
  </mergeCells>
  <printOptions horizontalCentered="1"/>
  <pageMargins left="0.16" right="0.15" top="0.3" bottom="0.16" header="0.3" footer="0.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u_sar</dc:creator>
  <cp:keywords/>
  <dc:description/>
  <cp:lastModifiedBy>DELL</cp:lastModifiedBy>
  <cp:lastPrinted>2014-10-07T07:17:12Z</cp:lastPrinted>
  <dcterms:created xsi:type="dcterms:W3CDTF">2007-10-09T07:28:46Z</dcterms:created>
  <dcterms:modified xsi:type="dcterms:W3CDTF">2016-06-07T08:00:41Z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