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040" windowHeight="4005" activeTab="0"/>
  </bookViews>
  <sheets>
    <sheet name="BKK" sheetId="1" r:id="rId1"/>
    <sheet name="DMK" sheetId="2" r:id="rId2"/>
    <sheet name="CNX" sheetId="3" r:id="rId3"/>
    <sheet name="HDY" sheetId="4" r:id="rId4"/>
    <sheet name="HKT" sheetId="5" r:id="rId5"/>
    <sheet name="CEI" sheetId="6" r:id="rId6"/>
    <sheet name="TOTAL" sheetId="7" r:id="rId7"/>
  </sheets>
  <definedNames>
    <definedName name="_xlnm.Print_Area" localSheetId="5">'CEI'!$L$2:$W$27</definedName>
    <definedName name="_xlnm.Print_Area" localSheetId="2">'CNX'!$L$158:$W$235</definedName>
    <definedName name="_xlnm.Print_Area" localSheetId="1">'DMK'!$B$2:$I$79</definedName>
    <definedName name="_xlnm.Print_Area" localSheetId="3">'HDY'!$L$158:$W$235</definedName>
    <definedName name="_xlnm.Print_Area" localSheetId="4">'HKT'!$B$2:$I$27</definedName>
    <definedName name="_xlnm.Print_Area" localSheetId="6">'TOTAL'!$L$210:$W$235</definedName>
  </definedNames>
  <calcPr fullCalcOnLoad="1"/>
</workbook>
</file>

<file path=xl/sharedStrings.xml><?xml version="1.0" encoding="utf-8"?>
<sst xmlns="http://schemas.openxmlformats.org/spreadsheetml/2006/main" count="2989" uniqueCount="69">
  <si>
    <t>Table 1</t>
  </si>
  <si>
    <t>Table 4</t>
  </si>
  <si>
    <t>INTERNATIONAL AIRCRAFT MOVEMENT</t>
  </si>
  <si>
    <t>INTERNATIONAL PASSENGER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</si>
  <si>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</si>
  <si>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</si>
  <si>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</si>
  <si>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</si>
  <si>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</si>
  <si>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</si>
  <si>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</si>
  <si>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</si>
  <si>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</si>
  <si>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</si>
  <si>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</si>
  <si>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</si>
  <si>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</si>
  <si>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 - DEC.</t>
  </si>
  <si>
    <t>JAN.</t>
  </si>
  <si>
    <t>FEB.</t>
  </si>
  <si>
    <t>MAR.</t>
  </si>
  <si>
    <t>JAN.- MAR.</t>
  </si>
  <si>
    <t>APR.</t>
  </si>
  <si>
    <t>MAY.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</si>
  <si>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</si>
  <si>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</si>
  <si>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</si>
  <si>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</si>
  <si>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</si>
  <si>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</si>
  <si>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</si>
  <si>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</si>
  <si>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</si>
  <si>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DOMESTIC AIRCRAFT MOVEMENT</t>
  </si>
  <si>
    <t>DOMESTIC PASSENGER</t>
  </si>
  <si>
    <t xml:space="preserve">APR. </t>
  </si>
  <si>
    <t>Table 3</t>
  </si>
  <si>
    <t>Table 6</t>
  </si>
  <si>
    <t>TOTAL AIRCRAFT MOVEMENT</t>
  </si>
  <si>
    <t>TOTAL PASSENGER</t>
  </si>
  <si>
    <t xml:space="preserve"> </t>
  </si>
  <si>
    <t>Table 7</t>
  </si>
  <si>
    <t>INTERNATIONAL FREIGHT</t>
  </si>
  <si>
    <t>Unit : Tonne</t>
  </si>
  <si>
    <t>Inbound</t>
  </si>
  <si>
    <t>Outbound</t>
  </si>
  <si>
    <t>In.+Out.</t>
  </si>
  <si>
    <t>Table 8</t>
  </si>
  <si>
    <t>DOMESTIC FREIGHT</t>
  </si>
  <si>
    <t>Table 9</t>
  </si>
  <si>
    <t>Total FREIGHT</t>
  </si>
  <si>
    <t>Table 10</t>
  </si>
  <si>
    <t>INTERNATIONAL MAIL</t>
  </si>
  <si>
    <t>Table 11</t>
  </si>
  <si>
    <t>DOMESTIC MAIL</t>
  </si>
  <si>
    <t>Table 12</t>
  </si>
  <si>
    <t>Total MAIL</t>
  </si>
  <si>
    <t>INB+OUT</t>
  </si>
  <si>
    <t>OCT.-DEC.</t>
  </si>
  <si>
    <t>APR.- JUN</t>
  </si>
  <si>
    <t>TOTAL FREIGHT</t>
  </si>
  <si>
    <t>Remark  :  NON INTERNATIONAL MAIL</t>
  </si>
  <si>
    <t>TOTAL MAIL</t>
  </si>
  <si>
    <t>JUL.- SEP.</t>
  </si>
  <si>
    <t>Source : Air Transport Information Division, AOT.</t>
  </si>
  <si>
    <t>APR. - JUN.</t>
  </si>
  <si>
    <t>JAN. - SEP.</t>
  </si>
  <si>
    <t>FY 2011</t>
  </si>
  <si>
    <t>FY 2012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</si>
</sst>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_-* #,##0_-;\-* #,##0_-;_-* &quot;-&quot;??_-;_-@_-"/>
    <numFmt numFmtId="214" formatCode="0.00_)"/>
    <numFmt numFmtId="215" formatCode="#,##0_)"/>
    <numFmt numFmtId="216" formatCode="#,##0.00_)"/>
    <numFmt numFmtId="217" formatCode="_-* #,##0.0_-;\-* #,##0.0_-;_-* &quot;-&quot;??_-;_-@_-"/>
    <numFmt numFmtId="218" formatCode="#,##0.00_]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%"/>
    <numFmt numFmtId="224" formatCode="_-* #,##0.000_-;\-* #,##0.000_-;_-* &quot;-&quot;??_-;_-@_-"/>
    <numFmt numFmtId="225" formatCode="0.000%"/>
    <numFmt numFmtId="226" formatCode="0.0000%"/>
    <numFmt numFmtId="227" formatCode="#,##0.00_ ;\-#,##0.00\ "/>
    <numFmt numFmtId="228" formatCode="0.000_)"/>
    <numFmt numFmtId="229" formatCode="0.0"/>
    <numFmt numFmtId="230" formatCode="0.000000"/>
    <numFmt numFmtId="231" formatCode="0.00000"/>
    <numFmt numFmtId="232" formatCode="0.0000"/>
    <numFmt numFmtId="233" formatCode="0.000"/>
    <numFmt numFmtId="234" formatCode="#,##0.0_ ;\-#,##0.0\ "/>
    <numFmt numFmtId="235" formatCode="#,##0_ ;\-#,##0\ "/>
    <numFmt numFmtId="236" formatCode="0.00000000"/>
    <numFmt numFmtId="237" formatCode="0.000000000"/>
  </numFmts>
  <fonts count="47">
    <font>
      <sz val="16"/>
      <name val="AngsanaUPC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6"/>
      <color indexed="12"/>
      <name val="AngsanaUPC"/>
      <family val="1"/>
    </font>
    <font>
      <u val="single"/>
      <sz val="16"/>
      <color indexed="36"/>
      <name val="AngsanaUPC"/>
      <family val="1"/>
    </font>
    <font>
      <sz val="10"/>
      <color indexed="8"/>
      <name val="Arial"/>
      <family val="2"/>
    </font>
    <font>
      <sz val="8"/>
      <name val="AngsanaUPC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thin"/>
      <right style="double"/>
      <top style="double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double"/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double"/>
      <bottom style="double"/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2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33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13" fontId="1" fillId="0" borderId="20" xfId="42" applyNumberFormat="1" applyFont="1" applyBorder="1" applyAlignment="1">
      <alignment/>
    </xf>
    <xf numFmtId="213" fontId="1" fillId="0" borderId="21" xfId="42" applyNumberFormat="1" applyFont="1" applyBorder="1" applyAlignment="1">
      <alignment/>
    </xf>
    <xf numFmtId="213" fontId="4" fillId="33" borderId="0" xfId="42" applyNumberFormat="1" applyFont="1" applyFill="1" applyBorder="1" applyAlignment="1">
      <alignment/>
    </xf>
    <xf numFmtId="43" fontId="1" fillId="0" borderId="11" xfId="42" applyFont="1" applyBorder="1" applyAlignment="1">
      <alignment/>
    </xf>
    <xf numFmtId="213" fontId="4" fillId="33" borderId="11" xfId="42" applyNumberFormat="1" applyFont="1" applyFill="1" applyBorder="1" applyAlignment="1">
      <alignment/>
    </xf>
    <xf numFmtId="213" fontId="1" fillId="0" borderId="11" xfId="42" applyNumberFormat="1" applyFont="1" applyBorder="1" applyAlignment="1">
      <alignment/>
    </xf>
    <xf numFmtId="213" fontId="4" fillId="33" borderId="15" xfId="42" applyNumberFormat="1" applyFont="1" applyFill="1" applyBorder="1" applyAlignment="1">
      <alignment/>
    </xf>
    <xf numFmtId="213" fontId="1" fillId="0" borderId="0" xfId="42" applyNumberFormat="1" applyFont="1" applyBorder="1" applyAlignment="1">
      <alignment/>
    </xf>
    <xf numFmtId="213" fontId="1" fillId="0" borderId="17" xfId="42" applyNumberFormat="1" applyFont="1" applyBorder="1" applyAlignment="1">
      <alignment/>
    </xf>
    <xf numFmtId="213" fontId="1" fillId="0" borderId="22" xfId="42" applyNumberFormat="1" applyFont="1" applyBorder="1" applyAlignment="1">
      <alignment/>
    </xf>
    <xf numFmtId="0" fontId="4" fillId="33" borderId="23" xfId="0" applyFont="1" applyFill="1" applyBorder="1" applyAlignment="1">
      <alignment horizontal="center"/>
    </xf>
    <xf numFmtId="213" fontId="4" fillId="33" borderId="24" xfId="42" applyNumberFormat="1" applyFont="1" applyFill="1" applyBorder="1" applyAlignment="1">
      <alignment/>
    </xf>
    <xf numFmtId="213" fontId="4" fillId="33" borderId="25" xfId="42" applyNumberFormat="1" applyFont="1" applyFill="1" applyBorder="1" applyAlignment="1">
      <alignment/>
    </xf>
    <xf numFmtId="213" fontId="4" fillId="33" borderId="26" xfId="42" applyNumberFormat="1" applyFont="1" applyFill="1" applyBorder="1" applyAlignment="1">
      <alignment/>
    </xf>
    <xf numFmtId="213" fontId="4" fillId="33" borderId="23" xfId="42" applyNumberFormat="1" applyFont="1" applyFill="1" applyBorder="1" applyAlignment="1">
      <alignment/>
    </xf>
    <xf numFmtId="37" fontId="4" fillId="34" borderId="27" xfId="0" applyNumberFormat="1" applyFont="1" applyFill="1" applyBorder="1" applyAlignment="1" applyProtection="1">
      <alignment horizontal="center" vertical="center"/>
      <protection/>
    </xf>
    <xf numFmtId="213" fontId="4" fillId="34" borderId="28" xfId="42" applyNumberFormat="1" applyFont="1" applyFill="1" applyBorder="1" applyAlignment="1" applyProtection="1">
      <alignment vertical="center"/>
      <protection/>
    </xf>
    <xf numFmtId="213" fontId="4" fillId="34" borderId="29" xfId="42" applyNumberFormat="1" applyFont="1" applyFill="1" applyBorder="1" applyAlignment="1" applyProtection="1">
      <alignment vertical="center"/>
      <protection/>
    </xf>
    <xf numFmtId="213" fontId="4" fillId="34" borderId="27" xfId="42" applyNumberFormat="1" applyFont="1" applyFill="1" applyBorder="1" applyAlignment="1" applyProtection="1">
      <alignment vertical="center"/>
      <protection/>
    </xf>
    <xf numFmtId="43" fontId="4" fillId="34" borderId="27" xfId="42" applyFont="1" applyFill="1" applyBorder="1" applyAlignment="1" applyProtection="1">
      <alignment vertical="center"/>
      <protection/>
    </xf>
    <xf numFmtId="213" fontId="4" fillId="34" borderId="30" xfId="42" applyNumberFormat="1" applyFont="1" applyFill="1" applyBorder="1" applyAlignment="1" applyProtection="1">
      <alignment vertical="center"/>
      <protection/>
    </xf>
    <xf numFmtId="10" fontId="1" fillId="0" borderId="0" xfId="63" applyNumberFormat="1" applyFont="1" applyAlignment="1">
      <alignment/>
    </xf>
    <xf numFmtId="213" fontId="4" fillId="33" borderId="31" xfId="42" applyNumberFormat="1" applyFont="1" applyFill="1" applyBorder="1" applyAlignment="1">
      <alignment/>
    </xf>
    <xf numFmtId="213" fontId="1" fillId="0" borderId="16" xfId="42" applyNumberFormat="1" applyFont="1" applyBorder="1" applyAlignment="1">
      <alignment/>
    </xf>
    <xf numFmtId="213" fontId="4" fillId="33" borderId="32" xfId="42" applyNumberFormat="1" applyFont="1" applyFill="1" applyBorder="1" applyAlignment="1">
      <alignment/>
    </xf>
    <xf numFmtId="43" fontId="4" fillId="33" borderId="23" xfId="42" applyFont="1" applyFill="1" applyBorder="1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13" fontId="4" fillId="33" borderId="33" xfId="42" applyNumberFormat="1" applyFont="1" applyFill="1" applyBorder="1" applyAlignment="1">
      <alignment/>
    </xf>
    <xf numFmtId="213" fontId="4" fillId="33" borderId="34" xfId="42" applyNumberFormat="1" applyFont="1" applyFill="1" applyBorder="1" applyAlignment="1">
      <alignment/>
    </xf>
    <xf numFmtId="213" fontId="1" fillId="0" borderId="10" xfId="42" applyNumberFormat="1" applyFont="1" applyBorder="1" applyAlignment="1">
      <alignment/>
    </xf>
    <xf numFmtId="213" fontId="1" fillId="0" borderId="15" xfId="42" applyNumberFormat="1" applyFont="1" applyBorder="1" applyAlignment="1">
      <alignment/>
    </xf>
    <xf numFmtId="213" fontId="4" fillId="33" borderId="16" xfId="42" applyNumberFormat="1" applyFont="1" applyFill="1" applyBorder="1" applyAlignment="1">
      <alignment/>
    </xf>
    <xf numFmtId="43" fontId="1" fillId="0" borderId="16" xfId="42" applyFont="1" applyBorder="1" applyAlignment="1">
      <alignment/>
    </xf>
    <xf numFmtId="0" fontId="1" fillId="0" borderId="0" xfId="0" applyFont="1" applyAlignment="1">
      <alignment horizontal="left"/>
    </xf>
    <xf numFmtId="213" fontId="4" fillId="33" borderId="18" xfId="42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213" fontId="4" fillId="33" borderId="36" xfId="42" applyNumberFormat="1" applyFont="1" applyFill="1" applyBorder="1" applyAlignment="1">
      <alignment/>
    </xf>
    <xf numFmtId="213" fontId="4" fillId="33" borderId="10" xfId="42" applyNumberFormat="1" applyFont="1" applyFill="1" applyBorder="1" applyAlignment="1">
      <alignment/>
    </xf>
    <xf numFmtId="213" fontId="1" fillId="0" borderId="37" xfId="42" applyNumberFormat="1" applyFont="1" applyBorder="1" applyAlignment="1">
      <alignment/>
    </xf>
    <xf numFmtId="213" fontId="4" fillId="33" borderId="35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15" fontId="1" fillId="0" borderId="20" xfId="0" applyNumberFormat="1" applyFont="1" applyBorder="1" applyAlignment="1">
      <alignment/>
    </xf>
    <xf numFmtId="215" fontId="1" fillId="0" borderId="21" xfId="0" applyNumberFormat="1" applyFont="1" applyBorder="1" applyAlignment="1">
      <alignment/>
    </xf>
    <xf numFmtId="215" fontId="4" fillId="33" borderId="0" xfId="0" applyNumberFormat="1" applyFont="1" applyFill="1" applyBorder="1" applyAlignment="1">
      <alignment/>
    </xf>
    <xf numFmtId="215" fontId="1" fillId="0" borderId="17" xfId="0" applyNumberFormat="1" applyFont="1" applyBorder="1" applyAlignment="1">
      <alignment/>
    </xf>
    <xf numFmtId="215" fontId="1" fillId="0" borderId="22" xfId="0" applyNumberFormat="1" applyFont="1" applyBorder="1" applyAlignment="1">
      <alignment/>
    </xf>
    <xf numFmtId="215" fontId="4" fillId="33" borderId="24" xfId="0" applyNumberFormat="1" applyFont="1" applyFill="1" applyBorder="1" applyAlignment="1">
      <alignment/>
    </xf>
    <xf numFmtId="215" fontId="4" fillId="33" borderId="25" xfId="0" applyNumberFormat="1" applyFont="1" applyFill="1" applyBorder="1" applyAlignment="1">
      <alignment/>
    </xf>
    <xf numFmtId="215" fontId="4" fillId="33" borderId="26" xfId="0" applyNumberFormat="1" applyFont="1" applyFill="1" applyBorder="1" applyAlignment="1">
      <alignment/>
    </xf>
    <xf numFmtId="213" fontId="1" fillId="0" borderId="20" xfId="42" applyNumberFormat="1" applyFont="1" applyFill="1" applyBorder="1" applyAlignment="1">
      <alignment/>
    </xf>
    <xf numFmtId="213" fontId="1" fillId="0" borderId="21" xfId="42" applyNumberFormat="1" applyFont="1" applyFill="1" applyBorder="1" applyAlignment="1">
      <alignment/>
    </xf>
    <xf numFmtId="215" fontId="4" fillId="33" borderId="15" xfId="0" applyNumberFormat="1" applyFont="1" applyFill="1" applyBorder="1" applyAlignment="1">
      <alignment/>
    </xf>
    <xf numFmtId="215" fontId="4" fillId="33" borderId="18" xfId="0" applyNumberFormat="1" applyFont="1" applyFill="1" applyBorder="1" applyAlignment="1">
      <alignment/>
    </xf>
    <xf numFmtId="215" fontId="4" fillId="33" borderId="23" xfId="0" applyNumberFormat="1" applyFont="1" applyFill="1" applyBorder="1" applyAlignment="1">
      <alignment/>
    </xf>
    <xf numFmtId="215" fontId="4" fillId="33" borderId="36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213" fontId="1" fillId="0" borderId="39" xfId="42" applyNumberFormat="1" applyFont="1" applyBorder="1" applyAlignment="1">
      <alignment/>
    </xf>
    <xf numFmtId="213" fontId="1" fillId="0" borderId="36" xfId="42" applyNumberFormat="1" applyFont="1" applyBorder="1" applyAlignment="1">
      <alignment/>
    </xf>
    <xf numFmtId="213" fontId="4" fillId="33" borderId="38" xfId="42" applyNumberFormat="1" applyFont="1" applyFill="1" applyBorder="1" applyAlignment="1">
      <alignment/>
    </xf>
    <xf numFmtId="215" fontId="4" fillId="33" borderId="10" xfId="0" applyNumberFormat="1" applyFont="1" applyFill="1" applyBorder="1" applyAlignment="1">
      <alignment/>
    </xf>
    <xf numFmtId="215" fontId="1" fillId="0" borderId="15" xfId="0" applyNumberFormat="1" applyFont="1" applyBorder="1" applyAlignment="1">
      <alignment/>
    </xf>
    <xf numFmtId="215" fontId="4" fillId="33" borderId="35" xfId="0" applyNumberFormat="1" applyFont="1" applyFill="1" applyBorder="1" applyAlignment="1">
      <alignment/>
    </xf>
    <xf numFmtId="213" fontId="1" fillId="0" borderId="40" xfId="42" applyNumberFormat="1" applyFont="1" applyBorder="1" applyAlignment="1">
      <alignment/>
    </xf>
    <xf numFmtId="213" fontId="1" fillId="0" borderId="41" xfId="42" applyNumberFormat="1" applyFont="1" applyBorder="1" applyAlignment="1">
      <alignment/>
    </xf>
    <xf numFmtId="213" fontId="1" fillId="0" borderId="20" xfId="42" applyNumberFormat="1" applyFont="1" applyBorder="1" applyAlignment="1">
      <alignment horizontal="center"/>
    </xf>
    <xf numFmtId="213" fontId="1" fillId="0" borderId="0" xfId="42" applyNumberFormat="1" applyFont="1" applyBorder="1" applyAlignment="1">
      <alignment horizontal="center"/>
    </xf>
    <xf numFmtId="213" fontId="4" fillId="33" borderId="11" xfId="42" applyNumberFormat="1" applyFont="1" applyFill="1" applyBorder="1" applyAlignment="1">
      <alignment horizontal="center"/>
    </xf>
    <xf numFmtId="213" fontId="4" fillId="33" borderId="15" xfId="42" applyNumberFormat="1" applyFont="1" applyFill="1" applyBorder="1" applyAlignment="1">
      <alignment horizontal="center"/>
    </xf>
    <xf numFmtId="213" fontId="4" fillId="34" borderId="42" xfId="42" applyNumberFormat="1" applyFont="1" applyFill="1" applyBorder="1" applyAlignment="1" applyProtection="1">
      <alignment vertical="center"/>
      <protection/>
    </xf>
    <xf numFmtId="21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213" fontId="1" fillId="0" borderId="20" xfId="42" applyNumberFormat="1" applyFont="1" applyBorder="1" applyAlignment="1">
      <alignment vertical="center"/>
    </xf>
    <xf numFmtId="213" fontId="1" fillId="0" borderId="0" xfId="42" applyNumberFormat="1" applyFont="1" applyBorder="1" applyAlignment="1">
      <alignment vertical="center"/>
    </xf>
    <xf numFmtId="213" fontId="4" fillId="33" borderId="11" xfId="42" applyNumberFormat="1" applyFont="1" applyFill="1" applyBorder="1" applyAlignment="1">
      <alignment vertical="center"/>
    </xf>
    <xf numFmtId="213" fontId="1" fillId="0" borderId="11" xfId="42" applyNumberFormat="1" applyFont="1" applyBorder="1" applyAlignment="1">
      <alignment vertical="center"/>
    </xf>
    <xf numFmtId="213" fontId="4" fillId="33" borderId="15" xfId="42" applyNumberFormat="1" applyFont="1" applyFill="1" applyBorder="1" applyAlignment="1">
      <alignment vertical="center"/>
    </xf>
    <xf numFmtId="213" fontId="4" fillId="33" borderId="0" xfId="42" applyNumberFormat="1" applyFont="1" applyFill="1" applyBorder="1" applyAlignment="1">
      <alignment vertical="center"/>
    </xf>
    <xf numFmtId="43" fontId="1" fillId="0" borderId="11" xfId="42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13" fontId="4" fillId="33" borderId="24" xfId="42" applyNumberFormat="1" applyFont="1" applyFill="1" applyBorder="1" applyAlignment="1">
      <alignment vertical="center"/>
    </xf>
    <xf numFmtId="213" fontId="4" fillId="33" borderId="25" xfId="42" applyNumberFormat="1" applyFont="1" applyFill="1" applyBorder="1" applyAlignment="1">
      <alignment vertical="center"/>
    </xf>
    <xf numFmtId="213" fontId="4" fillId="33" borderId="26" xfId="42" applyNumberFormat="1" applyFont="1" applyFill="1" applyBorder="1" applyAlignment="1">
      <alignment vertical="center"/>
    </xf>
    <xf numFmtId="213" fontId="4" fillId="33" borderId="23" xfId="42" applyNumberFormat="1" applyFont="1" applyFill="1" applyBorder="1" applyAlignment="1">
      <alignment vertical="center"/>
    </xf>
    <xf numFmtId="213" fontId="4" fillId="33" borderId="31" xfId="42" applyNumberFormat="1" applyFont="1" applyFill="1" applyBorder="1" applyAlignment="1">
      <alignment vertical="center"/>
    </xf>
    <xf numFmtId="213" fontId="1" fillId="0" borderId="10" xfId="42" applyNumberFormat="1" applyFont="1" applyBorder="1" applyAlignment="1">
      <alignment vertical="center"/>
    </xf>
    <xf numFmtId="213" fontId="1" fillId="0" borderId="16" xfId="42" applyNumberFormat="1" applyFont="1" applyBorder="1" applyAlignment="1">
      <alignment vertical="center"/>
    </xf>
    <xf numFmtId="213" fontId="1" fillId="0" borderId="0" xfId="0" applyNumberFormat="1" applyFont="1" applyAlignment="1">
      <alignment vertical="center"/>
    </xf>
    <xf numFmtId="43" fontId="1" fillId="0" borderId="0" xfId="42" applyFont="1" applyAlignment="1">
      <alignment/>
    </xf>
    <xf numFmtId="213" fontId="1" fillId="0" borderId="0" xfId="42" applyNumberFormat="1" applyFont="1" applyAlignment="1">
      <alignment/>
    </xf>
    <xf numFmtId="213" fontId="4" fillId="33" borderId="43" xfId="42" applyNumberFormat="1" applyFont="1" applyFill="1" applyBorder="1" applyAlignment="1">
      <alignment/>
    </xf>
    <xf numFmtId="213" fontId="4" fillId="34" borderId="44" xfId="42" applyNumberFormat="1" applyFont="1" applyFill="1" applyBorder="1" applyAlignment="1" applyProtection="1">
      <alignment vertical="center"/>
      <protection/>
    </xf>
    <xf numFmtId="213" fontId="4" fillId="34" borderId="45" xfId="42" applyNumberFormat="1" applyFont="1" applyFill="1" applyBorder="1" applyAlignment="1" applyProtection="1">
      <alignment vertical="center"/>
      <protection/>
    </xf>
    <xf numFmtId="213" fontId="4" fillId="33" borderId="46" xfId="42" applyNumberFormat="1" applyFont="1" applyFill="1" applyBorder="1" applyAlignment="1">
      <alignment/>
    </xf>
    <xf numFmtId="215" fontId="4" fillId="33" borderId="43" xfId="0" applyNumberFormat="1" applyFont="1" applyFill="1" applyBorder="1" applyAlignment="1">
      <alignment/>
    </xf>
    <xf numFmtId="213" fontId="4" fillId="34" borderId="47" xfId="42" applyNumberFormat="1" applyFont="1" applyFill="1" applyBorder="1" applyAlignment="1" applyProtection="1">
      <alignment vertical="center"/>
      <protection/>
    </xf>
    <xf numFmtId="213" fontId="1" fillId="0" borderId="31" xfId="42" applyNumberFormat="1" applyFont="1" applyBorder="1" applyAlignment="1">
      <alignment/>
    </xf>
    <xf numFmtId="213" fontId="1" fillId="0" borderId="48" xfId="42" applyNumberFormat="1" applyFont="1" applyBorder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13" fontId="1" fillId="0" borderId="49" xfId="42" applyNumberFormat="1" applyFont="1" applyBorder="1" applyAlignment="1">
      <alignment/>
    </xf>
    <xf numFmtId="213" fontId="4" fillId="33" borderId="50" xfId="42" applyNumberFormat="1" applyFont="1" applyFill="1" applyBorder="1" applyAlignment="1">
      <alignment/>
    </xf>
    <xf numFmtId="213" fontId="1" fillId="0" borderId="51" xfId="42" applyNumberFormat="1" applyFont="1" applyBorder="1" applyAlignment="1">
      <alignment/>
    </xf>
    <xf numFmtId="213" fontId="4" fillId="33" borderId="51" xfId="42" applyNumberFormat="1" applyFont="1" applyFill="1" applyBorder="1" applyAlignment="1">
      <alignment/>
    </xf>
    <xf numFmtId="213" fontId="1" fillId="0" borderId="52" xfId="42" applyNumberFormat="1" applyFont="1" applyBorder="1" applyAlignment="1">
      <alignment/>
    </xf>
    <xf numFmtId="213" fontId="1" fillId="0" borderId="50" xfId="42" applyNumberFormat="1" applyFont="1" applyBorder="1" applyAlignment="1">
      <alignment/>
    </xf>
    <xf numFmtId="213" fontId="1" fillId="0" borderId="53" xfId="42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213" fontId="4" fillId="33" borderId="54" xfId="42" applyNumberFormat="1" applyFont="1" applyFill="1" applyBorder="1" applyAlignment="1">
      <alignment/>
    </xf>
    <xf numFmtId="213" fontId="4" fillId="33" borderId="55" xfId="42" applyNumberFormat="1" applyFont="1" applyFill="1" applyBorder="1" applyAlignment="1">
      <alignment/>
    </xf>
    <xf numFmtId="215" fontId="4" fillId="33" borderId="56" xfId="0" applyNumberFormat="1" applyFont="1" applyFill="1" applyBorder="1" applyAlignment="1">
      <alignment/>
    </xf>
    <xf numFmtId="213" fontId="4" fillId="34" borderId="57" xfId="42" applyNumberFormat="1" applyFont="1" applyFill="1" applyBorder="1" applyAlignment="1" applyProtection="1">
      <alignment vertical="center"/>
      <protection/>
    </xf>
    <xf numFmtId="213" fontId="1" fillId="0" borderId="41" xfId="42" applyNumberFormat="1" applyFont="1" applyFill="1" applyBorder="1" applyAlignment="1">
      <alignment/>
    </xf>
    <xf numFmtId="213" fontId="1" fillId="0" borderId="0" xfId="42" applyNumberFormat="1" applyFont="1" applyFill="1" applyBorder="1" applyAlignment="1">
      <alignment/>
    </xf>
    <xf numFmtId="213" fontId="4" fillId="33" borderId="58" xfId="42" applyNumberFormat="1" applyFont="1" applyFill="1" applyBorder="1" applyAlignment="1">
      <alignment/>
    </xf>
    <xf numFmtId="213" fontId="1" fillId="0" borderId="59" xfId="42" applyNumberFormat="1" applyFont="1" applyBorder="1" applyAlignment="1">
      <alignment/>
    </xf>
    <xf numFmtId="213" fontId="4" fillId="34" borderId="60" xfId="42" applyNumberFormat="1" applyFont="1" applyFill="1" applyBorder="1" applyAlignment="1" applyProtection="1">
      <alignment vertical="center"/>
      <protection/>
    </xf>
    <xf numFmtId="213" fontId="1" fillId="0" borderId="15" xfId="42" applyNumberFormat="1" applyFont="1" applyFill="1" applyBorder="1" applyAlignment="1">
      <alignment/>
    </xf>
    <xf numFmtId="213" fontId="1" fillId="0" borderId="61" xfId="42" applyNumberFormat="1" applyFont="1" applyBorder="1" applyAlignment="1">
      <alignment/>
    </xf>
    <xf numFmtId="213" fontId="1" fillId="0" borderId="62" xfId="42" applyNumberFormat="1" applyFont="1" applyBorder="1" applyAlignment="1">
      <alignment/>
    </xf>
    <xf numFmtId="213" fontId="4" fillId="33" borderId="63" xfId="42" applyNumberFormat="1" applyFont="1" applyFill="1" applyBorder="1" applyAlignment="1">
      <alignment/>
    </xf>
    <xf numFmtId="213" fontId="4" fillId="33" borderId="56" xfId="42" applyNumberFormat="1" applyFont="1" applyFill="1" applyBorder="1" applyAlignment="1">
      <alignment/>
    </xf>
    <xf numFmtId="215" fontId="4" fillId="33" borderId="11" xfId="0" applyNumberFormat="1" applyFont="1" applyFill="1" applyBorder="1" applyAlignment="1">
      <alignment/>
    </xf>
    <xf numFmtId="213" fontId="1" fillId="0" borderId="12" xfId="42" applyNumberFormat="1" applyFont="1" applyBorder="1" applyAlignment="1">
      <alignment/>
    </xf>
    <xf numFmtId="213" fontId="1" fillId="0" borderId="20" xfId="0" applyNumberFormat="1" applyFont="1" applyBorder="1" applyAlignment="1">
      <alignment/>
    </xf>
    <xf numFmtId="213" fontId="4" fillId="33" borderId="11" xfId="0" applyNumberFormat="1" applyFont="1" applyFill="1" applyBorder="1" applyAlignment="1">
      <alignment/>
    </xf>
    <xf numFmtId="213" fontId="4" fillId="34" borderId="64" xfId="42" applyNumberFormat="1" applyFont="1" applyFill="1" applyBorder="1" applyAlignment="1" applyProtection="1">
      <alignment vertical="center"/>
      <protection/>
    </xf>
    <xf numFmtId="213" fontId="4" fillId="34" borderId="11" xfId="42" applyNumberFormat="1" applyFont="1" applyFill="1" applyBorder="1" applyAlignment="1" applyProtection="1">
      <alignment vertical="center"/>
      <protection/>
    </xf>
    <xf numFmtId="213" fontId="1" fillId="0" borderId="18" xfId="42" applyNumberFormat="1" applyFont="1" applyBorder="1" applyAlignment="1">
      <alignment/>
    </xf>
    <xf numFmtId="213" fontId="1" fillId="0" borderId="19" xfId="42" applyNumberFormat="1" applyFont="1" applyBorder="1" applyAlignment="1">
      <alignment/>
    </xf>
    <xf numFmtId="213" fontId="4" fillId="34" borderId="65" xfId="42" applyNumberFormat="1" applyFont="1" applyFill="1" applyBorder="1" applyAlignment="1" applyProtection="1">
      <alignment vertical="center"/>
      <protection/>
    </xf>
    <xf numFmtId="213" fontId="4" fillId="34" borderId="66" xfId="42" applyNumberFormat="1" applyFont="1" applyFill="1" applyBorder="1" applyAlignment="1" applyProtection="1">
      <alignment vertical="center"/>
      <protection/>
    </xf>
    <xf numFmtId="213" fontId="4" fillId="34" borderId="0" xfId="42" applyNumberFormat="1" applyFont="1" applyFill="1" applyBorder="1" applyAlignment="1" applyProtection="1">
      <alignment vertical="center"/>
      <protection/>
    </xf>
    <xf numFmtId="215" fontId="1" fillId="0" borderId="12" xfId="0" applyNumberFormat="1" applyFont="1" applyBorder="1" applyAlignment="1">
      <alignment/>
    </xf>
    <xf numFmtId="213" fontId="1" fillId="35" borderId="20" xfId="42" applyNumberFormat="1" applyFont="1" applyFill="1" applyBorder="1" applyAlignment="1">
      <alignment/>
    </xf>
    <xf numFmtId="213" fontId="1" fillId="35" borderId="15" xfId="42" applyNumberFormat="1" applyFont="1" applyFill="1" applyBorder="1" applyAlignment="1">
      <alignment/>
    </xf>
    <xf numFmtId="213" fontId="4" fillId="34" borderId="67" xfId="42" applyNumberFormat="1" applyFont="1" applyFill="1" applyBorder="1" applyAlignment="1" applyProtection="1">
      <alignment vertical="center"/>
      <protection/>
    </xf>
    <xf numFmtId="213" fontId="4" fillId="33" borderId="68" xfId="42" applyNumberFormat="1" applyFont="1" applyFill="1" applyBorder="1" applyAlignment="1">
      <alignment/>
    </xf>
    <xf numFmtId="213" fontId="4" fillId="33" borderId="69" xfId="42" applyNumberFormat="1" applyFont="1" applyFill="1" applyBorder="1" applyAlignment="1">
      <alignment/>
    </xf>
    <xf numFmtId="213" fontId="4" fillId="33" borderId="44" xfId="42" applyNumberFormat="1" applyFont="1" applyFill="1" applyBorder="1" applyAlignment="1">
      <alignment/>
    </xf>
    <xf numFmtId="213" fontId="4" fillId="33" borderId="27" xfId="42" applyNumberFormat="1" applyFont="1" applyFill="1" applyBorder="1" applyAlignment="1">
      <alignment/>
    </xf>
    <xf numFmtId="213" fontId="4" fillId="33" borderId="70" xfId="42" applyNumberFormat="1" applyFont="1" applyFill="1" applyBorder="1" applyAlignment="1">
      <alignment/>
    </xf>
    <xf numFmtId="213" fontId="1" fillId="0" borderId="71" xfId="42" applyNumberFormat="1" applyFont="1" applyBorder="1" applyAlignment="1">
      <alignment/>
    </xf>
    <xf numFmtId="213" fontId="4" fillId="33" borderId="17" xfId="42" applyNumberFormat="1" applyFont="1" applyFill="1" applyBorder="1" applyAlignment="1">
      <alignment/>
    </xf>
    <xf numFmtId="213" fontId="1" fillId="0" borderId="72" xfId="42" applyNumberFormat="1" applyFont="1" applyBorder="1" applyAlignment="1">
      <alignment/>
    </xf>
    <xf numFmtId="213" fontId="4" fillId="33" borderId="73" xfId="42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213" fontId="1" fillId="0" borderId="74" xfId="42" applyNumberFormat="1" applyFont="1" applyBorder="1" applyAlignment="1">
      <alignment/>
    </xf>
    <xf numFmtId="213" fontId="1" fillId="0" borderId="75" xfId="42" applyNumberFormat="1" applyFont="1" applyBorder="1" applyAlignment="1">
      <alignment/>
    </xf>
    <xf numFmtId="43" fontId="1" fillId="35" borderId="11" xfId="42" applyFont="1" applyFill="1" applyBorder="1" applyAlignment="1">
      <alignment/>
    </xf>
    <xf numFmtId="43" fontId="1" fillId="35" borderId="10" xfId="42" applyFont="1" applyFill="1" applyBorder="1" applyAlignment="1">
      <alignment/>
    </xf>
    <xf numFmtId="215" fontId="1" fillId="0" borderId="20" xfId="0" applyNumberFormat="1" applyFont="1" applyFill="1" applyBorder="1" applyAlignment="1">
      <alignment/>
    </xf>
    <xf numFmtId="215" fontId="1" fillId="0" borderId="21" xfId="0" applyNumberFormat="1" applyFont="1" applyFill="1" applyBorder="1" applyAlignment="1">
      <alignment/>
    </xf>
    <xf numFmtId="215" fontId="4" fillId="33" borderId="32" xfId="0" applyNumberFormat="1" applyFont="1" applyFill="1" applyBorder="1" applyAlignment="1">
      <alignment/>
    </xf>
    <xf numFmtId="213" fontId="8" fillId="0" borderId="0" xfId="42" applyNumberFormat="1" applyFont="1" applyBorder="1" applyAlignment="1">
      <alignment/>
    </xf>
    <xf numFmtId="213" fontId="8" fillId="0" borderId="20" xfId="42" applyNumberFormat="1" applyFont="1" applyBorder="1" applyAlignment="1">
      <alignment/>
    </xf>
    <xf numFmtId="213" fontId="9" fillId="33" borderId="31" xfId="42" applyNumberFormat="1" applyFont="1" applyFill="1" applyBorder="1" applyAlignment="1">
      <alignment/>
    </xf>
    <xf numFmtId="43" fontId="4" fillId="33" borderId="24" xfId="42" applyFont="1" applyFill="1" applyBorder="1" applyAlignment="1">
      <alignment/>
    </xf>
    <xf numFmtId="43" fontId="4" fillId="34" borderId="30" xfId="42" applyFont="1" applyFill="1" applyBorder="1" applyAlignment="1" applyProtection="1">
      <alignment vertical="center"/>
      <protection/>
    </xf>
    <xf numFmtId="213" fontId="1" fillId="0" borderId="76" xfId="42" applyNumberFormat="1" applyFont="1" applyBorder="1" applyAlignment="1">
      <alignment/>
    </xf>
    <xf numFmtId="213" fontId="5" fillId="0" borderId="20" xfId="42" applyNumberFormat="1" applyFont="1" applyBorder="1" applyAlignment="1">
      <alignment horizontal="center"/>
    </xf>
    <xf numFmtId="213" fontId="5" fillId="0" borderId="0" xfId="42" applyNumberFormat="1" applyFont="1" applyBorder="1" applyAlignment="1">
      <alignment horizontal="center"/>
    </xf>
    <xf numFmtId="213" fontId="6" fillId="33" borderId="11" xfId="42" applyNumberFormat="1" applyFont="1" applyFill="1" applyBorder="1" applyAlignment="1">
      <alignment horizontal="center"/>
    </xf>
    <xf numFmtId="213" fontId="5" fillId="0" borderId="11" xfId="42" applyNumberFormat="1" applyFont="1" applyBorder="1" applyAlignment="1">
      <alignment horizontal="center"/>
    </xf>
    <xf numFmtId="213" fontId="6" fillId="33" borderId="15" xfId="42" applyNumberFormat="1" applyFont="1" applyFill="1" applyBorder="1" applyAlignment="1">
      <alignment horizontal="center"/>
    </xf>
    <xf numFmtId="213" fontId="6" fillId="33" borderId="0" xfId="42" applyNumberFormat="1" applyFont="1" applyFill="1" applyBorder="1" applyAlignment="1">
      <alignment horizontal="center"/>
    </xf>
    <xf numFmtId="43" fontId="1" fillId="0" borderId="20" xfId="42" applyFont="1" applyBorder="1" applyAlignment="1">
      <alignment/>
    </xf>
    <xf numFmtId="43" fontId="1" fillId="0" borderId="0" xfId="42" applyFont="1" applyBorder="1" applyAlignment="1">
      <alignment/>
    </xf>
    <xf numFmtId="43" fontId="4" fillId="33" borderId="11" xfId="42" applyFont="1" applyFill="1" applyBorder="1" applyAlignment="1">
      <alignment/>
    </xf>
    <xf numFmtId="43" fontId="4" fillId="33" borderId="15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4" fillId="33" borderId="25" xfId="42" applyFont="1" applyFill="1" applyBorder="1" applyAlignment="1">
      <alignment/>
    </xf>
    <xf numFmtId="43" fontId="4" fillId="33" borderId="26" xfId="42" applyFont="1" applyFill="1" applyBorder="1" applyAlignment="1">
      <alignment/>
    </xf>
    <xf numFmtId="43" fontId="4" fillId="33" borderId="31" xfId="42" applyFont="1" applyFill="1" applyBorder="1" applyAlignment="1">
      <alignment/>
    </xf>
    <xf numFmtId="43" fontId="1" fillId="0" borderId="10" xfId="42" applyFont="1" applyBorder="1" applyAlignment="1">
      <alignment/>
    </xf>
    <xf numFmtId="0" fontId="5" fillId="0" borderId="77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13" fontId="4" fillId="33" borderId="20" xfId="42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213" fontId="1" fillId="0" borderId="13" xfId="42" applyNumberFormat="1" applyFont="1" applyBorder="1" applyAlignment="1">
      <alignment/>
    </xf>
    <xf numFmtId="213" fontId="1" fillId="0" borderId="78" xfId="42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213" fontId="1" fillId="0" borderId="0" xfId="0" applyNumberFormat="1" applyFont="1" applyAlignment="1">
      <alignment horizontal="right"/>
    </xf>
    <xf numFmtId="213" fontId="1" fillId="0" borderId="79" xfId="42" applyNumberFormat="1" applyFont="1" applyBorder="1" applyAlignment="1">
      <alignment/>
    </xf>
    <xf numFmtId="213" fontId="4" fillId="33" borderId="80" xfId="42" applyNumberFormat="1" applyFont="1" applyFill="1" applyBorder="1" applyAlignment="1">
      <alignment/>
    </xf>
    <xf numFmtId="213" fontId="4" fillId="34" borderId="68" xfId="42" applyNumberFormat="1" applyFont="1" applyFill="1" applyBorder="1" applyAlignment="1" applyProtection="1">
      <alignment vertical="center"/>
      <protection/>
    </xf>
    <xf numFmtId="213" fontId="4" fillId="33" borderId="28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213" fontId="4" fillId="34" borderId="15" xfId="42" applyNumberFormat="1" applyFont="1" applyFill="1" applyBorder="1" applyAlignment="1" applyProtection="1">
      <alignment vertical="center"/>
      <protection/>
    </xf>
    <xf numFmtId="213" fontId="4" fillId="34" borderId="49" xfId="42" applyNumberFormat="1" applyFont="1" applyFill="1" applyBorder="1" applyAlignment="1" applyProtection="1">
      <alignment vertical="center"/>
      <protection/>
    </xf>
    <xf numFmtId="213" fontId="4" fillId="34" borderId="34" xfId="42" applyNumberFormat="1" applyFont="1" applyFill="1" applyBorder="1" applyAlignment="1" applyProtection="1">
      <alignment vertical="center"/>
      <protection/>
    </xf>
    <xf numFmtId="213" fontId="4" fillId="34" borderId="81" xfId="42" applyNumberFormat="1" applyFont="1" applyFill="1" applyBorder="1" applyAlignment="1" applyProtection="1">
      <alignment vertical="center"/>
      <protection/>
    </xf>
    <xf numFmtId="213" fontId="4" fillId="34" borderId="82" xfId="42" applyNumberFormat="1" applyFont="1" applyFill="1" applyBorder="1" applyAlignment="1" applyProtection="1">
      <alignment vertical="center"/>
      <protection/>
    </xf>
    <xf numFmtId="213" fontId="4" fillId="34" borderId="83" xfId="42" applyNumberFormat="1" applyFont="1" applyFill="1" applyBorder="1" applyAlignment="1" applyProtection="1">
      <alignment vertical="center"/>
      <protection/>
    </xf>
    <xf numFmtId="213" fontId="1" fillId="0" borderId="84" xfId="42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215" fontId="4" fillId="0" borderId="0" xfId="0" applyNumberFormat="1" applyFont="1" applyFill="1" applyBorder="1" applyAlignment="1">
      <alignment/>
    </xf>
    <xf numFmtId="213" fontId="4" fillId="0" borderId="0" xfId="42" applyNumberFormat="1" applyFont="1" applyFill="1" applyBorder="1" applyAlignment="1">
      <alignment/>
    </xf>
    <xf numFmtId="213" fontId="1" fillId="0" borderId="0" xfId="0" applyNumberFormat="1" applyFont="1" applyFill="1" applyBorder="1" applyAlignment="1">
      <alignment/>
    </xf>
    <xf numFmtId="43" fontId="1" fillId="0" borderId="72" xfId="42" applyFont="1" applyBorder="1" applyAlignment="1">
      <alignment/>
    </xf>
    <xf numFmtId="213" fontId="1" fillId="0" borderId="34" xfId="42" applyNumberFormat="1" applyFont="1" applyBorder="1" applyAlignment="1">
      <alignment/>
    </xf>
    <xf numFmtId="213" fontId="4" fillId="33" borderId="23" xfId="42" applyNumberFormat="1" applyFont="1" applyFill="1" applyBorder="1" applyAlignment="1">
      <alignment/>
    </xf>
    <xf numFmtId="43" fontId="1" fillId="0" borderId="14" xfId="42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0" xfId="42" applyFont="1" applyAlignment="1">
      <alignment horizontal="right"/>
    </xf>
    <xf numFmtId="43" fontId="1" fillId="35" borderId="0" xfId="42" applyFont="1" applyFill="1" applyAlignment="1">
      <alignment/>
    </xf>
    <xf numFmtId="43" fontId="1" fillId="0" borderId="15" xfId="42" applyFont="1" applyBorder="1" applyAlignment="1">
      <alignment/>
    </xf>
    <xf numFmtId="43" fontId="2" fillId="0" borderId="0" xfId="42" applyFont="1" applyAlignment="1">
      <alignment horizontal="center"/>
    </xf>
    <xf numFmtId="43" fontId="4" fillId="33" borderId="23" xfId="42" applyFont="1" applyFill="1" applyBorder="1" applyAlignment="1">
      <alignment vertical="center"/>
    </xf>
    <xf numFmtId="43" fontId="1" fillId="0" borderId="0" xfId="42" applyFont="1" applyFill="1" applyBorder="1" applyAlignment="1">
      <alignment/>
    </xf>
    <xf numFmtId="43" fontId="0" fillId="0" borderId="0" xfId="42" applyFont="1" applyFill="1" applyBorder="1" applyAlignment="1">
      <alignment vertical="center"/>
    </xf>
    <xf numFmtId="43" fontId="0" fillId="0" borderId="0" xfId="42" applyFont="1" applyFill="1" applyBorder="1" applyAlignment="1">
      <alignment/>
    </xf>
    <xf numFmtId="43" fontId="0" fillId="0" borderId="0" xfId="42" applyFont="1" applyAlignment="1">
      <alignment/>
    </xf>
    <xf numFmtId="213" fontId="4" fillId="33" borderId="85" xfId="42" applyNumberFormat="1" applyFont="1" applyFill="1" applyBorder="1" applyAlignment="1">
      <alignment/>
    </xf>
    <xf numFmtId="213" fontId="4" fillId="33" borderId="86" xfId="42" applyNumberFormat="1" applyFont="1" applyFill="1" applyBorder="1" applyAlignment="1">
      <alignment/>
    </xf>
    <xf numFmtId="2" fontId="1" fillId="0" borderId="11" xfId="42" applyNumberFormat="1" applyFont="1" applyBorder="1" applyAlignment="1">
      <alignment vertical="top"/>
    </xf>
    <xf numFmtId="2" fontId="4" fillId="33" borderId="23" xfId="42" applyNumberFormat="1" applyFont="1" applyFill="1" applyBorder="1" applyAlignment="1">
      <alignment vertical="top"/>
    </xf>
    <xf numFmtId="2" fontId="4" fillId="34" borderId="27" xfId="42" applyNumberFormat="1" applyFont="1" applyFill="1" applyBorder="1" applyAlignment="1" applyProtection="1">
      <alignment vertical="top"/>
      <protection/>
    </xf>
    <xf numFmtId="227" fontId="1" fillId="0" borderId="11" xfId="42" applyNumberFormat="1" applyFont="1" applyBorder="1" applyAlignment="1">
      <alignment/>
    </xf>
    <xf numFmtId="227" fontId="4" fillId="33" borderId="23" xfId="42" applyNumberFormat="1" applyFont="1" applyFill="1" applyBorder="1" applyAlignment="1">
      <alignment/>
    </xf>
    <xf numFmtId="227" fontId="4" fillId="34" borderId="27" xfId="42" applyNumberFormat="1" applyFont="1" applyFill="1" applyBorder="1" applyAlignment="1" applyProtection="1">
      <alignment vertical="center"/>
      <protection/>
    </xf>
    <xf numFmtId="227" fontId="4" fillId="33" borderId="10" xfId="42" applyNumberFormat="1" applyFont="1" applyFill="1" applyBorder="1" applyAlignment="1">
      <alignment/>
    </xf>
    <xf numFmtId="227" fontId="4" fillId="33" borderId="16" xfId="42" applyNumberFormat="1" applyFont="1" applyFill="1" applyBorder="1" applyAlignment="1">
      <alignment/>
    </xf>
    <xf numFmtId="227" fontId="4" fillId="33" borderId="11" xfId="42" applyNumberFormat="1" applyFont="1" applyFill="1" applyBorder="1" applyAlignment="1">
      <alignment/>
    </xf>
    <xf numFmtId="227" fontId="4" fillId="34" borderId="30" xfId="42" applyNumberFormat="1" applyFont="1" applyFill="1" applyBorder="1" applyAlignment="1" applyProtection="1">
      <alignment vertical="center"/>
      <protection/>
    </xf>
    <xf numFmtId="227" fontId="1" fillId="0" borderId="16" xfId="42" applyNumberFormat="1" applyFont="1" applyBorder="1" applyAlignment="1">
      <alignment/>
    </xf>
    <xf numFmtId="227" fontId="1" fillId="0" borderId="11" xfId="42" applyNumberFormat="1" applyFont="1" applyFill="1" applyBorder="1" applyAlignment="1">
      <alignment/>
    </xf>
    <xf numFmtId="227" fontId="1" fillId="35" borderId="11" xfId="42" applyNumberFormat="1" applyFont="1" applyFill="1" applyBorder="1" applyAlignment="1">
      <alignment/>
    </xf>
    <xf numFmtId="227" fontId="1" fillId="35" borderId="16" xfId="42" applyNumberFormat="1" applyFont="1" applyFill="1" applyBorder="1" applyAlignment="1">
      <alignment/>
    </xf>
    <xf numFmtId="227" fontId="1" fillId="35" borderId="87" xfId="42" applyNumberFormat="1" applyFont="1" applyFill="1" applyBorder="1" applyAlignment="1">
      <alignment/>
    </xf>
    <xf numFmtId="227" fontId="1" fillId="35" borderId="85" xfId="42" applyNumberFormat="1" applyFont="1" applyFill="1" applyBorder="1" applyAlignment="1">
      <alignment/>
    </xf>
    <xf numFmtId="227" fontId="1" fillId="0" borderId="85" xfId="42" applyNumberFormat="1" applyFont="1" applyBorder="1" applyAlignment="1">
      <alignment/>
    </xf>
    <xf numFmtId="227" fontId="1" fillId="0" borderId="87" xfId="42" applyNumberFormat="1" applyFont="1" applyBorder="1" applyAlignment="1">
      <alignment/>
    </xf>
    <xf numFmtId="227" fontId="1" fillId="0" borderId="88" xfId="42" applyNumberFormat="1" applyFont="1" applyBorder="1" applyAlignment="1">
      <alignment/>
    </xf>
    <xf numFmtId="227" fontId="4" fillId="33" borderId="88" xfId="42" applyNumberFormat="1" applyFont="1" applyFill="1" applyBorder="1" applyAlignment="1">
      <alignment/>
    </xf>
    <xf numFmtId="227" fontId="1" fillId="35" borderId="10" xfId="42" applyNumberFormat="1" applyFont="1" applyFill="1" applyBorder="1" applyAlignment="1">
      <alignment/>
    </xf>
    <xf numFmtId="227" fontId="1" fillId="36" borderId="73" xfId="42" applyNumberFormat="1" applyFont="1" applyFill="1" applyBorder="1" applyAlignment="1" applyProtection="1">
      <alignment vertical="center"/>
      <protection/>
    </xf>
    <xf numFmtId="227" fontId="1" fillId="0" borderId="15" xfId="42" applyNumberFormat="1" applyFont="1" applyBorder="1" applyAlignment="1">
      <alignment/>
    </xf>
    <xf numFmtId="227" fontId="4" fillId="0" borderId="0" xfId="42" applyNumberFormat="1" applyFont="1" applyFill="1" applyBorder="1" applyAlignment="1">
      <alignment/>
    </xf>
    <xf numFmtId="2" fontId="4" fillId="0" borderId="0" xfId="42" applyNumberFormat="1" applyFont="1" applyFill="1" applyBorder="1" applyAlignment="1">
      <alignment vertical="top"/>
    </xf>
    <xf numFmtId="213" fontId="4" fillId="34" borderId="89" xfId="42" applyNumberFormat="1" applyFont="1" applyFill="1" applyBorder="1" applyAlignment="1" applyProtection="1">
      <alignment vertical="center"/>
      <protection/>
    </xf>
    <xf numFmtId="227" fontId="1" fillId="0" borderId="10" xfId="42" applyNumberFormat="1" applyFont="1" applyBorder="1" applyAlignment="1">
      <alignment/>
    </xf>
    <xf numFmtId="213" fontId="1" fillId="0" borderId="90" xfId="42" applyNumberFormat="1" applyFont="1" applyBorder="1" applyAlignment="1">
      <alignment/>
    </xf>
    <xf numFmtId="213" fontId="1" fillId="0" borderId="91" xfId="42" applyNumberFormat="1" applyFont="1" applyBorder="1" applyAlignment="1">
      <alignment/>
    </xf>
    <xf numFmtId="43" fontId="1" fillId="0" borderId="0" xfId="42" applyFont="1" applyFill="1" applyBorder="1" applyAlignment="1">
      <alignment vertical="center"/>
    </xf>
    <xf numFmtId="43" fontId="1" fillId="0" borderId="11" xfId="42" applyFont="1" applyBorder="1" applyAlignment="1">
      <alignment horizontal="center"/>
    </xf>
    <xf numFmtId="43" fontId="4" fillId="33" borderId="23" xfId="42" applyFont="1" applyFill="1" applyBorder="1" applyAlignment="1">
      <alignment horizontal="center"/>
    </xf>
    <xf numFmtId="213" fontId="1" fillId="0" borderId="11" xfId="42" applyNumberFormat="1" applyFont="1" applyBorder="1" applyAlignment="1">
      <alignment horizontal="right"/>
    </xf>
    <xf numFmtId="43" fontId="1" fillId="35" borderId="87" xfId="42" applyFont="1" applyFill="1" applyBorder="1" applyAlignment="1">
      <alignment/>
    </xf>
    <xf numFmtId="43" fontId="1" fillId="35" borderId="85" xfId="42" applyFont="1" applyFill="1" applyBorder="1" applyAlignment="1">
      <alignment/>
    </xf>
    <xf numFmtId="213" fontId="1" fillId="37" borderId="75" xfId="42" applyNumberFormat="1" applyFont="1" applyFill="1" applyBorder="1" applyAlignment="1" applyProtection="1">
      <alignment vertical="center"/>
      <protection/>
    </xf>
    <xf numFmtId="213" fontId="1" fillId="37" borderId="63" xfId="42" applyNumberFormat="1" applyFont="1" applyFill="1" applyBorder="1" applyAlignment="1" applyProtection="1">
      <alignment vertical="center"/>
      <protection/>
    </xf>
    <xf numFmtId="43" fontId="1" fillId="0" borderId="85" xfId="42" applyFont="1" applyBorder="1" applyAlignment="1">
      <alignment/>
    </xf>
    <xf numFmtId="227" fontId="1" fillId="0" borderId="0" xfId="42" applyNumberFormat="1" applyFont="1" applyAlignment="1">
      <alignment/>
    </xf>
    <xf numFmtId="227" fontId="1" fillId="0" borderId="14" xfId="42" applyNumberFormat="1" applyFont="1" applyBorder="1" applyAlignment="1">
      <alignment horizontal="center"/>
    </xf>
    <xf numFmtId="227" fontId="1" fillId="0" borderId="15" xfId="42" applyNumberFormat="1" applyFont="1" applyBorder="1" applyAlignment="1">
      <alignment horizontal="center"/>
    </xf>
    <xf numFmtId="227" fontId="1" fillId="0" borderId="18" xfId="42" applyNumberFormat="1" applyFont="1" applyBorder="1" applyAlignment="1">
      <alignment/>
    </xf>
    <xf numFmtId="227" fontId="1" fillId="0" borderId="0" xfId="42" applyNumberFormat="1" applyFont="1" applyFill="1" applyBorder="1" applyAlignment="1">
      <alignment/>
    </xf>
    <xf numFmtId="227" fontId="1" fillId="0" borderId="0" xfId="42" applyNumberFormat="1" applyFont="1" applyAlignment="1">
      <alignment horizontal="right"/>
    </xf>
    <xf numFmtId="227" fontId="1" fillId="35" borderId="0" xfId="42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215" fontId="1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4" fillId="33" borderId="88" xfId="42" applyFont="1" applyFill="1" applyBorder="1" applyAlignment="1">
      <alignment/>
    </xf>
    <xf numFmtId="227" fontId="1" fillId="0" borderId="11" xfId="42" applyNumberFormat="1" applyFont="1" applyBorder="1" applyAlignment="1">
      <alignment/>
    </xf>
    <xf numFmtId="43" fontId="1" fillId="0" borderId="0" xfId="42" applyFont="1" applyAlignment="1">
      <alignment vertical="center"/>
    </xf>
    <xf numFmtId="43" fontId="1" fillId="0" borderId="0" xfId="42" applyNumberFormat="1" applyFont="1" applyAlignment="1">
      <alignment/>
    </xf>
    <xf numFmtId="43" fontId="1" fillId="0" borderId="0" xfId="42" applyNumberFormat="1" applyFont="1" applyAlignment="1">
      <alignment vertical="center"/>
    </xf>
    <xf numFmtId="227" fontId="4" fillId="0" borderId="0" xfId="42" applyNumberFormat="1" applyFont="1" applyFill="1" applyBorder="1" applyAlignment="1" applyProtection="1">
      <alignment vertical="center"/>
      <protection/>
    </xf>
    <xf numFmtId="213" fontId="1" fillId="0" borderId="0" xfId="0" applyNumberFormat="1" applyFont="1" applyFill="1" applyAlignment="1">
      <alignment/>
    </xf>
    <xf numFmtId="227" fontId="1" fillId="38" borderId="10" xfId="42" applyNumberFormat="1" applyFont="1" applyFill="1" applyBorder="1" applyAlignment="1">
      <alignment/>
    </xf>
    <xf numFmtId="227" fontId="1" fillId="38" borderId="11" xfId="42" applyNumberFormat="1" applyFont="1" applyFill="1" applyBorder="1" applyAlignment="1">
      <alignment/>
    </xf>
    <xf numFmtId="215" fontId="4" fillId="33" borderId="16" xfId="0" applyNumberFormat="1" applyFont="1" applyFill="1" applyBorder="1" applyAlignment="1">
      <alignment/>
    </xf>
    <xf numFmtId="43" fontId="1" fillId="0" borderId="11" xfId="42" applyNumberFormat="1" applyFont="1" applyBorder="1" applyAlignment="1">
      <alignment/>
    </xf>
    <xf numFmtId="215" fontId="4" fillId="33" borderId="31" xfId="0" applyNumberFormat="1" applyFont="1" applyFill="1" applyBorder="1" applyAlignment="1">
      <alignment/>
    </xf>
    <xf numFmtId="213" fontId="4" fillId="34" borderId="92" xfId="42" applyNumberFormat="1" applyFont="1" applyFill="1" applyBorder="1" applyAlignment="1" applyProtection="1">
      <alignment vertical="center"/>
      <protection/>
    </xf>
    <xf numFmtId="213" fontId="1" fillId="0" borderId="93" xfId="42" applyNumberFormat="1" applyFont="1" applyBorder="1" applyAlignment="1">
      <alignment/>
    </xf>
    <xf numFmtId="213" fontId="1" fillId="0" borderId="94" xfId="42" applyNumberFormat="1" applyFont="1" applyBorder="1" applyAlignment="1">
      <alignment/>
    </xf>
    <xf numFmtId="213" fontId="4" fillId="33" borderId="66" xfId="42" applyNumberFormat="1" applyFont="1" applyFill="1" applyBorder="1" applyAlignment="1">
      <alignment/>
    </xf>
    <xf numFmtId="213" fontId="4" fillId="33" borderId="95" xfId="42" applyNumberFormat="1" applyFont="1" applyFill="1" applyBorder="1" applyAlignment="1">
      <alignment/>
    </xf>
    <xf numFmtId="213" fontId="4" fillId="33" borderId="93" xfId="42" applyNumberFormat="1" applyFont="1" applyFill="1" applyBorder="1" applyAlignment="1">
      <alignment/>
    </xf>
    <xf numFmtId="227" fontId="4" fillId="34" borderId="92" xfId="42" applyNumberFormat="1" applyFont="1" applyFill="1" applyBorder="1" applyAlignment="1" applyProtection="1">
      <alignment vertical="center"/>
      <protection/>
    </xf>
    <xf numFmtId="213" fontId="8" fillId="0" borderId="31" xfId="42" applyNumberFormat="1" applyFont="1" applyBorder="1" applyAlignment="1">
      <alignment/>
    </xf>
    <xf numFmtId="213" fontId="8" fillId="0" borderId="93" xfId="42" applyNumberFormat="1" applyFont="1" applyBorder="1" applyAlignment="1">
      <alignment/>
    </xf>
    <xf numFmtId="43" fontId="4" fillId="33" borderId="32" xfId="42" applyFont="1" applyFill="1" applyBorder="1" applyAlignment="1">
      <alignment/>
    </xf>
    <xf numFmtId="213" fontId="9" fillId="33" borderId="11" xfId="42" applyNumberFormat="1" applyFont="1" applyFill="1" applyBorder="1" applyAlignment="1">
      <alignment/>
    </xf>
    <xf numFmtId="13" fontId="1" fillId="0" borderId="0" xfId="42" applyNumberFormat="1" applyFont="1" applyAlignment="1">
      <alignment/>
    </xf>
    <xf numFmtId="213" fontId="4" fillId="33" borderId="96" xfId="42" applyNumberFormat="1" applyFont="1" applyFill="1" applyBorder="1" applyAlignment="1">
      <alignment/>
    </xf>
    <xf numFmtId="227" fontId="1" fillId="36" borderId="73" xfId="42" applyNumberFormat="1" applyFont="1" applyFill="1" applyBorder="1" applyAlignment="1" applyProtection="1">
      <alignment vertical="center"/>
      <protection/>
    </xf>
    <xf numFmtId="213" fontId="4" fillId="33" borderId="19" xfId="42" applyNumberFormat="1" applyFont="1" applyFill="1" applyBorder="1" applyAlignment="1">
      <alignment/>
    </xf>
    <xf numFmtId="43" fontId="1" fillId="0" borderId="22" xfId="42" applyFont="1" applyBorder="1" applyAlignment="1">
      <alignment/>
    </xf>
    <xf numFmtId="43" fontId="1" fillId="0" borderId="21" xfId="42" applyFont="1" applyBorder="1" applyAlignment="1">
      <alignment/>
    </xf>
    <xf numFmtId="0" fontId="1" fillId="0" borderId="33" xfId="0" applyFont="1" applyBorder="1" applyAlignment="1">
      <alignment/>
    </xf>
    <xf numFmtId="0" fontId="5" fillId="0" borderId="93" xfId="0" applyFont="1" applyBorder="1" applyAlignment="1">
      <alignment horizontal="center"/>
    </xf>
    <xf numFmtId="213" fontId="1" fillId="0" borderId="33" xfId="42" applyNumberFormat="1" applyFont="1" applyBorder="1" applyAlignment="1">
      <alignment/>
    </xf>
    <xf numFmtId="213" fontId="4" fillId="33" borderId="74" xfId="42" applyNumberFormat="1" applyFont="1" applyFill="1" applyBorder="1" applyAlignment="1">
      <alignment/>
    </xf>
    <xf numFmtId="43" fontId="1" fillId="0" borderId="11" xfId="42" applyNumberFormat="1" applyFont="1" applyBorder="1" applyAlignment="1">
      <alignment/>
    </xf>
    <xf numFmtId="213" fontId="1" fillId="37" borderId="38" xfId="42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9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5"/>
  <sheetViews>
    <sheetView tabSelected="1" zoomScaleSheetLayoutView="50" zoomScalePageLayoutView="0" workbookViewId="0" topLeftCell="A1">
      <selection activeCell="J17" sqref="J17"/>
    </sheetView>
  </sheetViews>
  <sheetFormatPr defaultColWidth="9.140625" defaultRowHeight="23.25"/>
  <cols>
    <col min="1" max="1" width="9.140625" style="1" customWidth="1"/>
    <col min="2" max="2" width="13.00390625" style="0" customWidth="1"/>
    <col min="3" max="3" width="11.57421875" style="0" customWidth="1"/>
    <col min="4" max="4" width="11.421875" style="0" customWidth="1"/>
    <col min="5" max="5" width="9.8515625" style="0" customWidth="1"/>
    <col min="6" max="6" width="10.8515625" style="0" customWidth="1"/>
    <col min="7" max="7" width="11.140625" style="0" customWidth="1"/>
    <col min="8" max="8" width="11.28125" style="0" customWidth="1"/>
    <col min="9" max="9" width="10.00390625" style="250" bestFit="1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20" width="11.8515625" style="1" customWidth="1"/>
    <col min="21" max="21" width="10.421875" style="1" customWidth="1"/>
    <col min="22" max="22" width="11.8515625" style="1" customWidth="1"/>
    <col min="23" max="23" width="10.57421875" style="119" customWidth="1"/>
    <col min="24" max="24" width="9.8515625" style="119" bestFit="1" customWidth="1"/>
    <col min="25" max="25" width="9.00390625" style="1" bestFit="1" customWidth="1"/>
    <col min="26" max="26" width="9.140625" style="1" customWidth="1"/>
    <col min="27" max="27" width="9.140625" style="304" customWidth="1"/>
    <col min="28" max="16384" width="9.140625" style="1" customWidth="1"/>
  </cols>
  <sheetData>
    <row r="1" spans="2:9" ht="12.75">
      <c r="B1" s="1"/>
      <c r="C1" s="1"/>
      <c r="D1" s="1"/>
      <c r="E1" s="1"/>
      <c r="F1" s="1"/>
      <c r="G1" s="1"/>
      <c r="H1" s="1"/>
      <c r="I1" s="119"/>
    </row>
    <row r="2" spans="2:23" ht="12.75">
      <c r="B2" s="336" t="s">
        <v>0</v>
      </c>
      <c r="C2" s="336"/>
      <c r="D2" s="336"/>
      <c r="E2" s="336"/>
      <c r="F2" s="336"/>
      <c r="G2" s="336"/>
      <c r="H2" s="336"/>
      <c r="I2" s="336"/>
      <c r="L2" s="336" t="s">
        <v>1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ht="15.75">
      <c r="B3" s="337" t="s">
        <v>2</v>
      </c>
      <c r="C3" s="337"/>
      <c r="D3" s="337"/>
      <c r="E3" s="337"/>
      <c r="F3" s="337"/>
      <c r="G3" s="337"/>
      <c r="H3" s="337"/>
      <c r="I3" s="337"/>
      <c r="L3" s="337" t="s">
        <v>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spans="2:9" ht="13.5" thickBot="1">
      <c r="B4" s="1"/>
      <c r="C4" s="1"/>
      <c r="D4" s="1"/>
      <c r="E4" s="1"/>
      <c r="F4" s="1"/>
      <c r="G4" s="1"/>
      <c r="H4" s="1"/>
      <c r="I4" s="119"/>
    </row>
    <row r="5" spans="2:23" ht="17.25" thickBot="1" thickTop="1">
      <c r="B5" s="3"/>
      <c r="C5" s="341" t="s">
        <v>67</v>
      </c>
      <c r="D5" s="342"/>
      <c r="E5" s="343"/>
      <c r="F5" s="344" t="s">
        <v>68</v>
      </c>
      <c r="G5" s="345"/>
      <c r="H5" s="346"/>
      <c r="I5" s="239" t="s">
        <v>4</v>
      </c>
      <c r="L5" s="3"/>
      <c r="M5" s="347" t="s">
        <v>67</v>
      </c>
      <c r="N5" s="348"/>
      <c r="O5" s="348"/>
      <c r="P5" s="348"/>
      <c r="Q5" s="349"/>
      <c r="R5" s="338" t="s">
        <v>68</v>
      </c>
      <c r="S5" s="339"/>
      <c r="T5" s="339"/>
      <c r="U5" s="339"/>
      <c r="V5" s="340"/>
      <c r="W5" s="23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0" t="s">
        <v>6</v>
      </c>
    </row>
    <row r="7" spans="2:23" ht="13.5" thickBot="1">
      <c r="B7" s="12"/>
      <c r="C7" s="13" t="s">
        <v>7</v>
      </c>
      <c r="D7" s="230" t="s">
        <v>8</v>
      </c>
      <c r="E7" s="14" t="s">
        <v>9</v>
      </c>
      <c r="F7" s="13" t="s">
        <v>7</v>
      </c>
      <c r="G7" s="230" t="s">
        <v>8</v>
      </c>
      <c r="H7" s="14" t="s">
        <v>9</v>
      </c>
      <c r="I7" s="24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1"/>
    </row>
    <row r="8" spans="2:23" ht="6" customHeight="1" thickTop="1">
      <c r="B8" s="4"/>
      <c r="C8" s="20"/>
      <c r="D8" s="21"/>
      <c r="E8" s="22"/>
      <c r="F8" s="20"/>
      <c r="G8" s="21"/>
      <c r="H8" s="22"/>
      <c r="I8" s="244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07"/>
    </row>
    <row r="9" spans="2:23" ht="12.75">
      <c r="B9" s="4" t="s">
        <v>14</v>
      </c>
      <c r="C9" s="29">
        <v>8252</v>
      </c>
      <c r="D9" s="30">
        <v>8291</v>
      </c>
      <c r="E9" s="31">
        <f>C9+D9</f>
        <v>16543</v>
      </c>
      <c r="F9" s="29">
        <v>9510</v>
      </c>
      <c r="G9" s="30">
        <v>9508</v>
      </c>
      <c r="H9" s="31">
        <f>+F9+G9</f>
        <v>19018</v>
      </c>
      <c r="I9" s="256">
        <f aca="true" t="shared" si="0" ref="I9:I17">IF(E9=0,0,((H9/E9)-1)*100)</f>
        <v>14.961010699389465</v>
      </c>
      <c r="L9" s="4" t="s">
        <v>14</v>
      </c>
      <c r="M9" s="29">
        <v>1395423</v>
      </c>
      <c r="N9" s="36">
        <v>1351581</v>
      </c>
      <c r="O9" s="33">
        <f>M9+N9</f>
        <v>2747004</v>
      </c>
      <c r="P9" s="34">
        <v>148102</v>
      </c>
      <c r="Q9" s="35">
        <f>O9+P9</f>
        <v>2895106</v>
      </c>
      <c r="R9" s="29">
        <v>1412258</v>
      </c>
      <c r="S9" s="36">
        <v>1439679</v>
      </c>
      <c r="T9" s="33">
        <f>R9+S9</f>
        <v>2851937</v>
      </c>
      <c r="U9" s="34">
        <v>146871</v>
      </c>
      <c r="V9" s="31">
        <f>T9+U9</f>
        <v>2998808</v>
      </c>
      <c r="W9" s="256">
        <f aca="true" t="shared" si="1" ref="W9:W26">IF(Q9=0,0,((V9/Q9)-1)*100)</f>
        <v>3.581975927651704</v>
      </c>
    </row>
    <row r="10" spans="2:23" ht="12.75">
      <c r="B10" s="4" t="s">
        <v>15</v>
      </c>
      <c r="C10" s="29">
        <v>8447</v>
      </c>
      <c r="D10" s="30">
        <v>8516</v>
      </c>
      <c r="E10" s="31">
        <f>C10+D10</f>
        <v>16963</v>
      </c>
      <c r="F10" s="29">
        <v>8540</v>
      </c>
      <c r="G10" s="30">
        <v>8598</v>
      </c>
      <c r="H10" s="31">
        <f>+F10+G10</f>
        <v>17138</v>
      </c>
      <c r="I10" s="256">
        <f t="shared" si="0"/>
        <v>1.0316571361197902</v>
      </c>
      <c r="L10" s="4" t="s">
        <v>15</v>
      </c>
      <c r="M10" s="29">
        <v>1470471</v>
      </c>
      <c r="N10" s="36">
        <v>1383280</v>
      </c>
      <c r="O10" s="33">
        <f>M10+N10</f>
        <v>2853751</v>
      </c>
      <c r="P10" s="34">
        <v>127444</v>
      </c>
      <c r="Q10" s="35">
        <f>O10+P10</f>
        <v>2981195</v>
      </c>
      <c r="R10" s="29">
        <v>1134099</v>
      </c>
      <c r="S10" s="36">
        <v>1056330</v>
      </c>
      <c r="T10" s="33">
        <f>R10+S10</f>
        <v>2190429</v>
      </c>
      <c r="U10" s="34">
        <v>119785</v>
      </c>
      <c r="V10" s="31">
        <f>T10+U10</f>
        <v>2310214</v>
      </c>
      <c r="W10" s="256">
        <f t="shared" si="1"/>
        <v>-22.50711543525331</v>
      </c>
    </row>
    <row r="11" spans="2:23" ht="13.5" thickBot="1">
      <c r="B11" s="12" t="s">
        <v>16</v>
      </c>
      <c r="C11" s="37">
        <v>9003</v>
      </c>
      <c r="D11" s="38">
        <v>9071</v>
      </c>
      <c r="E11" s="31">
        <f>C11+D11</f>
        <v>18074</v>
      </c>
      <c r="F11" s="37">
        <v>9543</v>
      </c>
      <c r="G11" s="38">
        <v>9558</v>
      </c>
      <c r="H11" s="31">
        <f>+F11+G11</f>
        <v>19101</v>
      </c>
      <c r="I11" s="256">
        <f t="shared" si="0"/>
        <v>5.68219541883368</v>
      </c>
      <c r="L11" s="12" t="s">
        <v>16</v>
      </c>
      <c r="M11" s="29">
        <v>1642589</v>
      </c>
      <c r="N11" s="36">
        <v>1494395</v>
      </c>
      <c r="O11" s="33">
        <f>M11+N11</f>
        <v>3136984</v>
      </c>
      <c r="P11" s="34">
        <v>128286</v>
      </c>
      <c r="Q11" s="35">
        <f>O11+P11</f>
        <v>3265270</v>
      </c>
      <c r="R11" s="29">
        <v>1561776</v>
      </c>
      <c r="S11" s="36">
        <v>1356971</v>
      </c>
      <c r="T11" s="33">
        <f>R11+S11</f>
        <v>2918747</v>
      </c>
      <c r="U11" s="34">
        <v>124081</v>
      </c>
      <c r="V11" s="31">
        <f>T11+U11</f>
        <v>3042828</v>
      </c>
      <c r="W11" s="256">
        <f t="shared" si="1"/>
        <v>-6.812361611750328</v>
      </c>
    </row>
    <row r="12" spans="2:23" ht="14.25" thickBot="1" thickTop="1">
      <c r="B12" s="39" t="s">
        <v>17</v>
      </c>
      <c r="C12" s="40">
        <f aca="true" t="shared" si="2" ref="C12:H12">+C9+C10+C11</f>
        <v>25702</v>
      </c>
      <c r="D12" s="41">
        <f t="shared" si="2"/>
        <v>25878</v>
      </c>
      <c r="E12" s="42">
        <f t="shared" si="2"/>
        <v>51580</v>
      </c>
      <c r="F12" s="40">
        <f t="shared" si="2"/>
        <v>27593</v>
      </c>
      <c r="G12" s="41">
        <f t="shared" si="2"/>
        <v>27664</v>
      </c>
      <c r="H12" s="42">
        <f t="shared" si="2"/>
        <v>55257</v>
      </c>
      <c r="I12" s="257">
        <f t="shared" si="0"/>
        <v>7.128732066692511</v>
      </c>
      <c r="J12" s="99"/>
      <c r="L12" s="39" t="s">
        <v>17</v>
      </c>
      <c r="M12" s="40">
        <f aca="true" t="shared" si="3" ref="M12:V12">+M9+M10+M11</f>
        <v>4508483</v>
      </c>
      <c r="N12" s="41">
        <f t="shared" si="3"/>
        <v>4229256</v>
      </c>
      <c r="O12" s="40">
        <f t="shared" si="3"/>
        <v>8737739</v>
      </c>
      <c r="P12" s="40">
        <f t="shared" si="3"/>
        <v>403832</v>
      </c>
      <c r="Q12" s="40">
        <f t="shared" si="3"/>
        <v>9141571</v>
      </c>
      <c r="R12" s="40">
        <f t="shared" si="3"/>
        <v>4108133</v>
      </c>
      <c r="S12" s="41">
        <f t="shared" si="3"/>
        <v>3852980</v>
      </c>
      <c r="T12" s="40">
        <f t="shared" si="3"/>
        <v>7961113</v>
      </c>
      <c r="U12" s="40">
        <f t="shared" si="3"/>
        <v>390737</v>
      </c>
      <c r="V12" s="42">
        <f t="shared" si="3"/>
        <v>8351850</v>
      </c>
      <c r="W12" s="257">
        <f t="shared" si="1"/>
        <v>-8.638788672100228</v>
      </c>
    </row>
    <row r="13" spans="2:23" ht="13.5" thickTop="1">
      <c r="B13" s="4" t="s">
        <v>18</v>
      </c>
      <c r="C13" s="29">
        <v>9083</v>
      </c>
      <c r="D13" s="30">
        <v>9147</v>
      </c>
      <c r="E13" s="31">
        <f>C13+D13</f>
        <v>18230</v>
      </c>
      <c r="F13" s="29">
        <v>10059</v>
      </c>
      <c r="G13" s="30">
        <v>10087</v>
      </c>
      <c r="H13" s="31">
        <f>F13+G13</f>
        <v>20146</v>
      </c>
      <c r="I13" s="256">
        <f t="shared" si="0"/>
        <v>10.510148107515093</v>
      </c>
      <c r="L13" s="4" t="s">
        <v>18</v>
      </c>
      <c r="M13" s="29">
        <v>1634911</v>
      </c>
      <c r="N13" s="30">
        <v>1613869</v>
      </c>
      <c r="O13" s="33">
        <f>M13+N13</f>
        <v>3248780</v>
      </c>
      <c r="P13" s="34">
        <v>126194</v>
      </c>
      <c r="Q13" s="35">
        <f>O13+P13</f>
        <v>3374974</v>
      </c>
      <c r="R13" s="29">
        <f>196+1669482</f>
        <v>1669678</v>
      </c>
      <c r="S13" s="30">
        <v>1659490</v>
      </c>
      <c r="T13" s="33">
        <f>R13+S13</f>
        <v>3329168</v>
      </c>
      <c r="U13" s="34">
        <v>128927</v>
      </c>
      <c r="V13" s="31">
        <f>T13+U13</f>
        <v>3458095</v>
      </c>
      <c r="W13" s="256">
        <f t="shared" si="1"/>
        <v>2.4628634176144804</v>
      </c>
    </row>
    <row r="14" spans="2:23" ht="12.75">
      <c r="B14" s="4" t="s">
        <v>19</v>
      </c>
      <c r="C14" s="29">
        <v>8409</v>
      </c>
      <c r="D14" s="30">
        <v>8465</v>
      </c>
      <c r="E14" s="31">
        <f>C14+D14</f>
        <v>16874</v>
      </c>
      <c r="F14" s="29">
        <v>9426</v>
      </c>
      <c r="G14" s="30">
        <v>9416</v>
      </c>
      <c r="H14" s="31">
        <f>F14+G14</f>
        <v>18842</v>
      </c>
      <c r="I14" s="256">
        <f>IF(E14=0,0,((H14/E14)-1)*100)</f>
        <v>11.662913357828607</v>
      </c>
      <c r="L14" s="4" t="s">
        <v>19</v>
      </c>
      <c r="M14" s="29">
        <v>1519596</v>
      </c>
      <c r="N14" s="30">
        <v>1573084</v>
      </c>
      <c r="O14" s="33">
        <f>M14+N14</f>
        <v>3092680</v>
      </c>
      <c r="P14" s="34">
        <v>100529</v>
      </c>
      <c r="Q14" s="35">
        <f>O14+P14</f>
        <v>3193209</v>
      </c>
      <c r="R14" s="29">
        <v>1597636</v>
      </c>
      <c r="S14" s="30">
        <v>1647357</v>
      </c>
      <c r="T14" s="33">
        <f>R14+S14</f>
        <v>3244993</v>
      </c>
      <c r="U14" s="34">
        <v>109180</v>
      </c>
      <c r="V14" s="31">
        <f>T14+U14</f>
        <v>3354173</v>
      </c>
      <c r="W14" s="256">
        <f t="shared" si="1"/>
        <v>5.0408225706491505</v>
      </c>
    </row>
    <row r="15" spans="2:23" ht="13.5" thickBot="1">
      <c r="B15" s="4" t="s">
        <v>20</v>
      </c>
      <c r="C15" s="29">
        <v>9338</v>
      </c>
      <c r="D15" s="30">
        <v>9398</v>
      </c>
      <c r="E15" s="31">
        <f>C15+D15</f>
        <v>18736</v>
      </c>
      <c r="F15" s="29">
        <v>9995</v>
      </c>
      <c r="G15" s="30">
        <v>10039</v>
      </c>
      <c r="H15" s="31">
        <f>F15+G15</f>
        <v>20034</v>
      </c>
      <c r="I15" s="256">
        <f>IF(E15=0,0,((H15/E15)-1)*100)</f>
        <v>6.927839453458584</v>
      </c>
      <c r="L15" s="4" t="s">
        <v>20</v>
      </c>
      <c r="M15" s="29">
        <v>1569195</v>
      </c>
      <c r="N15" s="30">
        <v>1684527</v>
      </c>
      <c r="O15" s="33">
        <f>M15+N15</f>
        <v>3253722</v>
      </c>
      <c r="P15" s="34">
        <v>125286</v>
      </c>
      <c r="Q15" s="35">
        <f>O15+P15</f>
        <v>3379008</v>
      </c>
      <c r="R15" s="29">
        <v>1708266</v>
      </c>
      <c r="S15" s="30">
        <v>1806442</v>
      </c>
      <c r="T15" s="33">
        <f>R15+S15</f>
        <v>3514708</v>
      </c>
      <c r="U15" s="34">
        <v>120321</v>
      </c>
      <c r="V15" s="31">
        <f>T15+U15</f>
        <v>3635029</v>
      </c>
      <c r="W15" s="256">
        <f t="shared" si="1"/>
        <v>7.57680952516242</v>
      </c>
    </row>
    <row r="16" spans="2:23" ht="14.25" thickBot="1" thickTop="1">
      <c r="B16" s="44" t="s">
        <v>21</v>
      </c>
      <c r="C16" s="45">
        <f aca="true" t="shared" si="4" ref="C16:H16">C15+C14+C13</f>
        <v>26830</v>
      </c>
      <c r="D16" s="46">
        <f t="shared" si="4"/>
        <v>27010</v>
      </c>
      <c r="E16" s="47">
        <f t="shared" si="4"/>
        <v>53840</v>
      </c>
      <c r="F16" s="45">
        <f t="shared" si="4"/>
        <v>29480</v>
      </c>
      <c r="G16" s="46">
        <f t="shared" si="4"/>
        <v>29542</v>
      </c>
      <c r="H16" s="45">
        <f t="shared" si="4"/>
        <v>59022</v>
      </c>
      <c r="I16" s="258">
        <f>IF(E16=0,0,((H16/E16)-1)*100)</f>
        <v>9.62481426448738</v>
      </c>
      <c r="L16" s="44" t="s">
        <v>21</v>
      </c>
      <c r="M16" s="45">
        <f aca="true" t="shared" si="5" ref="M16:V16">M15+M14+M13</f>
        <v>4723702</v>
      </c>
      <c r="N16" s="49">
        <f t="shared" si="5"/>
        <v>4871480</v>
      </c>
      <c r="O16" s="49">
        <f t="shared" si="5"/>
        <v>9595182</v>
      </c>
      <c r="P16" s="47">
        <f t="shared" si="5"/>
        <v>352009</v>
      </c>
      <c r="Q16" s="49">
        <f t="shared" si="5"/>
        <v>9947191</v>
      </c>
      <c r="R16" s="45">
        <f t="shared" si="5"/>
        <v>4975580</v>
      </c>
      <c r="S16" s="49">
        <f t="shared" si="5"/>
        <v>5113289</v>
      </c>
      <c r="T16" s="49">
        <f t="shared" si="5"/>
        <v>10088869</v>
      </c>
      <c r="U16" s="47">
        <f t="shared" si="5"/>
        <v>358428</v>
      </c>
      <c r="V16" s="49">
        <f t="shared" si="5"/>
        <v>10447297</v>
      </c>
      <c r="W16" s="258">
        <f t="shared" si="1"/>
        <v>5.027610307271679</v>
      </c>
    </row>
    <row r="17" spans="2:23" ht="13.5" thickTop="1">
      <c r="B17" s="4" t="s">
        <v>22</v>
      </c>
      <c r="C17" s="29">
        <v>9108</v>
      </c>
      <c r="D17" s="30">
        <v>9137</v>
      </c>
      <c r="E17" s="31">
        <f>C17+D17</f>
        <v>18245</v>
      </c>
      <c r="F17" s="29">
        <v>9626</v>
      </c>
      <c r="G17" s="30">
        <v>9610</v>
      </c>
      <c r="H17" s="31">
        <f>F17+G17</f>
        <v>19236</v>
      </c>
      <c r="I17" s="256">
        <f t="shared" si="0"/>
        <v>5.43162510276789</v>
      </c>
      <c r="L17" s="4" t="s">
        <v>22</v>
      </c>
      <c r="M17" s="29">
        <v>1496381</v>
      </c>
      <c r="N17" s="30">
        <v>1520462</v>
      </c>
      <c r="O17" s="33">
        <f>M17+N17</f>
        <v>3016843</v>
      </c>
      <c r="P17" s="34">
        <v>129556</v>
      </c>
      <c r="Q17" s="35">
        <f>O17+P17</f>
        <v>3146399</v>
      </c>
      <c r="R17" s="29">
        <v>1674283</v>
      </c>
      <c r="S17" s="30">
        <v>1717023</v>
      </c>
      <c r="T17" s="33">
        <f>R17+S17</f>
        <v>3391306</v>
      </c>
      <c r="U17" s="34">
        <v>103141</v>
      </c>
      <c r="V17" s="31">
        <f>T17+U17</f>
        <v>3494447</v>
      </c>
      <c r="W17" s="256">
        <f t="shared" si="1"/>
        <v>11.061788412721963</v>
      </c>
    </row>
    <row r="18" spans="2:25" ht="12.75">
      <c r="B18" s="4" t="s">
        <v>23</v>
      </c>
      <c r="C18" s="29">
        <v>8830</v>
      </c>
      <c r="D18" s="30">
        <v>8854</v>
      </c>
      <c r="E18" s="31">
        <f>C18+D18</f>
        <v>17684</v>
      </c>
      <c r="F18" s="29">
        <v>9470</v>
      </c>
      <c r="G18" s="30">
        <v>9470</v>
      </c>
      <c r="H18" s="31">
        <f>F18+G18</f>
        <v>18940</v>
      </c>
      <c r="I18" s="256">
        <f aca="true" t="shared" si="6" ref="I18:I26">IF(E18=0,0,((H18/E18)-1)*100)</f>
        <v>7.102465505541722</v>
      </c>
      <c r="L18" s="4" t="s">
        <v>23</v>
      </c>
      <c r="M18" s="29">
        <v>1343501</v>
      </c>
      <c r="N18" s="30">
        <v>1412625</v>
      </c>
      <c r="O18" s="33">
        <f>M18+N18</f>
        <v>2756126</v>
      </c>
      <c r="P18" s="285">
        <v>131190</v>
      </c>
      <c r="Q18" s="35">
        <f>O18+P18</f>
        <v>2887316</v>
      </c>
      <c r="R18" s="29">
        <v>1497178</v>
      </c>
      <c r="S18" s="30">
        <v>1544977</v>
      </c>
      <c r="T18" s="33">
        <f>R18+S18</f>
        <v>3042155</v>
      </c>
      <c r="U18" s="285">
        <v>109083</v>
      </c>
      <c r="V18" s="31">
        <f>T18+U18</f>
        <v>3151238</v>
      </c>
      <c r="W18" s="256">
        <f t="shared" si="1"/>
        <v>9.140738318909335</v>
      </c>
      <c r="Y18" s="99"/>
    </row>
    <row r="19" spans="2:23" ht="13.5" thickBot="1">
      <c r="B19" s="4" t="s">
        <v>24</v>
      </c>
      <c r="C19" s="29">
        <v>8503</v>
      </c>
      <c r="D19" s="30">
        <v>8526</v>
      </c>
      <c r="E19" s="31">
        <f>C19+D19</f>
        <v>17029</v>
      </c>
      <c r="F19" s="29">
        <v>9031</v>
      </c>
      <c r="G19" s="30">
        <v>9040</v>
      </c>
      <c r="H19" s="31">
        <f>F19+G19</f>
        <v>18071</v>
      </c>
      <c r="I19" s="256">
        <f t="shared" si="6"/>
        <v>6.118973515767223</v>
      </c>
      <c r="J19" s="50"/>
      <c r="L19" s="4" t="s">
        <v>24</v>
      </c>
      <c r="M19" s="29">
        <v>1367796</v>
      </c>
      <c r="N19" s="30">
        <v>1304184</v>
      </c>
      <c r="O19" s="51">
        <f>M19+N19</f>
        <v>2671980</v>
      </c>
      <c r="P19" s="52">
        <v>137354</v>
      </c>
      <c r="Q19" s="35">
        <f>O19+P19</f>
        <v>2809334</v>
      </c>
      <c r="R19" s="29">
        <v>1536342</v>
      </c>
      <c r="S19" s="30">
        <v>1468194</v>
      </c>
      <c r="T19" s="51">
        <f>R19+S19</f>
        <v>3004536</v>
      </c>
      <c r="U19" s="52">
        <v>113733</v>
      </c>
      <c r="V19" s="31">
        <f>T19+U19</f>
        <v>3118269</v>
      </c>
      <c r="W19" s="256">
        <f t="shared" si="1"/>
        <v>10.996734457348257</v>
      </c>
    </row>
    <row r="20" spans="2:23" ht="14.25" customHeight="1" thickBot="1" thickTop="1">
      <c r="B20" s="44" t="s">
        <v>25</v>
      </c>
      <c r="C20" s="40">
        <f aca="true" t="shared" si="7" ref="C20:H20">+C17+C18+C19</f>
        <v>26441</v>
      </c>
      <c r="D20" s="53">
        <f t="shared" si="7"/>
        <v>26517</v>
      </c>
      <c r="E20" s="49">
        <f t="shared" si="7"/>
        <v>52958</v>
      </c>
      <c r="F20" s="40">
        <f t="shared" si="7"/>
        <v>28127</v>
      </c>
      <c r="G20" s="53">
        <f t="shared" si="7"/>
        <v>28120</v>
      </c>
      <c r="H20" s="53">
        <f t="shared" si="7"/>
        <v>56247</v>
      </c>
      <c r="I20" s="257">
        <f t="shared" si="6"/>
        <v>6.210581970618234</v>
      </c>
      <c r="J20" s="55"/>
      <c r="K20" s="56"/>
      <c r="L20" s="44" t="s">
        <v>25</v>
      </c>
      <c r="M20" s="45">
        <f aca="true" t="shared" si="8" ref="M20:V20">+M17+M18+M19</f>
        <v>4207678</v>
      </c>
      <c r="N20" s="45">
        <f t="shared" si="8"/>
        <v>4237271</v>
      </c>
      <c r="O20" s="47">
        <f t="shared" si="8"/>
        <v>8444949</v>
      </c>
      <c r="P20" s="47">
        <f t="shared" si="8"/>
        <v>398100</v>
      </c>
      <c r="Q20" s="47">
        <f t="shared" si="8"/>
        <v>8843049</v>
      </c>
      <c r="R20" s="45">
        <f t="shared" si="8"/>
        <v>4707803</v>
      </c>
      <c r="S20" s="45">
        <f t="shared" si="8"/>
        <v>4730194</v>
      </c>
      <c r="T20" s="47">
        <f t="shared" si="8"/>
        <v>9437997</v>
      </c>
      <c r="U20" s="47">
        <f t="shared" si="8"/>
        <v>325957</v>
      </c>
      <c r="V20" s="47">
        <f t="shared" si="8"/>
        <v>9763954</v>
      </c>
      <c r="W20" s="257">
        <f t="shared" si="1"/>
        <v>10.413885527491695</v>
      </c>
    </row>
    <row r="21" spans="2:23" ht="13.5" thickTop="1">
      <c r="B21" s="4" t="s">
        <v>26</v>
      </c>
      <c r="C21" s="29">
        <v>9167</v>
      </c>
      <c r="D21" s="30">
        <v>9208</v>
      </c>
      <c r="E21" s="57">
        <f>C21+D21</f>
        <v>18375</v>
      </c>
      <c r="F21" s="29">
        <v>9566</v>
      </c>
      <c r="G21" s="30">
        <v>9566</v>
      </c>
      <c r="H21" s="58">
        <f>F21+G21</f>
        <v>19132</v>
      </c>
      <c r="I21" s="256">
        <f t="shared" si="6"/>
        <v>4.119727891156466</v>
      </c>
      <c r="L21" s="4" t="s">
        <v>27</v>
      </c>
      <c r="M21" s="29">
        <v>1591377</v>
      </c>
      <c r="N21" s="30">
        <v>1534409</v>
      </c>
      <c r="O21" s="51">
        <f>+M21+N21</f>
        <v>3125786</v>
      </c>
      <c r="P21" s="59">
        <v>152231</v>
      </c>
      <c r="Q21" s="35">
        <f>O21+P21</f>
        <v>3278017</v>
      </c>
      <c r="R21" s="29">
        <f>154+1674837</f>
        <v>1674991</v>
      </c>
      <c r="S21" s="30">
        <v>1636752</v>
      </c>
      <c r="T21" s="51">
        <f>+R21+S21</f>
        <v>3311743</v>
      </c>
      <c r="U21" s="59">
        <v>123967</v>
      </c>
      <c r="V21" s="31">
        <f>+T21+U21</f>
        <v>3435710</v>
      </c>
      <c r="W21" s="256">
        <f t="shared" si="1"/>
        <v>4.810621787501401</v>
      </c>
    </row>
    <row r="22" spans="2:23" ht="12.75">
      <c r="B22" s="4" t="s">
        <v>28</v>
      </c>
      <c r="C22" s="29">
        <v>9203</v>
      </c>
      <c r="D22" s="30">
        <v>9227</v>
      </c>
      <c r="E22" s="33">
        <f>C22+D22</f>
        <v>18430</v>
      </c>
      <c r="F22" s="29">
        <v>9750</v>
      </c>
      <c r="G22" s="30">
        <v>9742</v>
      </c>
      <c r="H22" s="33">
        <f>F22+G22</f>
        <v>19492</v>
      </c>
      <c r="I22" s="256">
        <f>IF(E22=0,0,((H22/E22)-1)*100)</f>
        <v>5.762344004340747</v>
      </c>
      <c r="L22" s="4" t="s">
        <v>28</v>
      </c>
      <c r="M22" s="29">
        <v>1505196</v>
      </c>
      <c r="N22" s="30">
        <v>1570590</v>
      </c>
      <c r="O22" s="51">
        <f>+M22+N22</f>
        <v>3075786</v>
      </c>
      <c r="P22" s="34">
        <v>143963</v>
      </c>
      <c r="Q22" s="35">
        <f>O22+P22</f>
        <v>3219749</v>
      </c>
      <c r="R22" s="29">
        <v>1678314</v>
      </c>
      <c r="S22" s="30">
        <v>1726363</v>
      </c>
      <c r="T22" s="51">
        <f>+R22+S22</f>
        <v>3404677</v>
      </c>
      <c r="U22" s="34">
        <v>111478</v>
      </c>
      <c r="V22" s="31">
        <f>+T22+U22</f>
        <v>3516155</v>
      </c>
      <c r="W22" s="256">
        <f>IF(Q22=0,0,((V22/Q22)-1)*100)</f>
        <v>9.205872880153088</v>
      </c>
    </row>
    <row r="23" spans="2:23" ht="13.5" thickBot="1">
      <c r="B23" s="4" t="s">
        <v>29</v>
      </c>
      <c r="C23" s="29">
        <v>8869</v>
      </c>
      <c r="D23" s="60">
        <v>8907</v>
      </c>
      <c r="E23" s="61">
        <f>C23+D23</f>
        <v>17776</v>
      </c>
      <c r="F23" s="29">
        <v>9488</v>
      </c>
      <c r="G23" s="60">
        <v>9464</v>
      </c>
      <c r="H23" s="61">
        <f>F23+G23</f>
        <v>18952</v>
      </c>
      <c r="I23" s="256">
        <f t="shared" si="6"/>
        <v>6.615661566156605</v>
      </c>
      <c r="J23" s="99"/>
      <c r="L23" s="4" t="s">
        <v>29</v>
      </c>
      <c r="M23" s="29">
        <v>1392959</v>
      </c>
      <c r="N23" s="36">
        <v>1413025</v>
      </c>
      <c r="O23" s="51">
        <f>+M23+N23</f>
        <v>2805984</v>
      </c>
      <c r="P23" s="52">
        <v>150666</v>
      </c>
      <c r="Q23" s="35">
        <f>O23+P23</f>
        <v>2956650</v>
      </c>
      <c r="R23" s="29">
        <v>1519247</v>
      </c>
      <c r="S23" s="36">
        <v>1535169</v>
      </c>
      <c r="T23" s="51">
        <f>+R23+S23</f>
        <v>3054416</v>
      </c>
      <c r="U23" s="52">
        <v>118374</v>
      </c>
      <c r="V23" s="31">
        <f>+T23+U23</f>
        <v>3172790</v>
      </c>
      <c r="W23" s="256">
        <f t="shared" si="1"/>
        <v>7.3103005090220385</v>
      </c>
    </row>
    <row r="24" spans="2:23" ht="14.25" thickBot="1" thickTop="1">
      <c r="B24" s="39" t="s">
        <v>30</v>
      </c>
      <c r="C24" s="40">
        <f aca="true" t="shared" si="9" ref="C24:H24">+C21+C22+C23</f>
        <v>27239</v>
      </c>
      <c r="D24" s="41">
        <f t="shared" si="9"/>
        <v>27342</v>
      </c>
      <c r="E24" s="40">
        <f t="shared" si="9"/>
        <v>54581</v>
      </c>
      <c r="F24" s="40">
        <f t="shared" si="9"/>
        <v>28804</v>
      </c>
      <c r="G24" s="41">
        <f t="shared" si="9"/>
        <v>28772</v>
      </c>
      <c r="H24" s="40">
        <f t="shared" si="9"/>
        <v>57576</v>
      </c>
      <c r="I24" s="257">
        <f t="shared" si="6"/>
        <v>5.487257470548368</v>
      </c>
      <c r="L24" s="39" t="s">
        <v>30</v>
      </c>
      <c r="M24" s="40">
        <f aca="true" t="shared" si="10" ref="M24:V24">+M21+M22+M23</f>
        <v>4489532</v>
      </c>
      <c r="N24" s="41">
        <f t="shared" si="10"/>
        <v>4518024</v>
      </c>
      <c r="O24" s="40">
        <f t="shared" si="10"/>
        <v>9007556</v>
      </c>
      <c r="P24" s="40">
        <f t="shared" si="10"/>
        <v>446860</v>
      </c>
      <c r="Q24" s="40">
        <f t="shared" si="10"/>
        <v>9454416</v>
      </c>
      <c r="R24" s="40">
        <f t="shared" si="10"/>
        <v>4872552</v>
      </c>
      <c r="S24" s="41">
        <f t="shared" si="10"/>
        <v>4898284</v>
      </c>
      <c r="T24" s="40">
        <f t="shared" si="10"/>
        <v>9770836</v>
      </c>
      <c r="U24" s="40">
        <f t="shared" si="10"/>
        <v>353819</v>
      </c>
      <c r="V24" s="40">
        <f t="shared" si="10"/>
        <v>10124655</v>
      </c>
      <c r="W24" s="257">
        <f t="shared" si="1"/>
        <v>7.089163413160571</v>
      </c>
    </row>
    <row r="25" spans="2:23" ht="14.25" thickBot="1" thickTop="1">
      <c r="B25" s="39" t="s">
        <v>66</v>
      </c>
      <c r="C25" s="40">
        <f aca="true" t="shared" si="11" ref="C25:H25">+C16+C20+C24</f>
        <v>80510</v>
      </c>
      <c r="D25" s="41">
        <f t="shared" si="11"/>
        <v>80869</v>
      </c>
      <c r="E25" s="42">
        <f t="shared" si="11"/>
        <v>161379</v>
      </c>
      <c r="F25" s="40">
        <f t="shared" si="11"/>
        <v>86411</v>
      </c>
      <c r="G25" s="41">
        <f t="shared" si="11"/>
        <v>86434</v>
      </c>
      <c r="H25" s="42">
        <f t="shared" si="11"/>
        <v>172845</v>
      </c>
      <c r="I25" s="257">
        <f t="shared" si="6"/>
        <v>7.105013663487814</v>
      </c>
      <c r="J25" s="99"/>
      <c r="L25" s="39" t="s">
        <v>66</v>
      </c>
      <c r="M25" s="40">
        <f aca="true" t="shared" si="12" ref="M25:V25">+M16+M20+M24</f>
        <v>13420912</v>
      </c>
      <c r="N25" s="41">
        <f t="shared" si="12"/>
        <v>13626775</v>
      </c>
      <c r="O25" s="40">
        <f t="shared" si="12"/>
        <v>27047687</v>
      </c>
      <c r="P25" s="40">
        <f t="shared" si="12"/>
        <v>1196969</v>
      </c>
      <c r="Q25" s="40">
        <f t="shared" si="12"/>
        <v>28244656</v>
      </c>
      <c r="R25" s="40">
        <f t="shared" si="12"/>
        <v>14555935</v>
      </c>
      <c r="S25" s="41">
        <f t="shared" si="12"/>
        <v>14741767</v>
      </c>
      <c r="T25" s="40">
        <f t="shared" si="12"/>
        <v>29297702</v>
      </c>
      <c r="U25" s="40">
        <f t="shared" si="12"/>
        <v>1038204</v>
      </c>
      <c r="V25" s="42">
        <f t="shared" si="12"/>
        <v>30335906</v>
      </c>
      <c r="W25" s="257">
        <f t="shared" si="1"/>
        <v>7.404055478671778</v>
      </c>
    </row>
    <row r="26" spans="2:23" ht="14.25" thickBot="1" thickTop="1">
      <c r="B26" s="39" t="s">
        <v>9</v>
      </c>
      <c r="C26" s="40">
        <f aca="true" t="shared" si="13" ref="C26:H26">+C12+C16+C20+C24</f>
        <v>106212</v>
      </c>
      <c r="D26" s="41">
        <f t="shared" si="13"/>
        <v>106747</v>
      </c>
      <c r="E26" s="40">
        <f t="shared" si="13"/>
        <v>212959</v>
      </c>
      <c r="F26" s="40">
        <f t="shared" si="13"/>
        <v>114004</v>
      </c>
      <c r="G26" s="41">
        <f t="shared" si="13"/>
        <v>114098</v>
      </c>
      <c r="H26" s="40">
        <f t="shared" si="13"/>
        <v>228102</v>
      </c>
      <c r="I26" s="257">
        <f t="shared" si="6"/>
        <v>7.110758408895612</v>
      </c>
      <c r="L26" s="39" t="s">
        <v>9</v>
      </c>
      <c r="M26" s="40">
        <f aca="true" t="shared" si="14" ref="M26:V26">+M12+M16+M20+M24</f>
        <v>17929395</v>
      </c>
      <c r="N26" s="41">
        <f t="shared" si="14"/>
        <v>17856031</v>
      </c>
      <c r="O26" s="40">
        <f t="shared" si="14"/>
        <v>35785426</v>
      </c>
      <c r="P26" s="40">
        <f t="shared" si="14"/>
        <v>1600801</v>
      </c>
      <c r="Q26" s="40">
        <f t="shared" si="14"/>
        <v>37386227</v>
      </c>
      <c r="R26" s="40">
        <f t="shared" si="14"/>
        <v>18664068</v>
      </c>
      <c r="S26" s="41">
        <f t="shared" si="14"/>
        <v>18594747</v>
      </c>
      <c r="T26" s="40">
        <f t="shared" si="14"/>
        <v>37258815</v>
      </c>
      <c r="U26" s="40">
        <f t="shared" si="14"/>
        <v>1428941</v>
      </c>
      <c r="V26" s="40">
        <f t="shared" si="14"/>
        <v>38687756</v>
      </c>
      <c r="W26" s="257">
        <f t="shared" si="1"/>
        <v>3.4813060970287246</v>
      </c>
    </row>
    <row r="27" spans="2:19" ht="13.5" thickTop="1">
      <c r="B27" s="63" t="s">
        <v>64</v>
      </c>
      <c r="C27" s="1"/>
      <c r="D27" s="1"/>
      <c r="E27" s="1"/>
      <c r="F27" s="1"/>
      <c r="G27" s="1"/>
      <c r="H27" s="1"/>
      <c r="I27" s="119"/>
      <c r="L27" s="63" t="s">
        <v>64</v>
      </c>
      <c r="S27" s="99"/>
    </row>
    <row r="28" spans="2:23" ht="12.75">
      <c r="B28" s="336" t="s">
        <v>31</v>
      </c>
      <c r="C28" s="336"/>
      <c r="D28" s="336"/>
      <c r="E28" s="336"/>
      <c r="F28" s="336"/>
      <c r="G28" s="336"/>
      <c r="H28" s="336"/>
      <c r="I28" s="336"/>
      <c r="L28" s="336" t="s">
        <v>32</v>
      </c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</row>
    <row r="29" spans="2:23" ht="15.75">
      <c r="B29" s="337" t="s">
        <v>33</v>
      </c>
      <c r="C29" s="337"/>
      <c r="D29" s="337"/>
      <c r="E29" s="337"/>
      <c r="F29" s="337"/>
      <c r="G29" s="337"/>
      <c r="H29" s="337"/>
      <c r="I29" s="337"/>
      <c r="L29" s="337" t="s">
        <v>34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</row>
    <row r="30" spans="2:9" ht="13.5" thickBot="1">
      <c r="B30" s="1"/>
      <c r="C30" s="1"/>
      <c r="D30" s="1"/>
      <c r="E30" s="1"/>
      <c r="F30" s="1"/>
      <c r="G30" s="1"/>
      <c r="H30" s="1"/>
      <c r="I30" s="119"/>
    </row>
    <row r="31" spans="2:23" ht="17.25" thickBot="1" thickTop="1">
      <c r="B31" s="3"/>
      <c r="C31" s="341" t="s">
        <v>67</v>
      </c>
      <c r="D31" s="342"/>
      <c r="E31" s="343"/>
      <c r="F31" s="344" t="s">
        <v>68</v>
      </c>
      <c r="G31" s="345"/>
      <c r="H31" s="346"/>
      <c r="I31" s="239" t="s">
        <v>4</v>
      </c>
      <c r="L31" s="3"/>
      <c r="M31" s="347" t="s">
        <v>67</v>
      </c>
      <c r="N31" s="348"/>
      <c r="O31" s="348"/>
      <c r="P31" s="348"/>
      <c r="Q31" s="349"/>
      <c r="R31" s="338" t="s">
        <v>68</v>
      </c>
      <c r="S31" s="339"/>
      <c r="T31" s="339"/>
      <c r="U31" s="339"/>
      <c r="V31" s="340"/>
      <c r="W31" s="239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0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0" t="s">
        <v>6</v>
      </c>
    </row>
    <row r="33" spans="2:23" ht="13.5" thickBot="1">
      <c r="B33" s="12"/>
      <c r="C33" s="13" t="s">
        <v>7</v>
      </c>
      <c r="D33" s="230" t="s">
        <v>8</v>
      </c>
      <c r="E33" s="14" t="s">
        <v>9</v>
      </c>
      <c r="F33" s="13" t="s">
        <v>7</v>
      </c>
      <c r="G33" s="230" t="s">
        <v>8</v>
      </c>
      <c r="H33" s="14" t="s">
        <v>9</v>
      </c>
      <c r="I33" s="241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1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4"/>
      <c r="L34" s="4"/>
      <c r="M34" s="23"/>
      <c r="N34" s="24"/>
      <c r="O34" s="25"/>
      <c r="P34" s="132"/>
      <c r="Q34" s="27"/>
      <c r="R34" s="23"/>
      <c r="S34" s="24"/>
      <c r="T34" s="25"/>
      <c r="U34" s="26"/>
      <c r="V34" s="28"/>
      <c r="W34" s="207"/>
    </row>
    <row r="35" spans="2:23" ht="12.75">
      <c r="B35" s="4" t="s">
        <v>14</v>
      </c>
      <c r="C35" s="29">
        <v>3145</v>
      </c>
      <c r="D35" s="30">
        <v>3104</v>
      </c>
      <c r="E35" s="35">
        <f>C35+D35</f>
        <v>6249</v>
      </c>
      <c r="F35" s="29">
        <v>3600</v>
      </c>
      <c r="G35" s="30">
        <v>3580</v>
      </c>
      <c r="H35" s="31">
        <f>F35+G35</f>
        <v>7180</v>
      </c>
      <c r="I35" s="256">
        <f aca="true" t="shared" si="15" ref="I35:I43">IF(E35=0,0,((H35/E35)-1)*100)</f>
        <v>14.898383741398625</v>
      </c>
      <c r="L35" s="4" t="s">
        <v>14</v>
      </c>
      <c r="M35" s="29">
        <v>418187</v>
      </c>
      <c r="N35" s="36">
        <v>416678</v>
      </c>
      <c r="O35" s="33">
        <f>M35+N35</f>
        <v>834865</v>
      </c>
      <c r="P35" s="34">
        <v>489</v>
      </c>
      <c r="Q35" s="35">
        <f>O35+P35</f>
        <v>835354</v>
      </c>
      <c r="R35" s="29">
        <v>462369</v>
      </c>
      <c r="S35" s="36">
        <v>516226</v>
      </c>
      <c r="T35" s="33">
        <f>R35+S35</f>
        <v>978595</v>
      </c>
      <c r="U35" s="34">
        <v>788</v>
      </c>
      <c r="V35" s="31">
        <f>T35+U35</f>
        <v>979383</v>
      </c>
      <c r="W35" s="256">
        <f aca="true" t="shared" si="16" ref="W35:W52">IF(Q35=0,0,((V35/Q35)-1)*100)</f>
        <v>17.241672392781982</v>
      </c>
    </row>
    <row r="36" spans="2:23" ht="12.75">
      <c r="B36" s="4" t="s">
        <v>15</v>
      </c>
      <c r="C36" s="29">
        <v>3152</v>
      </c>
      <c r="D36" s="30">
        <v>3083</v>
      </c>
      <c r="E36" s="35">
        <f>C36+D36</f>
        <v>6235</v>
      </c>
      <c r="F36" s="29">
        <v>4565</v>
      </c>
      <c r="G36" s="30">
        <v>4506</v>
      </c>
      <c r="H36" s="31">
        <f>F36+G36</f>
        <v>9071</v>
      </c>
      <c r="I36" s="256">
        <f t="shared" si="15"/>
        <v>45.485164394546906</v>
      </c>
      <c r="L36" s="4" t="s">
        <v>15</v>
      </c>
      <c r="M36" s="29">
        <v>414187</v>
      </c>
      <c r="N36" s="36">
        <v>423817</v>
      </c>
      <c r="O36" s="33">
        <f>M36+N36</f>
        <v>838004</v>
      </c>
      <c r="P36" s="34">
        <v>844</v>
      </c>
      <c r="Q36" s="35">
        <f>O36+P36</f>
        <v>838848</v>
      </c>
      <c r="R36" s="29">
        <v>590840</v>
      </c>
      <c r="S36" s="36">
        <v>566685</v>
      </c>
      <c r="T36" s="33">
        <f>R36+S36</f>
        <v>1157525</v>
      </c>
      <c r="U36" s="34">
        <v>769</v>
      </c>
      <c r="V36" s="31">
        <f>T36+U36</f>
        <v>1158294</v>
      </c>
      <c r="W36" s="256">
        <f t="shared" si="16"/>
        <v>38.08151178759442</v>
      </c>
    </row>
    <row r="37" spans="2:23" ht="13.5" thickBot="1">
      <c r="B37" s="12" t="s">
        <v>16</v>
      </c>
      <c r="C37" s="37">
        <v>3507</v>
      </c>
      <c r="D37" s="38">
        <v>3437</v>
      </c>
      <c r="E37" s="64">
        <f>C37+D37</f>
        <v>6944</v>
      </c>
      <c r="F37" s="37">
        <v>5279</v>
      </c>
      <c r="G37" s="38">
        <v>5247</v>
      </c>
      <c r="H37" s="31">
        <f>F37+G37</f>
        <v>10526</v>
      </c>
      <c r="I37" s="256">
        <f t="shared" si="15"/>
        <v>51.58410138248848</v>
      </c>
      <c r="L37" s="12" t="s">
        <v>16</v>
      </c>
      <c r="M37" s="29">
        <v>440071</v>
      </c>
      <c r="N37" s="36">
        <v>513462</v>
      </c>
      <c r="O37" s="33">
        <f>M37+N37</f>
        <v>953533</v>
      </c>
      <c r="P37" s="34">
        <v>538</v>
      </c>
      <c r="Q37" s="35">
        <f>O37+P37</f>
        <v>954071</v>
      </c>
      <c r="R37" s="29">
        <v>658882</v>
      </c>
      <c r="S37" s="36">
        <v>731015</v>
      </c>
      <c r="T37" s="33">
        <f>R37+S37</f>
        <v>1389897</v>
      </c>
      <c r="U37" s="34">
        <v>739</v>
      </c>
      <c r="V37" s="31">
        <f>T37+U37</f>
        <v>1390636</v>
      </c>
      <c r="W37" s="256">
        <f t="shared" si="16"/>
        <v>45.75812491942423</v>
      </c>
    </row>
    <row r="38" spans="2:23" ht="14.25" thickBot="1" thickTop="1">
      <c r="B38" s="39" t="s">
        <v>17</v>
      </c>
      <c r="C38" s="40">
        <f aca="true" t="shared" si="17" ref="C38:H38">+C35+C36+C37</f>
        <v>9804</v>
      </c>
      <c r="D38" s="41">
        <f t="shared" si="17"/>
        <v>9624</v>
      </c>
      <c r="E38" s="42">
        <f t="shared" si="17"/>
        <v>19428</v>
      </c>
      <c r="F38" s="40">
        <f t="shared" si="17"/>
        <v>13444</v>
      </c>
      <c r="G38" s="41">
        <f t="shared" si="17"/>
        <v>13333</v>
      </c>
      <c r="H38" s="42">
        <f t="shared" si="17"/>
        <v>26777</v>
      </c>
      <c r="I38" s="257">
        <f t="shared" si="15"/>
        <v>37.82684784846613</v>
      </c>
      <c r="J38" s="99"/>
      <c r="L38" s="39" t="s">
        <v>17</v>
      </c>
      <c r="M38" s="40">
        <f>+M35+M36+M37</f>
        <v>1272445</v>
      </c>
      <c r="N38" s="41">
        <f>+N35+N36+N37</f>
        <v>1353957</v>
      </c>
      <c r="O38" s="40">
        <f>+O35+O36+O37</f>
        <v>2626402</v>
      </c>
      <c r="P38" s="40">
        <f>+P35+P36+P37</f>
        <v>1871</v>
      </c>
      <c r="Q38" s="40">
        <f aca="true" t="shared" si="18" ref="Q38:V38">+Q35+Q36+Q37</f>
        <v>2628273</v>
      </c>
      <c r="R38" s="40">
        <f t="shared" si="18"/>
        <v>1712091</v>
      </c>
      <c r="S38" s="41">
        <f t="shared" si="18"/>
        <v>1813926</v>
      </c>
      <c r="T38" s="40">
        <f t="shared" si="18"/>
        <v>3526017</v>
      </c>
      <c r="U38" s="40">
        <f t="shared" si="18"/>
        <v>2296</v>
      </c>
      <c r="V38" s="42">
        <f t="shared" si="18"/>
        <v>3528313</v>
      </c>
      <c r="W38" s="257">
        <f t="shared" si="16"/>
        <v>34.244540045878026</v>
      </c>
    </row>
    <row r="39" spans="2:23" ht="13.5" thickTop="1">
      <c r="B39" s="4" t="s">
        <v>18</v>
      </c>
      <c r="C39" s="29">
        <v>3575</v>
      </c>
      <c r="D39" s="30">
        <v>3512</v>
      </c>
      <c r="E39" s="35">
        <f>C39+D39</f>
        <v>7087</v>
      </c>
      <c r="F39" s="29">
        <v>5454</v>
      </c>
      <c r="G39" s="30">
        <v>5437</v>
      </c>
      <c r="H39" s="31">
        <f>F39+G39</f>
        <v>10891</v>
      </c>
      <c r="I39" s="256">
        <f t="shared" si="15"/>
        <v>53.67574432058699</v>
      </c>
      <c r="J39" s="99"/>
      <c r="L39" s="4" t="s">
        <v>18</v>
      </c>
      <c r="M39" s="29">
        <v>546241</v>
      </c>
      <c r="N39" s="36">
        <v>502257</v>
      </c>
      <c r="O39" s="33">
        <f>M39+N39</f>
        <v>1048498</v>
      </c>
      <c r="P39" s="34">
        <v>561</v>
      </c>
      <c r="Q39" s="35">
        <f>O39+P39</f>
        <v>1049059</v>
      </c>
      <c r="R39" s="29">
        <f>800446-196</f>
        <v>800250</v>
      </c>
      <c r="S39" s="36">
        <v>736097</v>
      </c>
      <c r="T39" s="33">
        <f>R39+S39</f>
        <v>1536347</v>
      </c>
      <c r="U39" s="34">
        <v>652</v>
      </c>
      <c r="V39" s="31">
        <f>T39+U39</f>
        <v>1536999</v>
      </c>
      <c r="W39" s="256">
        <f t="shared" si="16"/>
        <v>46.51215994524618</v>
      </c>
    </row>
    <row r="40" spans="2:23" ht="12.75">
      <c r="B40" s="4" t="s">
        <v>19</v>
      </c>
      <c r="C40" s="29">
        <v>3233</v>
      </c>
      <c r="D40" s="30">
        <v>3184</v>
      </c>
      <c r="E40" s="35">
        <f>C40+D40</f>
        <v>6417</v>
      </c>
      <c r="F40" s="29">
        <v>4981</v>
      </c>
      <c r="G40" s="30">
        <v>4975</v>
      </c>
      <c r="H40" s="31">
        <f>F40+G40</f>
        <v>9956</v>
      </c>
      <c r="I40" s="256">
        <f>IF(E40=0,0,((H40/E40)-1)*100)</f>
        <v>55.15038179834815</v>
      </c>
      <c r="J40" s="99"/>
      <c r="L40" s="4" t="s">
        <v>19</v>
      </c>
      <c r="M40" s="29">
        <v>485097</v>
      </c>
      <c r="N40" s="36">
        <v>461143</v>
      </c>
      <c r="O40" s="33">
        <f>M40+N40</f>
        <v>946240</v>
      </c>
      <c r="P40" s="34">
        <v>1021</v>
      </c>
      <c r="Q40" s="35">
        <f>O40+P40</f>
        <v>947261</v>
      </c>
      <c r="R40" s="29">
        <v>727415</v>
      </c>
      <c r="S40" s="36">
        <v>697623</v>
      </c>
      <c r="T40" s="33">
        <f>R40+S40</f>
        <v>1425038</v>
      </c>
      <c r="U40" s="34">
        <v>677</v>
      </c>
      <c r="V40" s="31">
        <f>T40+U40</f>
        <v>1425715</v>
      </c>
      <c r="W40" s="256">
        <f>IF(Q40=0,0,((V40/Q40)-1)*100)</f>
        <v>50.5092049604069</v>
      </c>
    </row>
    <row r="41" spans="2:23" ht="13.5" thickBot="1">
      <c r="B41" s="65" t="s">
        <v>20</v>
      </c>
      <c r="C41" s="29">
        <v>3417</v>
      </c>
      <c r="D41" s="30">
        <v>3359</v>
      </c>
      <c r="E41" s="66">
        <f>C41+D41</f>
        <v>6776</v>
      </c>
      <c r="F41" s="29">
        <v>4205</v>
      </c>
      <c r="G41" s="30">
        <v>4193</v>
      </c>
      <c r="H41" s="31">
        <f>F41+G41</f>
        <v>8398</v>
      </c>
      <c r="I41" s="256">
        <f t="shared" si="15"/>
        <v>23.93742621015349</v>
      </c>
      <c r="L41" s="4" t="s">
        <v>20</v>
      </c>
      <c r="M41" s="29">
        <v>487369</v>
      </c>
      <c r="N41" s="36">
        <v>442075</v>
      </c>
      <c r="O41" s="33">
        <f>M41+N41</f>
        <v>929444</v>
      </c>
      <c r="P41" s="34">
        <v>726</v>
      </c>
      <c r="Q41" s="35">
        <f>O41+P41</f>
        <v>930170</v>
      </c>
      <c r="R41" s="29">
        <v>623667</v>
      </c>
      <c r="S41" s="36">
        <v>584914</v>
      </c>
      <c r="T41" s="33">
        <f>R41+S41</f>
        <v>1208581</v>
      </c>
      <c r="U41" s="34">
        <v>733</v>
      </c>
      <c r="V41" s="31">
        <f>T41+U41</f>
        <v>1209314</v>
      </c>
      <c r="W41" s="256">
        <f t="shared" si="16"/>
        <v>30.009998172377085</v>
      </c>
    </row>
    <row r="42" spans="2:23" ht="14.25" thickBot="1" thickTop="1">
      <c r="B42" s="44" t="s">
        <v>21</v>
      </c>
      <c r="C42" s="40">
        <f aca="true" t="shared" si="19" ref="C42:H42">C41+C40+C39</f>
        <v>10225</v>
      </c>
      <c r="D42" s="41">
        <f t="shared" si="19"/>
        <v>10055</v>
      </c>
      <c r="E42" s="42">
        <f t="shared" si="19"/>
        <v>20280</v>
      </c>
      <c r="F42" s="40">
        <f t="shared" si="19"/>
        <v>14640</v>
      </c>
      <c r="G42" s="41">
        <f t="shared" si="19"/>
        <v>14605</v>
      </c>
      <c r="H42" s="42">
        <f t="shared" si="19"/>
        <v>29245</v>
      </c>
      <c r="I42" s="257">
        <f>IF(E42=0,0,((H42/E42)-1)*100)</f>
        <v>44.20611439842208</v>
      </c>
      <c r="J42" s="99"/>
      <c r="L42" s="44" t="s">
        <v>21</v>
      </c>
      <c r="M42" s="40">
        <f aca="true" t="shared" si="20" ref="M42:V42">M41+M40+M39</f>
        <v>1518707</v>
      </c>
      <c r="N42" s="41">
        <f t="shared" si="20"/>
        <v>1405475</v>
      </c>
      <c r="O42" s="40">
        <f t="shared" si="20"/>
        <v>2924182</v>
      </c>
      <c r="P42" s="40">
        <f t="shared" si="20"/>
        <v>2308</v>
      </c>
      <c r="Q42" s="40">
        <f t="shared" si="20"/>
        <v>2926490</v>
      </c>
      <c r="R42" s="40">
        <f t="shared" si="20"/>
        <v>2151332</v>
      </c>
      <c r="S42" s="41">
        <f t="shared" si="20"/>
        <v>2018634</v>
      </c>
      <c r="T42" s="40">
        <f t="shared" si="20"/>
        <v>4169966</v>
      </c>
      <c r="U42" s="40">
        <f t="shared" si="20"/>
        <v>2062</v>
      </c>
      <c r="V42" s="42">
        <f t="shared" si="20"/>
        <v>4172028</v>
      </c>
      <c r="W42" s="257">
        <f>IF(Q42=0,0,((V42/Q42)-1)*100)</f>
        <v>42.560815174492305</v>
      </c>
    </row>
    <row r="43" spans="2:23" ht="13.5" thickTop="1">
      <c r="B43" s="4" t="s">
        <v>35</v>
      </c>
      <c r="C43" s="29">
        <v>3333</v>
      </c>
      <c r="D43" s="30">
        <v>3313</v>
      </c>
      <c r="E43" s="35">
        <f>C43+D43</f>
        <v>6646</v>
      </c>
      <c r="F43" s="29">
        <v>4030</v>
      </c>
      <c r="G43" s="30">
        <v>4037</v>
      </c>
      <c r="H43" s="31">
        <f>F43+G43</f>
        <v>8067</v>
      </c>
      <c r="I43" s="256">
        <f t="shared" si="15"/>
        <v>21.38128197411977</v>
      </c>
      <c r="L43" s="4" t="s">
        <v>22</v>
      </c>
      <c r="M43" s="29">
        <v>430186</v>
      </c>
      <c r="N43" s="36">
        <v>429682</v>
      </c>
      <c r="O43" s="33">
        <f>M43+N43</f>
        <v>859868</v>
      </c>
      <c r="P43" s="34">
        <v>379</v>
      </c>
      <c r="Q43" s="35">
        <f>O43+P43</f>
        <v>860247</v>
      </c>
      <c r="R43" s="29">
        <v>574265</v>
      </c>
      <c r="S43" s="36">
        <v>555753</v>
      </c>
      <c r="T43" s="33">
        <f>R43+S43</f>
        <v>1130018</v>
      </c>
      <c r="U43" s="34">
        <v>755</v>
      </c>
      <c r="V43" s="31">
        <f>T43+U43</f>
        <v>1130773</v>
      </c>
      <c r="W43" s="256">
        <f t="shared" si="16"/>
        <v>31.44747961922565</v>
      </c>
    </row>
    <row r="44" spans="2:23" ht="12.75">
      <c r="B44" s="4" t="s">
        <v>23</v>
      </c>
      <c r="C44" s="29">
        <v>2979</v>
      </c>
      <c r="D44" s="30">
        <v>2949</v>
      </c>
      <c r="E44" s="35">
        <f>C44+D44</f>
        <v>5928</v>
      </c>
      <c r="F44" s="29">
        <v>3732</v>
      </c>
      <c r="G44" s="30">
        <v>3735</v>
      </c>
      <c r="H44" s="31">
        <f>F44+G44</f>
        <v>7467</v>
      </c>
      <c r="I44" s="256">
        <f aca="true" t="shared" si="21" ref="I44:I52">IF(E44=0,0,((H44/E44)-1)*100)</f>
        <v>25.96153846153846</v>
      </c>
      <c r="L44" s="4" t="s">
        <v>23</v>
      </c>
      <c r="M44" s="29">
        <v>379716</v>
      </c>
      <c r="N44" s="36">
        <v>349825</v>
      </c>
      <c r="O44" s="33">
        <f>M44+N44</f>
        <v>729541</v>
      </c>
      <c r="P44" s="34">
        <v>786</v>
      </c>
      <c r="Q44" s="35">
        <f>O44+P44</f>
        <v>730327</v>
      </c>
      <c r="R44" s="29">
        <v>505263</v>
      </c>
      <c r="S44" s="36">
        <v>479722</v>
      </c>
      <c r="T44" s="33">
        <f>R44+S44</f>
        <v>984985</v>
      </c>
      <c r="U44" s="34">
        <v>296</v>
      </c>
      <c r="V44" s="31">
        <f>T44+U44</f>
        <v>985281</v>
      </c>
      <c r="W44" s="256">
        <f t="shared" si="16"/>
        <v>34.909567905883264</v>
      </c>
    </row>
    <row r="45" spans="2:23" ht="13.5" thickBot="1">
      <c r="B45" s="4" t="s">
        <v>24</v>
      </c>
      <c r="C45" s="29">
        <v>2738</v>
      </c>
      <c r="D45" s="30">
        <v>2710</v>
      </c>
      <c r="E45" s="35">
        <f>C45+D45</f>
        <v>5448</v>
      </c>
      <c r="F45" s="29">
        <v>3360</v>
      </c>
      <c r="G45" s="30">
        <v>3370</v>
      </c>
      <c r="H45" s="31">
        <f>F45+G45</f>
        <v>6730</v>
      </c>
      <c r="I45" s="256">
        <f t="shared" si="21"/>
        <v>23.5315712187959</v>
      </c>
      <c r="L45" s="4" t="s">
        <v>24</v>
      </c>
      <c r="M45" s="29">
        <v>339958</v>
      </c>
      <c r="N45" s="36">
        <v>351060</v>
      </c>
      <c r="O45" s="51">
        <f>M45+N45</f>
        <v>691018</v>
      </c>
      <c r="P45" s="52">
        <v>296</v>
      </c>
      <c r="Q45" s="35">
        <f>O45+P45</f>
        <v>691314</v>
      </c>
      <c r="R45" s="29">
        <v>453957</v>
      </c>
      <c r="S45" s="36">
        <v>460679</v>
      </c>
      <c r="T45" s="51">
        <f>R45+S45</f>
        <v>914636</v>
      </c>
      <c r="U45" s="52">
        <v>791</v>
      </c>
      <c r="V45" s="31">
        <f>T45+U45</f>
        <v>915427</v>
      </c>
      <c r="W45" s="256">
        <f t="shared" si="16"/>
        <v>32.41840900083031</v>
      </c>
    </row>
    <row r="46" spans="2:23" ht="17.25" thickBot="1" thickTop="1">
      <c r="B46" s="44" t="s">
        <v>25</v>
      </c>
      <c r="C46" s="40">
        <f aca="true" t="shared" si="22" ref="C46:H46">+C43+C44+C45</f>
        <v>9050</v>
      </c>
      <c r="D46" s="53">
        <f t="shared" si="22"/>
        <v>8972</v>
      </c>
      <c r="E46" s="49">
        <f t="shared" si="22"/>
        <v>18022</v>
      </c>
      <c r="F46" s="40">
        <f t="shared" si="22"/>
        <v>11122</v>
      </c>
      <c r="G46" s="53">
        <f t="shared" si="22"/>
        <v>11142</v>
      </c>
      <c r="H46" s="53">
        <f t="shared" si="22"/>
        <v>22264</v>
      </c>
      <c r="I46" s="257">
        <f t="shared" si="21"/>
        <v>23.537898124514477</v>
      </c>
      <c r="J46" s="55"/>
      <c r="K46" s="56"/>
      <c r="L46" s="44" t="s">
        <v>25</v>
      </c>
      <c r="M46" s="45">
        <f aca="true" t="shared" si="23" ref="M46:V46">+M43+M44+M45</f>
        <v>1149860</v>
      </c>
      <c r="N46" s="45">
        <f t="shared" si="23"/>
        <v>1130567</v>
      </c>
      <c r="O46" s="47">
        <f t="shared" si="23"/>
        <v>2280427</v>
      </c>
      <c r="P46" s="47">
        <f t="shared" si="23"/>
        <v>1461</v>
      </c>
      <c r="Q46" s="47">
        <f t="shared" si="23"/>
        <v>2281888</v>
      </c>
      <c r="R46" s="45">
        <f t="shared" si="23"/>
        <v>1533485</v>
      </c>
      <c r="S46" s="45">
        <f t="shared" si="23"/>
        <v>1496154</v>
      </c>
      <c r="T46" s="47">
        <f t="shared" si="23"/>
        <v>3029639</v>
      </c>
      <c r="U46" s="47">
        <f t="shared" si="23"/>
        <v>1842</v>
      </c>
      <c r="V46" s="47">
        <f t="shared" si="23"/>
        <v>3031481</v>
      </c>
      <c r="W46" s="257">
        <f t="shared" si="16"/>
        <v>32.849684121218914</v>
      </c>
    </row>
    <row r="47" spans="2:23" ht="13.5" thickTop="1">
      <c r="B47" s="4" t="s">
        <v>26</v>
      </c>
      <c r="C47" s="29">
        <v>2963</v>
      </c>
      <c r="D47" s="30">
        <v>2931</v>
      </c>
      <c r="E47" s="67">
        <f>C47+D47</f>
        <v>5894</v>
      </c>
      <c r="F47" s="29">
        <v>3432</v>
      </c>
      <c r="G47" s="30">
        <v>3430</v>
      </c>
      <c r="H47" s="31">
        <f>F47+G47</f>
        <v>6862</v>
      </c>
      <c r="I47" s="256">
        <f t="shared" si="21"/>
        <v>16.4234815066169</v>
      </c>
      <c r="L47" s="4" t="s">
        <v>27</v>
      </c>
      <c r="M47" s="29">
        <v>438593</v>
      </c>
      <c r="N47" s="36">
        <v>445695</v>
      </c>
      <c r="O47" s="51">
        <f>+M47+N47</f>
        <v>884288</v>
      </c>
      <c r="P47" s="59">
        <v>1099</v>
      </c>
      <c r="Q47" s="35">
        <f>O47+P47</f>
        <v>885387</v>
      </c>
      <c r="R47" s="29">
        <f>485148-154</f>
        <v>484994</v>
      </c>
      <c r="S47" s="36">
        <v>496243</v>
      </c>
      <c r="T47" s="51">
        <f>+R47+S47</f>
        <v>981237</v>
      </c>
      <c r="U47" s="59">
        <v>1246</v>
      </c>
      <c r="V47" s="31">
        <f>+T47+U47</f>
        <v>982483</v>
      </c>
      <c r="W47" s="256">
        <f t="shared" si="16"/>
        <v>10.966503912978176</v>
      </c>
    </row>
    <row r="48" spans="2:23" ht="12.75">
      <c r="B48" s="4" t="s">
        <v>28</v>
      </c>
      <c r="C48" s="29">
        <v>3143</v>
      </c>
      <c r="D48" s="30">
        <v>3120</v>
      </c>
      <c r="E48" s="35">
        <f>C48+D48</f>
        <v>6263</v>
      </c>
      <c r="F48" s="29">
        <v>3589</v>
      </c>
      <c r="G48" s="30">
        <v>3588</v>
      </c>
      <c r="H48" s="31">
        <f>F48+G48</f>
        <v>7177</v>
      </c>
      <c r="I48" s="256">
        <f>IF(E48=0,0,((H48/E48)-1)*100)</f>
        <v>14.59364521794666</v>
      </c>
      <c r="L48" s="4" t="s">
        <v>28</v>
      </c>
      <c r="M48" s="29">
        <v>473526</v>
      </c>
      <c r="N48" s="36">
        <v>443841</v>
      </c>
      <c r="O48" s="51">
        <f>+M48+N48</f>
        <v>917367</v>
      </c>
      <c r="P48" s="34">
        <v>1765</v>
      </c>
      <c r="Q48" s="35">
        <f>O48+P48</f>
        <v>919132</v>
      </c>
      <c r="R48" s="29">
        <v>562623</v>
      </c>
      <c r="S48" s="36">
        <v>528456</v>
      </c>
      <c r="T48" s="51">
        <f>+R48+S48</f>
        <v>1091079</v>
      </c>
      <c r="U48" s="34">
        <v>2887</v>
      </c>
      <c r="V48" s="31">
        <f>+T48+U48</f>
        <v>1093966</v>
      </c>
      <c r="W48" s="256">
        <f>IF(Q48=0,0,((V48/Q48)-1)*100)</f>
        <v>19.021642158036055</v>
      </c>
    </row>
    <row r="49" spans="2:23" ht="13.5" thickBot="1">
      <c r="B49" s="4" t="s">
        <v>29</v>
      </c>
      <c r="C49" s="29">
        <v>2865</v>
      </c>
      <c r="D49" s="60">
        <v>2829</v>
      </c>
      <c r="E49" s="35">
        <f>C49+D49</f>
        <v>5694</v>
      </c>
      <c r="F49" s="29">
        <v>3255</v>
      </c>
      <c r="G49" s="60">
        <v>3288</v>
      </c>
      <c r="H49" s="31">
        <f>F49+G49</f>
        <v>6543</v>
      </c>
      <c r="I49" s="256">
        <f t="shared" si="21"/>
        <v>14.910432033719712</v>
      </c>
      <c r="J49" s="99"/>
      <c r="L49" s="4" t="s">
        <v>29</v>
      </c>
      <c r="M49" s="29">
        <v>387551</v>
      </c>
      <c r="N49" s="36">
        <v>385205</v>
      </c>
      <c r="O49" s="51">
        <f>+M49+N49</f>
        <v>772756</v>
      </c>
      <c r="P49" s="52">
        <v>432</v>
      </c>
      <c r="Q49" s="35">
        <f>O49+P49</f>
        <v>773188</v>
      </c>
      <c r="R49" s="29">
        <v>437149</v>
      </c>
      <c r="S49" s="36">
        <v>435133</v>
      </c>
      <c r="T49" s="51">
        <f>+R49+S49</f>
        <v>872282</v>
      </c>
      <c r="U49" s="52">
        <v>403</v>
      </c>
      <c r="V49" s="31">
        <f>+T49+U49</f>
        <v>872685</v>
      </c>
      <c r="W49" s="256">
        <f t="shared" si="16"/>
        <v>12.868409752867361</v>
      </c>
    </row>
    <row r="50" spans="2:23" ht="14.25" thickBot="1" thickTop="1">
      <c r="B50" s="39" t="s">
        <v>30</v>
      </c>
      <c r="C50" s="40">
        <f aca="true" t="shared" si="24" ref="C50:H50">+C47+C48+C49</f>
        <v>8971</v>
      </c>
      <c r="D50" s="41">
        <f t="shared" si="24"/>
        <v>8880</v>
      </c>
      <c r="E50" s="40">
        <f t="shared" si="24"/>
        <v>17851</v>
      </c>
      <c r="F50" s="40">
        <f t="shared" si="24"/>
        <v>10276</v>
      </c>
      <c r="G50" s="41">
        <f t="shared" si="24"/>
        <v>10306</v>
      </c>
      <c r="H50" s="40">
        <f t="shared" si="24"/>
        <v>20582</v>
      </c>
      <c r="I50" s="257">
        <f t="shared" si="21"/>
        <v>15.298862808806234</v>
      </c>
      <c r="L50" s="39" t="s">
        <v>30</v>
      </c>
      <c r="M50" s="40">
        <f aca="true" t="shared" si="25" ref="M50:V50">+M47+M48+M49</f>
        <v>1299670</v>
      </c>
      <c r="N50" s="41">
        <f t="shared" si="25"/>
        <v>1274741</v>
      </c>
      <c r="O50" s="40">
        <f t="shared" si="25"/>
        <v>2574411</v>
      </c>
      <c r="P50" s="40">
        <f t="shared" si="25"/>
        <v>3296</v>
      </c>
      <c r="Q50" s="40">
        <f t="shared" si="25"/>
        <v>2577707</v>
      </c>
      <c r="R50" s="40">
        <f t="shared" si="25"/>
        <v>1484766</v>
      </c>
      <c r="S50" s="41">
        <f t="shared" si="25"/>
        <v>1459832</v>
      </c>
      <c r="T50" s="40">
        <f t="shared" si="25"/>
        <v>2944598</v>
      </c>
      <c r="U50" s="40">
        <f t="shared" si="25"/>
        <v>4536</v>
      </c>
      <c r="V50" s="40">
        <f t="shared" si="25"/>
        <v>2949134</v>
      </c>
      <c r="W50" s="257">
        <f t="shared" si="16"/>
        <v>14.409201666442307</v>
      </c>
    </row>
    <row r="51" spans="2:23" ht="14.25" thickBot="1" thickTop="1">
      <c r="B51" s="39" t="s">
        <v>66</v>
      </c>
      <c r="C51" s="40">
        <f aca="true" t="shared" si="26" ref="C51:H51">+C42+C46+C50</f>
        <v>28246</v>
      </c>
      <c r="D51" s="41">
        <f t="shared" si="26"/>
        <v>27907</v>
      </c>
      <c r="E51" s="42">
        <f t="shared" si="26"/>
        <v>56153</v>
      </c>
      <c r="F51" s="40">
        <f t="shared" si="26"/>
        <v>36038</v>
      </c>
      <c r="G51" s="41">
        <f t="shared" si="26"/>
        <v>36053</v>
      </c>
      <c r="H51" s="42">
        <f t="shared" si="26"/>
        <v>72091</v>
      </c>
      <c r="I51" s="257">
        <f t="shared" si="21"/>
        <v>28.383167417591217</v>
      </c>
      <c r="J51" s="99"/>
      <c r="L51" s="39" t="s">
        <v>66</v>
      </c>
      <c r="M51" s="40">
        <f aca="true" t="shared" si="27" ref="M51:V51">+M42+M46+M50</f>
        <v>3968237</v>
      </c>
      <c r="N51" s="41">
        <f t="shared" si="27"/>
        <v>3810783</v>
      </c>
      <c r="O51" s="40">
        <f t="shared" si="27"/>
        <v>7779020</v>
      </c>
      <c r="P51" s="40">
        <f t="shared" si="27"/>
        <v>7065</v>
      </c>
      <c r="Q51" s="40">
        <f t="shared" si="27"/>
        <v>7786085</v>
      </c>
      <c r="R51" s="40">
        <f t="shared" si="27"/>
        <v>5169583</v>
      </c>
      <c r="S51" s="41">
        <f t="shared" si="27"/>
        <v>4974620</v>
      </c>
      <c r="T51" s="40">
        <f t="shared" si="27"/>
        <v>10144203</v>
      </c>
      <c r="U51" s="40">
        <f t="shared" si="27"/>
        <v>8440</v>
      </c>
      <c r="V51" s="42">
        <f t="shared" si="27"/>
        <v>10152643</v>
      </c>
      <c r="W51" s="257">
        <f t="shared" si="16"/>
        <v>30.394710563781402</v>
      </c>
    </row>
    <row r="52" spans="2:23" ht="14.25" thickBot="1" thickTop="1">
      <c r="B52" s="39" t="s">
        <v>9</v>
      </c>
      <c r="C52" s="40">
        <f aca="true" t="shared" si="28" ref="C52:H52">+C38+C42+C46+C50</f>
        <v>38050</v>
      </c>
      <c r="D52" s="41">
        <f t="shared" si="28"/>
        <v>37531</v>
      </c>
      <c r="E52" s="40">
        <f t="shared" si="28"/>
        <v>75581</v>
      </c>
      <c r="F52" s="40">
        <f t="shared" si="28"/>
        <v>49482</v>
      </c>
      <c r="G52" s="41">
        <f t="shared" si="28"/>
        <v>49386</v>
      </c>
      <c r="H52" s="40">
        <f t="shared" si="28"/>
        <v>98868</v>
      </c>
      <c r="I52" s="257">
        <f t="shared" si="21"/>
        <v>30.81065347111047</v>
      </c>
      <c r="L52" s="39" t="s">
        <v>9</v>
      </c>
      <c r="M52" s="40">
        <f aca="true" t="shared" si="29" ref="M52:V52">+M38+M42+M46+M50</f>
        <v>5240682</v>
      </c>
      <c r="N52" s="41">
        <f t="shared" si="29"/>
        <v>5164740</v>
      </c>
      <c r="O52" s="40">
        <f t="shared" si="29"/>
        <v>10405422</v>
      </c>
      <c r="P52" s="40">
        <f t="shared" si="29"/>
        <v>8936</v>
      </c>
      <c r="Q52" s="40">
        <f t="shared" si="29"/>
        <v>10414358</v>
      </c>
      <c r="R52" s="40">
        <f t="shared" si="29"/>
        <v>6881674</v>
      </c>
      <c r="S52" s="41">
        <f t="shared" si="29"/>
        <v>6788546</v>
      </c>
      <c r="T52" s="40">
        <f t="shared" si="29"/>
        <v>13670220</v>
      </c>
      <c r="U52" s="40">
        <f t="shared" si="29"/>
        <v>10736</v>
      </c>
      <c r="V52" s="40">
        <f t="shared" si="29"/>
        <v>13680956</v>
      </c>
      <c r="W52" s="257">
        <f t="shared" si="16"/>
        <v>31.366292574155796</v>
      </c>
    </row>
    <row r="53" spans="2:19" ht="13.5" thickTop="1">
      <c r="B53" s="63" t="s">
        <v>64</v>
      </c>
      <c r="C53" s="1"/>
      <c r="D53" s="1"/>
      <c r="E53" s="1"/>
      <c r="F53" s="1"/>
      <c r="G53" s="1"/>
      <c r="H53" s="1"/>
      <c r="I53" s="119"/>
      <c r="L53" s="63" t="s">
        <v>64</v>
      </c>
      <c r="S53" s="99"/>
    </row>
    <row r="54" spans="2:23" ht="12.75">
      <c r="B54" s="336" t="s">
        <v>36</v>
      </c>
      <c r="C54" s="336"/>
      <c r="D54" s="336"/>
      <c r="E54" s="336"/>
      <c r="F54" s="336"/>
      <c r="G54" s="336"/>
      <c r="H54" s="336"/>
      <c r="I54" s="336"/>
      <c r="L54" s="336" t="s">
        <v>37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</row>
    <row r="55" spans="2:23" ht="15.75">
      <c r="B55" s="337" t="s">
        <v>38</v>
      </c>
      <c r="C55" s="337"/>
      <c r="D55" s="337"/>
      <c r="E55" s="337"/>
      <c r="F55" s="337"/>
      <c r="G55" s="337"/>
      <c r="H55" s="337"/>
      <c r="I55" s="337"/>
      <c r="L55" s="337" t="s">
        <v>39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spans="2:9" ht="13.5" thickBot="1">
      <c r="B56" s="1"/>
      <c r="C56" s="1"/>
      <c r="D56" s="1"/>
      <c r="E56" s="1"/>
      <c r="F56" s="1"/>
      <c r="G56" s="1"/>
      <c r="H56" s="1"/>
      <c r="I56" s="119"/>
    </row>
    <row r="57" spans="2:23" ht="17.25" thickBot="1" thickTop="1">
      <c r="B57" s="3"/>
      <c r="C57" s="341" t="s">
        <v>67</v>
      </c>
      <c r="D57" s="342"/>
      <c r="E57" s="343"/>
      <c r="F57" s="344" t="s">
        <v>68</v>
      </c>
      <c r="G57" s="345"/>
      <c r="H57" s="346"/>
      <c r="I57" s="239" t="s">
        <v>4</v>
      </c>
      <c r="L57" s="3"/>
      <c r="M57" s="347" t="s">
        <v>67</v>
      </c>
      <c r="N57" s="348"/>
      <c r="O57" s="348"/>
      <c r="P57" s="348"/>
      <c r="Q57" s="349"/>
      <c r="R57" s="338" t="s">
        <v>68</v>
      </c>
      <c r="S57" s="339"/>
      <c r="T57" s="339"/>
      <c r="U57" s="339"/>
      <c r="V57" s="340"/>
      <c r="W57" s="239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0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0" t="s">
        <v>6</v>
      </c>
    </row>
    <row r="59" spans="2:23" ht="13.5" thickBot="1">
      <c r="B59" s="12" t="s">
        <v>40</v>
      </c>
      <c r="C59" s="13" t="s">
        <v>7</v>
      </c>
      <c r="D59" s="230" t="s">
        <v>8</v>
      </c>
      <c r="E59" s="14" t="s">
        <v>9</v>
      </c>
      <c r="F59" s="13" t="s">
        <v>7</v>
      </c>
      <c r="G59" s="230" t="s">
        <v>8</v>
      </c>
      <c r="H59" s="14" t="s">
        <v>9</v>
      </c>
      <c r="I59" s="241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1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4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07"/>
    </row>
    <row r="61" spans="2:23" ht="12.75">
      <c r="B61" s="4" t="s">
        <v>14</v>
      </c>
      <c r="C61" s="29">
        <f aca="true" t="shared" si="30" ref="C61:H63">+C9+C35</f>
        <v>11397</v>
      </c>
      <c r="D61" s="30">
        <f t="shared" si="30"/>
        <v>11395</v>
      </c>
      <c r="E61" s="35">
        <f t="shared" si="30"/>
        <v>22792</v>
      </c>
      <c r="F61" s="29">
        <f t="shared" si="30"/>
        <v>13110</v>
      </c>
      <c r="G61" s="30">
        <f t="shared" si="30"/>
        <v>13088</v>
      </c>
      <c r="H61" s="31">
        <f t="shared" si="30"/>
        <v>26198</v>
      </c>
      <c r="I61" s="256">
        <f aca="true" t="shared" si="31" ref="I61:I69">IF(E61=0,0,((H61/E61)-1)*100)</f>
        <v>14.943839943839944</v>
      </c>
      <c r="L61" s="4" t="s">
        <v>14</v>
      </c>
      <c r="M61" s="29">
        <f aca="true" t="shared" si="32" ref="M61:N63">+M9+M35</f>
        <v>1813610</v>
      </c>
      <c r="N61" s="36">
        <f t="shared" si="32"/>
        <v>1768259</v>
      </c>
      <c r="O61" s="33">
        <f>M61+N61</f>
        <v>3581869</v>
      </c>
      <c r="P61" s="34">
        <f>+P9+P35</f>
        <v>148591</v>
      </c>
      <c r="Q61" s="35">
        <f>O61+P61</f>
        <v>3730460</v>
      </c>
      <c r="R61" s="29">
        <f aca="true" t="shared" si="33" ref="R61:S63">+R9+R35</f>
        <v>1874627</v>
      </c>
      <c r="S61" s="36">
        <f t="shared" si="33"/>
        <v>1955905</v>
      </c>
      <c r="T61" s="33">
        <f>R61+S61</f>
        <v>3830532</v>
      </c>
      <c r="U61" s="34">
        <f>+U9+U35</f>
        <v>147659</v>
      </c>
      <c r="V61" s="31">
        <f>T61+U61</f>
        <v>3978191</v>
      </c>
      <c r="W61" s="256">
        <f aca="true" t="shared" si="34" ref="W61:W78">IF(Q61=0,0,((V61/Q61)-1)*100)</f>
        <v>6.640762801370337</v>
      </c>
    </row>
    <row r="62" spans="2:23" ht="12.75">
      <c r="B62" s="4" t="s">
        <v>15</v>
      </c>
      <c r="C62" s="29">
        <f t="shared" si="30"/>
        <v>11599</v>
      </c>
      <c r="D62" s="30">
        <f t="shared" si="30"/>
        <v>11599</v>
      </c>
      <c r="E62" s="35">
        <f t="shared" si="30"/>
        <v>23198</v>
      </c>
      <c r="F62" s="29">
        <f t="shared" si="30"/>
        <v>13105</v>
      </c>
      <c r="G62" s="30">
        <f t="shared" si="30"/>
        <v>13104</v>
      </c>
      <c r="H62" s="31">
        <f t="shared" si="30"/>
        <v>26209</v>
      </c>
      <c r="I62" s="256">
        <f t="shared" si="31"/>
        <v>12.979567204069319</v>
      </c>
      <c r="L62" s="4" t="s">
        <v>15</v>
      </c>
      <c r="M62" s="29">
        <f t="shared" si="32"/>
        <v>1884658</v>
      </c>
      <c r="N62" s="36">
        <f t="shared" si="32"/>
        <v>1807097</v>
      </c>
      <c r="O62" s="33">
        <f>M62+N62</f>
        <v>3691755</v>
      </c>
      <c r="P62" s="34">
        <f>+P10+P36</f>
        <v>128288</v>
      </c>
      <c r="Q62" s="35">
        <f>O62+P62</f>
        <v>3820043</v>
      </c>
      <c r="R62" s="29">
        <f t="shared" si="33"/>
        <v>1724939</v>
      </c>
      <c r="S62" s="36">
        <f t="shared" si="33"/>
        <v>1623015</v>
      </c>
      <c r="T62" s="33">
        <f>R62+S62</f>
        <v>3347954</v>
      </c>
      <c r="U62" s="34">
        <f>+U10+U36</f>
        <v>120554</v>
      </c>
      <c r="V62" s="31">
        <f>T62+U62</f>
        <v>3468508</v>
      </c>
      <c r="W62" s="256">
        <f t="shared" si="34"/>
        <v>-9.202383323957353</v>
      </c>
    </row>
    <row r="63" spans="2:23" ht="13.5" thickBot="1">
      <c r="B63" s="12" t="s">
        <v>16</v>
      </c>
      <c r="C63" s="37">
        <f t="shared" si="30"/>
        <v>12510</v>
      </c>
      <c r="D63" s="38">
        <f t="shared" si="30"/>
        <v>12508</v>
      </c>
      <c r="E63" s="64">
        <f t="shared" si="30"/>
        <v>25018</v>
      </c>
      <c r="F63" s="37">
        <f t="shared" si="30"/>
        <v>14822</v>
      </c>
      <c r="G63" s="38">
        <f t="shared" si="30"/>
        <v>14805</v>
      </c>
      <c r="H63" s="31">
        <f t="shared" si="30"/>
        <v>29627</v>
      </c>
      <c r="I63" s="256">
        <f t="shared" si="31"/>
        <v>18.422735630346153</v>
      </c>
      <c r="L63" s="12" t="s">
        <v>16</v>
      </c>
      <c r="M63" s="29">
        <f t="shared" si="32"/>
        <v>2082660</v>
      </c>
      <c r="N63" s="36">
        <f t="shared" si="32"/>
        <v>2007857</v>
      </c>
      <c r="O63" s="33">
        <f>M63+N63</f>
        <v>4090517</v>
      </c>
      <c r="P63" s="34">
        <f>+P11+P37</f>
        <v>128824</v>
      </c>
      <c r="Q63" s="35">
        <f>O63+P63</f>
        <v>4219341</v>
      </c>
      <c r="R63" s="29">
        <f t="shared" si="33"/>
        <v>2220658</v>
      </c>
      <c r="S63" s="36">
        <f t="shared" si="33"/>
        <v>2087986</v>
      </c>
      <c r="T63" s="33">
        <f>R63+S63</f>
        <v>4308644</v>
      </c>
      <c r="U63" s="34">
        <f>+U11+U37</f>
        <v>124820</v>
      </c>
      <c r="V63" s="31">
        <f>T63+U63</f>
        <v>4433464</v>
      </c>
      <c r="W63" s="256">
        <f t="shared" si="34"/>
        <v>5.074797225443506</v>
      </c>
    </row>
    <row r="64" spans="2:23" ht="14.25" thickBot="1" thickTop="1">
      <c r="B64" s="39" t="s">
        <v>17</v>
      </c>
      <c r="C64" s="40">
        <f>C63+C61+C62</f>
        <v>35506</v>
      </c>
      <c r="D64" s="41">
        <f>D63+D61+D62</f>
        <v>35502</v>
      </c>
      <c r="E64" s="43">
        <f>+E61+E62+E63</f>
        <v>71008</v>
      </c>
      <c r="F64" s="40">
        <f>F63+F61+F62</f>
        <v>41037</v>
      </c>
      <c r="G64" s="41">
        <f>G63+G61+G62</f>
        <v>40997</v>
      </c>
      <c r="H64" s="42">
        <f>+H61+H62+H63</f>
        <v>82034</v>
      </c>
      <c r="I64" s="257">
        <f t="shared" si="31"/>
        <v>15.527827850383048</v>
      </c>
      <c r="J64" s="99"/>
      <c r="L64" s="39" t="s">
        <v>17</v>
      </c>
      <c r="M64" s="40">
        <f aca="true" t="shared" si="35" ref="M64:V64">+M61+M62+M63</f>
        <v>5780928</v>
      </c>
      <c r="N64" s="41">
        <f t="shared" si="35"/>
        <v>5583213</v>
      </c>
      <c r="O64" s="40">
        <f t="shared" si="35"/>
        <v>11364141</v>
      </c>
      <c r="P64" s="40">
        <f t="shared" si="35"/>
        <v>405703</v>
      </c>
      <c r="Q64" s="40">
        <f t="shared" si="35"/>
        <v>11769844</v>
      </c>
      <c r="R64" s="40">
        <f t="shared" si="35"/>
        <v>5820224</v>
      </c>
      <c r="S64" s="41">
        <f t="shared" si="35"/>
        <v>5666906</v>
      </c>
      <c r="T64" s="40">
        <f t="shared" si="35"/>
        <v>11487130</v>
      </c>
      <c r="U64" s="40">
        <f t="shared" si="35"/>
        <v>393033</v>
      </c>
      <c r="V64" s="42">
        <f t="shared" si="35"/>
        <v>11880163</v>
      </c>
      <c r="W64" s="257">
        <f t="shared" si="34"/>
        <v>0.9373021426622108</v>
      </c>
    </row>
    <row r="65" spans="2:23" ht="13.5" thickTop="1">
      <c r="B65" s="4" t="s">
        <v>18</v>
      </c>
      <c r="C65" s="29">
        <f aca="true" t="shared" si="36" ref="C65:H66">+C13+C39</f>
        <v>12658</v>
      </c>
      <c r="D65" s="30">
        <f t="shared" si="36"/>
        <v>12659</v>
      </c>
      <c r="E65" s="35">
        <f t="shared" si="36"/>
        <v>25317</v>
      </c>
      <c r="F65" s="29">
        <f t="shared" si="36"/>
        <v>15513</v>
      </c>
      <c r="G65" s="30">
        <f t="shared" si="36"/>
        <v>15524</v>
      </c>
      <c r="H65" s="31">
        <f t="shared" si="36"/>
        <v>31037</v>
      </c>
      <c r="I65" s="256">
        <f t="shared" si="31"/>
        <v>22.593514239443845</v>
      </c>
      <c r="J65" s="99"/>
      <c r="L65" s="4" t="s">
        <v>18</v>
      </c>
      <c r="M65" s="29">
        <f aca="true" t="shared" si="37" ref="M65:N67">+M13+M39</f>
        <v>2181152</v>
      </c>
      <c r="N65" s="36">
        <f t="shared" si="37"/>
        <v>2116126</v>
      </c>
      <c r="O65" s="33">
        <f>M65+N65</f>
        <v>4297278</v>
      </c>
      <c r="P65" s="34">
        <f>+P13+P39</f>
        <v>126755</v>
      </c>
      <c r="Q65" s="35">
        <f>O65+P65</f>
        <v>4424033</v>
      </c>
      <c r="R65" s="29">
        <f aca="true" t="shared" si="38" ref="R65:S67">+R13+R39</f>
        <v>2469928</v>
      </c>
      <c r="S65" s="36">
        <f t="shared" si="38"/>
        <v>2395587</v>
      </c>
      <c r="T65" s="33">
        <f>R65+S65</f>
        <v>4865515</v>
      </c>
      <c r="U65" s="34">
        <f>+U13+U39</f>
        <v>129579</v>
      </c>
      <c r="V65" s="31">
        <f>T65+U65</f>
        <v>4995094</v>
      </c>
      <c r="W65" s="256">
        <f t="shared" si="34"/>
        <v>12.908154166119456</v>
      </c>
    </row>
    <row r="66" spans="2:23" ht="12.75">
      <c r="B66" s="4" t="s">
        <v>19</v>
      </c>
      <c r="C66" s="29">
        <f t="shared" si="36"/>
        <v>11642</v>
      </c>
      <c r="D66" s="30">
        <f t="shared" si="36"/>
        <v>11649</v>
      </c>
      <c r="E66" s="35">
        <f t="shared" si="36"/>
        <v>23291</v>
      </c>
      <c r="F66" s="29">
        <f t="shared" si="36"/>
        <v>14407</v>
      </c>
      <c r="G66" s="30">
        <f t="shared" si="36"/>
        <v>14391</v>
      </c>
      <c r="H66" s="31">
        <f t="shared" si="36"/>
        <v>28798</v>
      </c>
      <c r="I66" s="256">
        <f>IF(E66=0,0,((H66/E66)-1)*100)</f>
        <v>23.6443261345584</v>
      </c>
      <c r="J66" s="99"/>
      <c r="L66" s="4" t="s">
        <v>19</v>
      </c>
      <c r="M66" s="29">
        <f t="shared" si="37"/>
        <v>2004693</v>
      </c>
      <c r="N66" s="36">
        <f t="shared" si="37"/>
        <v>2034227</v>
      </c>
      <c r="O66" s="33">
        <f>M66+N66</f>
        <v>4038920</v>
      </c>
      <c r="P66" s="34">
        <f>+P14+P40</f>
        <v>101550</v>
      </c>
      <c r="Q66" s="35">
        <f>O66+P66</f>
        <v>4140470</v>
      </c>
      <c r="R66" s="29">
        <f t="shared" si="38"/>
        <v>2325051</v>
      </c>
      <c r="S66" s="36">
        <f t="shared" si="38"/>
        <v>2344980</v>
      </c>
      <c r="T66" s="33">
        <f>R66+S66</f>
        <v>4670031</v>
      </c>
      <c r="U66" s="34">
        <f>+U14+U40</f>
        <v>109857</v>
      </c>
      <c r="V66" s="31">
        <f>T66+U66</f>
        <v>4779888</v>
      </c>
      <c r="W66" s="256">
        <f t="shared" si="34"/>
        <v>15.443126021925057</v>
      </c>
    </row>
    <row r="67" spans="2:23" ht="13.5" thickBot="1">
      <c r="B67" s="4" t="s">
        <v>20</v>
      </c>
      <c r="C67" s="29">
        <f>+C15+C41</f>
        <v>12755</v>
      </c>
      <c r="D67" s="30">
        <f>+D15+D41</f>
        <v>12757</v>
      </c>
      <c r="E67" s="69">
        <f>E15+E41</f>
        <v>25512</v>
      </c>
      <c r="F67" s="29">
        <f>+F15+F41</f>
        <v>14200</v>
      </c>
      <c r="G67" s="30">
        <f>+G15+G41</f>
        <v>14232</v>
      </c>
      <c r="H67" s="31">
        <f>+H15+H41</f>
        <v>28432</v>
      </c>
      <c r="I67" s="256">
        <f t="shared" si="31"/>
        <v>11.4455942301662</v>
      </c>
      <c r="J67" s="99"/>
      <c r="L67" s="4" t="s">
        <v>20</v>
      </c>
      <c r="M67" s="29">
        <f t="shared" si="37"/>
        <v>2056564</v>
      </c>
      <c r="N67" s="36">
        <f t="shared" si="37"/>
        <v>2126602</v>
      </c>
      <c r="O67" s="33">
        <f>M67+N67</f>
        <v>4183166</v>
      </c>
      <c r="P67" s="34">
        <f>+P15+P41</f>
        <v>126012</v>
      </c>
      <c r="Q67" s="35">
        <f>O67+P67</f>
        <v>4309178</v>
      </c>
      <c r="R67" s="29">
        <f t="shared" si="38"/>
        <v>2331933</v>
      </c>
      <c r="S67" s="36">
        <f t="shared" si="38"/>
        <v>2391356</v>
      </c>
      <c r="T67" s="33">
        <f>R67+S67</f>
        <v>4723289</v>
      </c>
      <c r="U67" s="34">
        <f>+U15+U41</f>
        <v>121054</v>
      </c>
      <c r="V67" s="31">
        <f>T67+U67</f>
        <v>4844343</v>
      </c>
      <c r="W67" s="256">
        <f t="shared" si="34"/>
        <v>12.419189924389284</v>
      </c>
    </row>
    <row r="68" spans="2:23" ht="14.25" thickBot="1" thickTop="1">
      <c r="B68" s="44" t="s">
        <v>21</v>
      </c>
      <c r="C68" s="40">
        <f aca="true" t="shared" si="39" ref="C68:H68">C67+C66+C65</f>
        <v>37055</v>
      </c>
      <c r="D68" s="41">
        <f t="shared" si="39"/>
        <v>37065</v>
      </c>
      <c r="E68" s="42">
        <f t="shared" si="39"/>
        <v>74120</v>
      </c>
      <c r="F68" s="40">
        <f t="shared" si="39"/>
        <v>44120</v>
      </c>
      <c r="G68" s="41">
        <f t="shared" si="39"/>
        <v>44147</v>
      </c>
      <c r="H68" s="42">
        <f t="shared" si="39"/>
        <v>88267</v>
      </c>
      <c r="I68" s="257">
        <f>IF(E68=0,0,((H68/E68)-1)*100)</f>
        <v>19.086616297895297</v>
      </c>
      <c r="J68" s="99"/>
      <c r="L68" s="44" t="s">
        <v>21</v>
      </c>
      <c r="M68" s="40">
        <f aca="true" t="shared" si="40" ref="M68:V68">M67+M66+M65</f>
        <v>6242409</v>
      </c>
      <c r="N68" s="41">
        <f t="shared" si="40"/>
        <v>6276955</v>
      </c>
      <c r="O68" s="40">
        <f t="shared" si="40"/>
        <v>12519364</v>
      </c>
      <c r="P68" s="40">
        <f t="shared" si="40"/>
        <v>354317</v>
      </c>
      <c r="Q68" s="40">
        <f t="shared" si="40"/>
        <v>12873681</v>
      </c>
      <c r="R68" s="40">
        <f t="shared" si="40"/>
        <v>7126912</v>
      </c>
      <c r="S68" s="41">
        <f t="shared" si="40"/>
        <v>7131923</v>
      </c>
      <c r="T68" s="40">
        <f t="shared" si="40"/>
        <v>14258835</v>
      </c>
      <c r="U68" s="40">
        <f t="shared" si="40"/>
        <v>360490</v>
      </c>
      <c r="V68" s="42">
        <f t="shared" si="40"/>
        <v>14619325</v>
      </c>
      <c r="W68" s="257">
        <f>IF(Q68=0,0,((V68/Q68)-1)*100)</f>
        <v>13.5597891543219</v>
      </c>
    </row>
    <row r="69" spans="2:23" ht="13.5" thickTop="1">
      <c r="B69" s="4" t="s">
        <v>22</v>
      </c>
      <c r="C69" s="29">
        <f aca="true" t="shared" si="41" ref="C69:H69">+C17+C43</f>
        <v>12441</v>
      </c>
      <c r="D69" s="30">
        <f t="shared" si="41"/>
        <v>12450</v>
      </c>
      <c r="E69" s="35">
        <f t="shared" si="41"/>
        <v>24891</v>
      </c>
      <c r="F69" s="29">
        <f t="shared" si="41"/>
        <v>13656</v>
      </c>
      <c r="G69" s="30">
        <f t="shared" si="41"/>
        <v>13647</v>
      </c>
      <c r="H69" s="31">
        <f t="shared" si="41"/>
        <v>27303</v>
      </c>
      <c r="I69" s="256">
        <f t="shared" si="31"/>
        <v>9.690249487766668</v>
      </c>
      <c r="L69" s="4" t="s">
        <v>22</v>
      </c>
      <c r="M69" s="29">
        <f aca="true" t="shared" si="42" ref="M69:N71">+M17+M43</f>
        <v>1926567</v>
      </c>
      <c r="N69" s="36">
        <f t="shared" si="42"/>
        <v>1950144</v>
      </c>
      <c r="O69" s="33">
        <f>M69+N69</f>
        <v>3876711</v>
      </c>
      <c r="P69" s="34">
        <f>+P17+P43</f>
        <v>129935</v>
      </c>
      <c r="Q69" s="35">
        <f>O69+P69</f>
        <v>4006646</v>
      </c>
      <c r="R69" s="29">
        <f aca="true" t="shared" si="43" ref="R69:S71">+R17+R43</f>
        <v>2248548</v>
      </c>
      <c r="S69" s="36">
        <f t="shared" si="43"/>
        <v>2272776</v>
      </c>
      <c r="T69" s="33">
        <f>R69+S69</f>
        <v>4521324</v>
      </c>
      <c r="U69" s="34">
        <f>+U17+U43</f>
        <v>103896</v>
      </c>
      <c r="V69" s="31">
        <f>T69+U69</f>
        <v>4625220</v>
      </c>
      <c r="W69" s="256">
        <f t="shared" si="34"/>
        <v>15.438698602272316</v>
      </c>
    </row>
    <row r="70" spans="2:23" ht="12.75">
      <c r="B70" s="4" t="s">
        <v>23</v>
      </c>
      <c r="C70" s="29">
        <f aca="true" t="shared" si="44" ref="C70:G71">+C18+C44</f>
        <v>11809</v>
      </c>
      <c r="D70" s="30">
        <f t="shared" si="44"/>
        <v>11803</v>
      </c>
      <c r="E70" s="35">
        <f t="shared" si="44"/>
        <v>23612</v>
      </c>
      <c r="F70" s="29">
        <f t="shared" si="44"/>
        <v>13202</v>
      </c>
      <c r="G70" s="30">
        <f t="shared" si="44"/>
        <v>13205</v>
      </c>
      <c r="H70" s="31">
        <f>F70+G70</f>
        <v>26407</v>
      </c>
      <c r="I70" s="256">
        <f aca="true" t="shared" si="45" ref="I70:I78">IF(E70=0,0,((H70/E70)-1)*100)</f>
        <v>11.837201423005261</v>
      </c>
      <c r="L70" s="4" t="s">
        <v>23</v>
      </c>
      <c r="M70" s="29">
        <f t="shared" si="42"/>
        <v>1723217</v>
      </c>
      <c r="N70" s="36">
        <f t="shared" si="42"/>
        <v>1762450</v>
      </c>
      <c r="O70" s="33">
        <f>M70+N70</f>
        <v>3485667</v>
      </c>
      <c r="P70" s="34">
        <f>+P18+P44</f>
        <v>131976</v>
      </c>
      <c r="Q70" s="35">
        <f>O70+P70</f>
        <v>3617643</v>
      </c>
      <c r="R70" s="29">
        <f t="shared" si="43"/>
        <v>2002441</v>
      </c>
      <c r="S70" s="36">
        <f t="shared" si="43"/>
        <v>2024699</v>
      </c>
      <c r="T70" s="33">
        <f>R70+S70</f>
        <v>4027140</v>
      </c>
      <c r="U70" s="34">
        <f>+U18+U44</f>
        <v>109379</v>
      </c>
      <c r="V70" s="31">
        <f>T70+U70</f>
        <v>4136519</v>
      </c>
      <c r="W70" s="256">
        <f t="shared" si="34"/>
        <v>14.342929913205914</v>
      </c>
    </row>
    <row r="71" spans="2:23" ht="13.5" thickBot="1">
      <c r="B71" s="4" t="s">
        <v>24</v>
      </c>
      <c r="C71" s="29">
        <f t="shared" si="44"/>
        <v>11241</v>
      </c>
      <c r="D71" s="30">
        <f t="shared" si="44"/>
        <v>11236</v>
      </c>
      <c r="E71" s="35">
        <f t="shared" si="44"/>
        <v>22477</v>
      </c>
      <c r="F71" s="29">
        <f t="shared" si="44"/>
        <v>12391</v>
      </c>
      <c r="G71" s="30">
        <f t="shared" si="44"/>
        <v>12410</v>
      </c>
      <c r="H71" s="31">
        <f>F71+G71</f>
        <v>24801</v>
      </c>
      <c r="I71" s="256">
        <f t="shared" si="45"/>
        <v>10.339458112737464</v>
      </c>
      <c r="L71" s="4" t="s">
        <v>24</v>
      </c>
      <c r="M71" s="29">
        <f t="shared" si="42"/>
        <v>1707754</v>
      </c>
      <c r="N71" s="36">
        <f t="shared" si="42"/>
        <v>1655244</v>
      </c>
      <c r="O71" s="51">
        <f>M71+N71</f>
        <v>3362998</v>
      </c>
      <c r="P71" s="52">
        <f>+P19+P45</f>
        <v>137650</v>
      </c>
      <c r="Q71" s="35">
        <f>O71+P71</f>
        <v>3500648</v>
      </c>
      <c r="R71" s="29">
        <f t="shared" si="43"/>
        <v>1990299</v>
      </c>
      <c r="S71" s="36">
        <f t="shared" si="43"/>
        <v>1928873</v>
      </c>
      <c r="T71" s="51">
        <f>R71+S71</f>
        <v>3919172</v>
      </c>
      <c r="U71" s="52">
        <f>+U19+U45</f>
        <v>114524</v>
      </c>
      <c r="V71" s="31">
        <f>T71+U71</f>
        <v>4033696</v>
      </c>
      <c r="W71" s="256">
        <f t="shared" si="34"/>
        <v>15.227123663961638</v>
      </c>
    </row>
    <row r="72" spans="2:23" ht="17.25" thickBot="1" thickTop="1">
      <c r="B72" s="44" t="s">
        <v>25</v>
      </c>
      <c r="C72" s="40">
        <f aca="true" t="shared" si="46" ref="C72:H72">+C69+C70+C71</f>
        <v>35491</v>
      </c>
      <c r="D72" s="53">
        <f t="shared" si="46"/>
        <v>35489</v>
      </c>
      <c r="E72" s="49">
        <f t="shared" si="46"/>
        <v>70980</v>
      </c>
      <c r="F72" s="40">
        <f t="shared" si="46"/>
        <v>39249</v>
      </c>
      <c r="G72" s="53">
        <f t="shared" si="46"/>
        <v>39262</v>
      </c>
      <c r="H72" s="53">
        <f t="shared" si="46"/>
        <v>78511</v>
      </c>
      <c r="I72" s="257">
        <f t="shared" si="45"/>
        <v>10.610030994646369</v>
      </c>
      <c r="J72" s="55"/>
      <c r="K72" s="56"/>
      <c r="L72" s="44" t="s">
        <v>25</v>
      </c>
      <c r="M72" s="45">
        <f aca="true" t="shared" si="47" ref="M72:V72">+M69+M70+M71</f>
        <v>5357538</v>
      </c>
      <c r="N72" s="45">
        <f t="shared" si="47"/>
        <v>5367838</v>
      </c>
      <c r="O72" s="47">
        <f t="shared" si="47"/>
        <v>10725376</v>
      </c>
      <c r="P72" s="47">
        <f t="shared" si="47"/>
        <v>399561</v>
      </c>
      <c r="Q72" s="47">
        <f t="shared" si="47"/>
        <v>11124937</v>
      </c>
      <c r="R72" s="45">
        <f t="shared" si="47"/>
        <v>6241288</v>
      </c>
      <c r="S72" s="45">
        <f t="shared" si="47"/>
        <v>6226348</v>
      </c>
      <c r="T72" s="47">
        <f t="shared" si="47"/>
        <v>12467636</v>
      </c>
      <c r="U72" s="47">
        <f t="shared" si="47"/>
        <v>327799</v>
      </c>
      <c r="V72" s="47">
        <f t="shared" si="47"/>
        <v>12795435</v>
      </c>
      <c r="W72" s="257">
        <f t="shared" si="34"/>
        <v>15.015797392830187</v>
      </c>
    </row>
    <row r="73" spans="2:23" ht="13.5" thickTop="1">
      <c r="B73" s="4" t="s">
        <v>27</v>
      </c>
      <c r="C73" s="29">
        <f aca="true" t="shared" si="48" ref="C73:G75">+C21+C47</f>
        <v>12130</v>
      </c>
      <c r="D73" s="30">
        <f t="shared" si="48"/>
        <v>12139</v>
      </c>
      <c r="E73" s="67">
        <f t="shared" si="48"/>
        <v>24269</v>
      </c>
      <c r="F73" s="29">
        <f t="shared" si="48"/>
        <v>12998</v>
      </c>
      <c r="G73" s="30">
        <f t="shared" si="48"/>
        <v>12996</v>
      </c>
      <c r="H73" s="31">
        <f>F73+G73</f>
        <v>25994</v>
      </c>
      <c r="I73" s="256">
        <f t="shared" si="45"/>
        <v>7.107833038032063</v>
      </c>
      <c r="J73" s="99"/>
      <c r="K73" s="99"/>
      <c r="L73" s="4" t="s">
        <v>27</v>
      </c>
      <c r="M73" s="29">
        <f aca="true" t="shared" si="49" ref="M73:N75">+M21+M47</f>
        <v>2029970</v>
      </c>
      <c r="N73" s="36">
        <f t="shared" si="49"/>
        <v>1980104</v>
      </c>
      <c r="O73" s="51">
        <f>M73+N73</f>
        <v>4010074</v>
      </c>
      <c r="P73" s="59">
        <f>+P21+P47</f>
        <v>153330</v>
      </c>
      <c r="Q73" s="35">
        <f>O73+P73</f>
        <v>4163404</v>
      </c>
      <c r="R73" s="29">
        <f aca="true" t="shared" si="50" ref="R73:S75">+R21+R47</f>
        <v>2159985</v>
      </c>
      <c r="S73" s="36">
        <f t="shared" si="50"/>
        <v>2132995</v>
      </c>
      <c r="T73" s="51">
        <f>R73+S73</f>
        <v>4292980</v>
      </c>
      <c r="U73" s="59">
        <f>+U21+U47</f>
        <v>125213</v>
      </c>
      <c r="V73" s="31">
        <f>T73+U73</f>
        <v>4418193</v>
      </c>
      <c r="W73" s="256">
        <f t="shared" si="34"/>
        <v>6.119727991806712</v>
      </c>
    </row>
    <row r="74" spans="2:23" ht="12.75">
      <c r="B74" s="4" t="s">
        <v>28</v>
      </c>
      <c r="C74" s="29">
        <f t="shared" si="48"/>
        <v>12346</v>
      </c>
      <c r="D74" s="30">
        <f t="shared" si="48"/>
        <v>12347</v>
      </c>
      <c r="E74" s="35">
        <f t="shared" si="48"/>
        <v>24693</v>
      </c>
      <c r="F74" s="29">
        <f t="shared" si="48"/>
        <v>13339</v>
      </c>
      <c r="G74" s="30">
        <f t="shared" si="48"/>
        <v>13330</v>
      </c>
      <c r="H74" s="31">
        <f>+H22+H48</f>
        <v>26669</v>
      </c>
      <c r="I74" s="256">
        <f>IF(E74=0,0,((H74/E74)-1)*100)</f>
        <v>8.002267849188026</v>
      </c>
      <c r="L74" s="4" t="s">
        <v>28</v>
      </c>
      <c r="M74" s="29">
        <f t="shared" si="49"/>
        <v>1978722</v>
      </c>
      <c r="N74" s="36">
        <f t="shared" si="49"/>
        <v>2014431</v>
      </c>
      <c r="O74" s="51">
        <f>+O22+O48</f>
        <v>3993153</v>
      </c>
      <c r="P74" s="34">
        <f>+P22+P48</f>
        <v>145728</v>
      </c>
      <c r="Q74" s="35">
        <f>+Q22+Q48</f>
        <v>4138881</v>
      </c>
      <c r="R74" s="29">
        <f t="shared" si="50"/>
        <v>2240937</v>
      </c>
      <c r="S74" s="36">
        <f t="shared" si="50"/>
        <v>2254819</v>
      </c>
      <c r="T74" s="51">
        <f>+T22+T48</f>
        <v>4495756</v>
      </c>
      <c r="U74" s="34">
        <f>+U22+U48</f>
        <v>114365</v>
      </c>
      <c r="V74" s="31">
        <f>+V22+V48</f>
        <v>4610121</v>
      </c>
      <c r="W74" s="256">
        <f>IF(Q74=0,0,((V74/Q74)-1)*100)</f>
        <v>11.385686131106443</v>
      </c>
    </row>
    <row r="75" spans="2:23" ht="13.5" thickBot="1">
      <c r="B75" s="4" t="s">
        <v>29</v>
      </c>
      <c r="C75" s="29">
        <f t="shared" si="48"/>
        <v>11734</v>
      </c>
      <c r="D75" s="30">
        <f t="shared" si="48"/>
        <v>11736</v>
      </c>
      <c r="E75" s="35">
        <f t="shared" si="48"/>
        <v>23470</v>
      </c>
      <c r="F75" s="29">
        <f t="shared" si="48"/>
        <v>12743</v>
      </c>
      <c r="G75" s="30">
        <f t="shared" si="48"/>
        <v>12752</v>
      </c>
      <c r="H75" s="31">
        <f>+H23+H49</f>
        <v>25495</v>
      </c>
      <c r="I75" s="256">
        <f t="shared" si="45"/>
        <v>8.628035790370681</v>
      </c>
      <c r="J75" s="99"/>
      <c r="L75" s="4" t="s">
        <v>29</v>
      </c>
      <c r="M75" s="29">
        <f t="shared" si="49"/>
        <v>1780510</v>
      </c>
      <c r="N75" s="36">
        <f t="shared" si="49"/>
        <v>1798230</v>
      </c>
      <c r="O75" s="51">
        <f>M75+N75</f>
        <v>3578740</v>
      </c>
      <c r="P75" s="52">
        <f>+P23+P49</f>
        <v>151098</v>
      </c>
      <c r="Q75" s="35">
        <f>O75+P75</f>
        <v>3729838</v>
      </c>
      <c r="R75" s="29">
        <f t="shared" si="50"/>
        <v>1956396</v>
      </c>
      <c r="S75" s="36">
        <f t="shared" si="50"/>
        <v>1970302</v>
      </c>
      <c r="T75" s="51">
        <f>R75+S75</f>
        <v>3926698</v>
      </c>
      <c r="U75" s="52">
        <f>+U23+U49</f>
        <v>118777</v>
      </c>
      <c r="V75" s="31">
        <f>T75+U75</f>
        <v>4045475</v>
      </c>
      <c r="W75" s="256">
        <f t="shared" si="34"/>
        <v>8.462485502051287</v>
      </c>
    </row>
    <row r="76" spans="2:23" ht="14.25" thickBot="1" thickTop="1">
      <c r="B76" s="39" t="s">
        <v>30</v>
      </c>
      <c r="C76" s="40">
        <f aca="true" t="shared" si="51" ref="C76:H76">+C73+C74+C75</f>
        <v>36210</v>
      </c>
      <c r="D76" s="41">
        <f t="shared" si="51"/>
        <v>36222</v>
      </c>
      <c r="E76" s="40">
        <f t="shared" si="51"/>
        <v>72432</v>
      </c>
      <c r="F76" s="40">
        <f t="shared" si="51"/>
        <v>39080</v>
      </c>
      <c r="G76" s="41">
        <f t="shared" si="51"/>
        <v>39078</v>
      </c>
      <c r="H76" s="40">
        <f t="shared" si="51"/>
        <v>78158</v>
      </c>
      <c r="I76" s="257">
        <f t="shared" si="45"/>
        <v>7.905345703556432</v>
      </c>
      <c r="L76" s="39" t="s">
        <v>30</v>
      </c>
      <c r="M76" s="40">
        <f aca="true" t="shared" si="52" ref="M76:V76">+M73+M74+M75</f>
        <v>5789202</v>
      </c>
      <c r="N76" s="41">
        <f t="shared" si="52"/>
        <v>5792765</v>
      </c>
      <c r="O76" s="40">
        <f t="shared" si="52"/>
        <v>11581967</v>
      </c>
      <c r="P76" s="40">
        <f t="shared" si="52"/>
        <v>450156</v>
      </c>
      <c r="Q76" s="40">
        <f t="shared" si="52"/>
        <v>12032123</v>
      </c>
      <c r="R76" s="40">
        <f t="shared" si="52"/>
        <v>6357318</v>
      </c>
      <c r="S76" s="41">
        <f t="shared" si="52"/>
        <v>6358116</v>
      </c>
      <c r="T76" s="40">
        <f t="shared" si="52"/>
        <v>12715434</v>
      </c>
      <c r="U76" s="40">
        <f t="shared" si="52"/>
        <v>358355</v>
      </c>
      <c r="V76" s="40">
        <f t="shared" si="52"/>
        <v>13073789</v>
      </c>
      <c r="W76" s="257">
        <f t="shared" si="34"/>
        <v>8.657374928763616</v>
      </c>
    </row>
    <row r="77" spans="2:23" ht="14.25" thickBot="1" thickTop="1">
      <c r="B77" s="39" t="s">
        <v>66</v>
      </c>
      <c r="C77" s="40">
        <f aca="true" t="shared" si="53" ref="C77:H77">+C68+C72+C76</f>
        <v>108756</v>
      </c>
      <c r="D77" s="41">
        <f t="shared" si="53"/>
        <v>108776</v>
      </c>
      <c r="E77" s="42">
        <f t="shared" si="53"/>
        <v>217532</v>
      </c>
      <c r="F77" s="40">
        <f t="shared" si="53"/>
        <v>122449</v>
      </c>
      <c r="G77" s="41">
        <f t="shared" si="53"/>
        <v>122487</v>
      </c>
      <c r="H77" s="42">
        <f t="shared" si="53"/>
        <v>244936</v>
      </c>
      <c r="I77" s="257">
        <f t="shared" si="45"/>
        <v>12.597686777117856</v>
      </c>
      <c r="J77" s="99"/>
      <c r="L77" s="39" t="s">
        <v>66</v>
      </c>
      <c r="M77" s="40">
        <f aca="true" t="shared" si="54" ref="M77:V77">+M68+M72+M76</f>
        <v>17389149</v>
      </c>
      <c r="N77" s="41">
        <f t="shared" si="54"/>
        <v>17437558</v>
      </c>
      <c r="O77" s="40">
        <f t="shared" si="54"/>
        <v>34826707</v>
      </c>
      <c r="P77" s="40">
        <f t="shared" si="54"/>
        <v>1204034</v>
      </c>
      <c r="Q77" s="40">
        <f t="shared" si="54"/>
        <v>36030741</v>
      </c>
      <c r="R77" s="40">
        <f t="shared" si="54"/>
        <v>19725518</v>
      </c>
      <c r="S77" s="41">
        <f t="shared" si="54"/>
        <v>19716387</v>
      </c>
      <c r="T77" s="40">
        <f t="shared" si="54"/>
        <v>39441905</v>
      </c>
      <c r="U77" s="40">
        <f t="shared" si="54"/>
        <v>1046644</v>
      </c>
      <c r="V77" s="42">
        <f t="shared" si="54"/>
        <v>40488549</v>
      </c>
      <c r="W77" s="257">
        <f t="shared" si="34"/>
        <v>12.372235142208154</v>
      </c>
    </row>
    <row r="78" spans="2:23" ht="14.25" thickBot="1" thickTop="1">
      <c r="B78" s="39" t="s">
        <v>9</v>
      </c>
      <c r="C78" s="40">
        <f aca="true" t="shared" si="55" ref="C78:H78">+C64+C68+C72+C76</f>
        <v>144262</v>
      </c>
      <c r="D78" s="41">
        <f t="shared" si="55"/>
        <v>144278</v>
      </c>
      <c r="E78" s="40">
        <f t="shared" si="55"/>
        <v>288540</v>
      </c>
      <c r="F78" s="40">
        <f t="shared" si="55"/>
        <v>163486</v>
      </c>
      <c r="G78" s="41">
        <f t="shared" si="55"/>
        <v>163484</v>
      </c>
      <c r="H78" s="40">
        <f t="shared" si="55"/>
        <v>326970</v>
      </c>
      <c r="I78" s="257">
        <f t="shared" si="45"/>
        <v>13.318777292576423</v>
      </c>
      <c r="L78" s="39" t="s">
        <v>9</v>
      </c>
      <c r="M78" s="40">
        <f aca="true" t="shared" si="56" ref="M78:V78">+M64+M68+M72+M76</f>
        <v>23170077</v>
      </c>
      <c r="N78" s="41">
        <f t="shared" si="56"/>
        <v>23020771</v>
      </c>
      <c r="O78" s="40">
        <f t="shared" si="56"/>
        <v>46190848</v>
      </c>
      <c r="P78" s="40">
        <f t="shared" si="56"/>
        <v>1609737</v>
      </c>
      <c r="Q78" s="40">
        <f t="shared" si="56"/>
        <v>47800585</v>
      </c>
      <c r="R78" s="40">
        <f t="shared" si="56"/>
        <v>25545742</v>
      </c>
      <c r="S78" s="41">
        <f t="shared" si="56"/>
        <v>25383293</v>
      </c>
      <c r="T78" s="40">
        <f t="shared" si="56"/>
        <v>50929035</v>
      </c>
      <c r="U78" s="40">
        <f t="shared" si="56"/>
        <v>1439677</v>
      </c>
      <c r="V78" s="40">
        <f t="shared" si="56"/>
        <v>52368712</v>
      </c>
      <c r="W78" s="257">
        <f t="shared" si="34"/>
        <v>9.556634087218807</v>
      </c>
    </row>
    <row r="79" spans="2:12" ht="13.5" thickTop="1">
      <c r="B79" s="63" t="s">
        <v>64</v>
      </c>
      <c r="C79" s="1"/>
      <c r="D79" s="1"/>
      <c r="E79" s="1"/>
      <c r="F79" s="1"/>
      <c r="G79" s="1"/>
      <c r="H79" s="1"/>
      <c r="I79" s="119"/>
      <c r="L79" s="63" t="s">
        <v>64</v>
      </c>
    </row>
    <row r="80" spans="2:23" ht="12.75">
      <c r="B80" s="1"/>
      <c r="C80" s="1"/>
      <c r="D80" s="1"/>
      <c r="E80" s="1"/>
      <c r="F80" s="1"/>
      <c r="G80" s="1"/>
      <c r="H80" s="1"/>
      <c r="I80" s="119"/>
      <c r="L80" s="336" t="s">
        <v>41</v>
      </c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</row>
    <row r="81" spans="2:23" ht="15.75">
      <c r="B81" s="1"/>
      <c r="C81" s="1"/>
      <c r="D81" s="1"/>
      <c r="E81" s="1"/>
      <c r="F81" s="1"/>
      <c r="G81" s="1"/>
      <c r="H81" s="1"/>
      <c r="I81" s="119"/>
      <c r="L81" s="337" t="s">
        <v>42</v>
      </c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spans="2:23" ht="13.5" thickBot="1">
      <c r="B82" s="1"/>
      <c r="C82" s="1"/>
      <c r="D82" s="1"/>
      <c r="E82" s="1"/>
      <c r="F82" s="1"/>
      <c r="G82" s="1"/>
      <c r="H82" s="1"/>
      <c r="I82" s="119"/>
      <c r="W82" s="242" t="s">
        <v>43</v>
      </c>
    </row>
    <row r="83" spans="2:23" ht="17.25" thickBot="1" thickTop="1">
      <c r="B83" s="1"/>
      <c r="C83" s="1"/>
      <c r="D83" s="1"/>
      <c r="E83" s="1"/>
      <c r="F83" s="1"/>
      <c r="G83" s="1"/>
      <c r="H83" s="1"/>
      <c r="I83" s="119"/>
      <c r="L83" s="3"/>
      <c r="M83" s="347" t="s">
        <v>67</v>
      </c>
      <c r="N83" s="348"/>
      <c r="O83" s="348"/>
      <c r="P83" s="348"/>
      <c r="Q83" s="349"/>
      <c r="R83" s="338" t="s">
        <v>68</v>
      </c>
      <c r="S83" s="339"/>
      <c r="T83" s="339"/>
      <c r="U83" s="339"/>
      <c r="V83" s="340"/>
      <c r="W83" s="239" t="s">
        <v>4</v>
      </c>
    </row>
    <row r="84" spans="2:23" ht="13.5" thickTop="1">
      <c r="B84" s="1"/>
      <c r="C84" s="1"/>
      <c r="D84" s="1"/>
      <c r="E84" s="1"/>
      <c r="F84" s="1"/>
      <c r="G84" s="1"/>
      <c r="H84" s="1"/>
      <c r="I84" s="119"/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0" t="s">
        <v>6</v>
      </c>
    </row>
    <row r="85" spans="2:23" ht="13.5" thickBot="1">
      <c r="B85" s="1"/>
      <c r="C85" s="1"/>
      <c r="D85" s="1"/>
      <c r="E85" s="1"/>
      <c r="F85" s="1"/>
      <c r="G85" s="1"/>
      <c r="H85" s="1"/>
      <c r="I85" s="119"/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1"/>
    </row>
    <row r="86" spans="2:23" ht="4.5" customHeight="1" thickTop="1">
      <c r="B86" s="1"/>
      <c r="C86" s="1"/>
      <c r="D86" s="1"/>
      <c r="E86" s="1"/>
      <c r="F86" s="1"/>
      <c r="G86" s="1"/>
      <c r="H86" s="1"/>
      <c r="I86" s="119"/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07"/>
    </row>
    <row r="87" spans="1:27" s="100" customFormat="1" ht="12.75" customHeight="1">
      <c r="A87" s="229"/>
      <c r="B87" s="228"/>
      <c r="C87" s="228"/>
      <c r="D87" s="228"/>
      <c r="E87" s="228"/>
      <c r="F87" s="228"/>
      <c r="G87" s="228"/>
      <c r="H87" s="228"/>
      <c r="I87" s="248"/>
      <c r="J87" s="229"/>
      <c r="L87" s="101" t="s">
        <v>14</v>
      </c>
      <c r="M87" s="102">
        <v>47178</v>
      </c>
      <c r="N87" s="103">
        <v>63293</v>
      </c>
      <c r="O87" s="104">
        <f>M87+N87</f>
        <v>110471</v>
      </c>
      <c r="P87" s="105">
        <v>2699</v>
      </c>
      <c r="Q87" s="106">
        <f>O87+P87</f>
        <v>113170</v>
      </c>
      <c r="R87" s="102">
        <v>47234</v>
      </c>
      <c r="S87" s="103">
        <v>57286</v>
      </c>
      <c r="T87" s="104">
        <f>R87+S87</f>
        <v>104520</v>
      </c>
      <c r="U87" s="105">
        <v>2896</v>
      </c>
      <c r="V87" s="107">
        <f>T87+U87</f>
        <v>107416</v>
      </c>
      <c r="W87" s="256">
        <f aca="true" t="shared" si="57" ref="W87:W104">IF(Q87=0,0,((V87/Q87)-1)*100)</f>
        <v>-5.084386321463286</v>
      </c>
      <c r="X87" s="119"/>
      <c r="Y87" s="118"/>
      <c r="Z87" s="118"/>
      <c r="AA87" s="305"/>
    </row>
    <row r="88" spans="1:27" s="100" customFormat="1" ht="12.75" customHeight="1">
      <c r="A88" s="229"/>
      <c r="B88" s="228"/>
      <c r="C88" s="228"/>
      <c r="D88" s="228"/>
      <c r="E88" s="228"/>
      <c r="F88" s="228"/>
      <c r="G88" s="228"/>
      <c r="H88" s="228"/>
      <c r="I88" s="248"/>
      <c r="J88" s="229"/>
      <c r="L88" s="101" t="s">
        <v>15</v>
      </c>
      <c r="M88" s="102">
        <v>45950</v>
      </c>
      <c r="N88" s="103">
        <v>63830</v>
      </c>
      <c r="O88" s="104">
        <f>M88+N88</f>
        <v>109780</v>
      </c>
      <c r="P88" s="105">
        <v>2607</v>
      </c>
      <c r="Q88" s="106">
        <f>O88+P88</f>
        <v>112387</v>
      </c>
      <c r="R88" s="102">
        <v>47265</v>
      </c>
      <c r="S88" s="103">
        <v>51742</v>
      </c>
      <c r="T88" s="104">
        <f>R88+S88</f>
        <v>99007</v>
      </c>
      <c r="U88" s="105">
        <v>2806</v>
      </c>
      <c r="V88" s="107">
        <f>T88+U88</f>
        <v>101813</v>
      </c>
      <c r="W88" s="256">
        <f t="shared" si="57"/>
        <v>-9.40856148842838</v>
      </c>
      <c r="X88" s="303"/>
      <c r="AA88" s="305"/>
    </row>
    <row r="89" spans="1:27" s="100" customFormat="1" ht="12.75" customHeight="1" thickBot="1">
      <c r="A89" s="229"/>
      <c r="B89" s="228"/>
      <c r="C89" s="228"/>
      <c r="D89" s="228"/>
      <c r="E89" s="228"/>
      <c r="F89" s="228"/>
      <c r="G89" s="228"/>
      <c r="H89" s="228"/>
      <c r="I89" s="248"/>
      <c r="J89" s="229"/>
      <c r="L89" s="109" t="s">
        <v>16</v>
      </c>
      <c r="M89" s="102">
        <v>45311</v>
      </c>
      <c r="N89" s="103">
        <v>65172</v>
      </c>
      <c r="O89" s="104">
        <f>M89+N89</f>
        <v>110483</v>
      </c>
      <c r="P89" s="105">
        <v>2419</v>
      </c>
      <c r="Q89" s="106">
        <f>O89+P89</f>
        <v>112902</v>
      </c>
      <c r="R89" s="102">
        <v>52678</v>
      </c>
      <c r="S89" s="103">
        <v>59549</v>
      </c>
      <c r="T89" s="104">
        <f>R89+S89</f>
        <v>112227</v>
      </c>
      <c r="U89" s="105">
        <v>2826</v>
      </c>
      <c r="V89" s="107">
        <f>T89+U89</f>
        <v>115053</v>
      </c>
      <c r="W89" s="256">
        <f t="shared" si="57"/>
        <v>1.9051921135143646</v>
      </c>
      <c r="X89" s="303"/>
      <c r="AA89" s="305"/>
    </row>
    <row r="90" spans="1:27" s="100" customFormat="1" ht="12.75" customHeight="1" thickBot="1" thickTop="1">
      <c r="A90" s="229"/>
      <c r="B90" s="228"/>
      <c r="C90" s="228"/>
      <c r="D90" s="228"/>
      <c r="E90" s="228"/>
      <c r="F90" s="228"/>
      <c r="G90" s="228"/>
      <c r="H90" s="228"/>
      <c r="I90" s="248"/>
      <c r="J90" s="229"/>
      <c r="L90" s="110" t="s">
        <v>17</v>
      </c>
      <c r="M90" s="111">
        <f aca="true" t="shared" si="58" ref="M90:V90">+M87+M88+M89</f>
        <v>138439</v>
      </c>
      <c r="N90" s="112">
        <f t="shared" si="58"/>
        <v>192295</v>
      </c>
      <c r="O90" s="111">
        <f t="shared" si="58"/>
        <v>330734</v>
      </c>
      <c r="P90" s="111">
        <f t="shared" si="58"/>
        <v>7725</v>
      </c>
      <c r="Q90" s="111">
        <f t="shared" si="58"/>
        <v>338459</v>
      </c>
      <c r="R90" s="111">
        <f t="shared" si="58"/>
        <v>147177</v>
      </c>
      <c r="S90" s="112">
        <f t="shared" si="58"/>
        <v>168577</v>
      </c>
      <c r="T90" s="111">
        <f t="shared" si="58"/>
        <v>315754</v>
      </c>
      <c r="U90" s="111">
        <f t="shared" si="58"/>
        <v>8528</v>
      </c>
      <c r="V90" s="113">
        <f t="shared" si="58"/>
        <v>324282</v>
      </c>
      <c r="W90" s="257">
        <f t="shared" si="57"/>
        <v>-4.188690506087889</v>
      </c>
      <c r="X90" s="303"/>
      <c r="AA90" s="305"/>
    </row>
    <row r="91" spans="1:24" ht="13.5" thickTop="1">
      <c r="A91" s="70"/>
      <c r="B91" s="70"/>
      <c r="C91" s="70"/>
      <c r="D91" s="70"/>
      <c r="E91" s="70"/>
      <c r="F91" s="70"/>
      <c r="G91" s="70"/>
      <c r="H91" s="70"/>
      <c r="I91" s="247"/>
      <c r="J91" s="70"/>
      <c r="L91" s="4" t="s">
        <v>18</v>
      </c>
      <c r="M91" s="29">
        <v>43841</v>
      </c>
      <c r="N91" s="36">
        <v>58569</v>
      </c>
      <c r="O91" s="33">
        <f>M91+N91</f>
        <v>102410</v>
      </c>
      <c r="P91" s="34">
        <v>2187</v>
      </c>
      <c r="Q91" s="35">
        <f>O91+P91</f>
        <v>104597</v>
      </c>
      <c r="R91" s="29">
        <v>46353</v>
      </c>
      <c r="S91" s="36">
        <v>58541</v>
      </c>
      <c r="T91" s="33">
        <f>R91+S91</f>
        <v>104894</v>
      </c>
      <c r="U91" s="34">
        <v>2476</v>
      </c>
      <c r="V91" s="31">
        <f>T91+U91</f>
        <v>107370</v>
      </c>
      <c r="W91" s="256">
        <f t="shared" si="57"/>
        <v>2.651127661405206</v>
      </c>
      <c r="X91" s="303"/>
    </row>
    <row r="92" spans="1:27" ht="12.75">
      <c r="A92" s="70"/>
      <c r="B92" s="70"/>
      <c r="C92" s="70"/>
      <c r="D92" s="70"/>
      <c r="E92" s="70"/>
      <c r="F92" s="70"/>
      <c r="G92" s="70"/>
      <c r="H92" s="70"/>
      <c r="I92" s="247"/>
      <c r="J92" s="70"/>
      <c r="L92" s="4" t="s">
        <v>19</v>
      </c>
      <c r="M92" s="29">
        <v>39378</v>
      </c>
      <c r="N92" s="36">
        <v>54866</v>
      </c>
      <c r="O92" s="33">
        <f>M92+N92</f>
        <v>94244</v>
      </c>
      <c r="P92" s="34">
        <v>1878</v>
      </c>
      <c r="Q92" s="35">
        <f>O92+P92</f>
        <v>96122</v>
      </c>
      <c r="R92" s="29">
        <v>49891</v>
      </c>
      <c r="S92" s="36">
        <v>59682</v>
      </c>
      <c r="T92" s="33">
        <f>R92+S92</f>
        <v>109573</v>
      </c>
      <c r="U92" s="34">
        <v>3001</v>
      </c>
      <c r="V92" s="31">
        <f>T92+U92</f>
        <v>112574</v>
      </c>
      <c r="W92" s="256">
        <f>IF(Q92=0,0,((V92/Q92)-1)*100)</f>
        <v>17.115748735981363</v>
      </c>
      <c r="X92" s="303"/>
      <c r="Y92" s="118"/>
      <c r="Z92" s="118"/>
      <c r="AA92" s="305"/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47"/>
      <c r="J93" s="70"/>
      <c r="L93" s="4" t="s">
        <v>20</v>
      </c>
      <c r="M93" s="29">
        <v>50986</v>
      </c>
      <c r="N93" s="36">
        <v>66681</v>
      </c>
      <c r="O93" s="33">
        <f>M93+N93</f>
        <v>117667</v>
      </c>
      <c r="P93" s="34">
        <v>2388</v>
      </c>
      <c r="Q93" s="35">
        <f>O93+P93</f>
        <v>120055</v>
      </c>
      <c r="R93" s="29">
        <v>55127</v>
      </c>
      <c r="S93" s="36">
        <v>67495</v>
      </c>
      <c r="T93" s="33">
        <f>R93+S93</f>
        <v>122622</v>
      </c>
      <c r="U93" s="34">
        <v>3050</v>
      </c>
      <c r="V93" s="31">
        <f>T93+U93</f>
        <v>125672</v>
      </c>
      <c r="W93" s="256">
        <f t="shared" si="57"/>
        <v>4.678688934238484</v>
      </c>
    </row>
    <row r="94" spans="1:26" ht="14.25" thickBot="1" thickTop="1">
      <c r="A94" s="70"/>
      <c r="B94" s="232"/>
      <c r="C94" s="234"/>
      <c r="D94" s="234"/>
      <c r="E94" s="234"/>
      <c r="F94" s="234"/>
      <c r="G94" s="234"/>
      <c r="H94" s="234"/>
      <c r="I94" s="276"/>
      <c r="J94" s="235"/>
      <c r="L94" s="44" t="s">
        <v>21</v>
      </c>
      <c r="M94" s="40">
        <f aca="true" t="shared" si="59" ref="M94:V94">M93+M92+M91</f>
        <v>134205</v>
      </c>
      <c r="N94" s="41">
        <f t="shared" si="59"/>
        <v>180116</v>
      </c>
      <c r="O94" s="40">
        <f t="shared" si="59"/>
        <v>314321</v>
      </c>
      <c r="P94" s="40">
        <f t="shared" si="59"/>
        <v>6453</v>
      </c>
      <c r="Q94" s="40">
        <f t="shared" si="59"/>
        <v>320774</v>
      </c>
      <c r="R94" s="40">
        <f t="shared" si="59"/>
        <v>151371</v>
      </c>
      <c r="S94" s="41">
        <f t="shared" si="59"/>
        <v>185718</v>
      </c>
      <c r="T94" s="40">
        <f t="shared" si="59"/>
        <v>337089</v>
      </c>
      <c r="U94" s="40">
        <f t="shared" si="59"/>
        <v>8527</v>
      </c>
      <c r="V94" s="42">
        <f t="shared" si="59"/>
        <v>345616</v>
      </c>
      <c r="W94" s="257">
        <f t="shared" si="57"/>
        <v>7.744393248829384</v>
      </c>
      <c r="Y94" s="99"/>
      <c r="Z94" s="99"/>
    </row>
    <row r="95" spans="1:27" ht="13.5" thickTop="1">
      <c r="A95" s="70"/>
      <c r="B95" s="70"/>
      <c r="C95" s="70"/>
      <c r="D95" s="70"/>
      <c r="E95" s="70"/>
      <c r="F95" s="70"/>
      <c r="G95" s="70"/>
      <c r="H95" s="70"/>
      <c r="I95" s="247"/>
      <c r="J95" s="70"/>
      <c r="L95" s="4" t="s">
        <v>22</v>
      </c>
      <c r="M95" s="29">
        <v>44919</v>
      </c>
      <c r="N95" s="36">
        <v>59160</v>
      </c>
      <c r="O95" s="33">
        <f>M95+N95</f>
        <v>104079</v>
      </c>
      <c r="P95" s="34">
        <v>2156</v>
      </c>
      <c r="Q95" s="35">
        <f>O95+P95</f>
        <v>106235</v>
      </c>
      <c r="R95" s="29">
        <v>49580</v>
      </c>
      <c r="S95" s="36">
        <v>60367</v>
      </c>
      <c r="T95" s="33">
        <f>R95+S95</f>
        <v>109947</v>
      </c>
      <c r="U95" s="34">
        <v>2861</v>
      </c>
      <c r="V95" s="31">
        <f>T95+U95</f>
        <v>112808</v>
      </c>
      <c r="W95" s="256">
        <f t="shared" si="57"/>
        <v>6.187226431966875</v>
      </c>
      <c r="Y95" s="118"/>
      <c r="Z95" s="118"/>
      <c r="AA95" s="305"/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47"/>
      <c r="J96" s="70"/>
      <c r="L96" s="4" t="s">
        <v>23</v>
      </c>
      <c r="M96" s="29">
        <v>44630</v>
      </c>
      <c r="N96" s="36">
        <v>60270</v>
      </c>
      <c r="O96" s="33">
        <f>+M96+N96</f>
        <v>104900</v>
      </c>
      <c r="P96" s="34">
        <v>2023</v>
      </c>
      <c r="Q96" s="35">
        <f>O96+P96</f>
        <v>106923</v>
      </c>
      <c r="R96" s="29">
        <v>49473</v>
      </c>
      <c r="S96" s="36">
        <v>64437</v>
      </c>
      <c r="T96" s="33">
        <f>+R96+S96</f>
        <v>113910</v>
      </c>
      <c r="U96" s="34">
        <v>2721</v>
      </c>
      <c r="V96" s="31">
        <f>T96+U96</f>
        <v>116631</v>
      </c>
      <c r="W96" s="256">
        <f t="shared" si="57"/>
        <v>9.079430992396386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47"/>
      <c r="J97" s="70"/>
      <c r="L97" s="4" t="s">
        <v>24</v>
      </c>
      <c r="M97" s="29">
        <v>46461</v>
      </c>
      <c r="N97" s="36">
        <v>61407</v>
      </c>
      <c r="O97" s="51">
        <f>+M97+N97</f>
        <v>107868</v>
      </c>
      <c r="P97" s="52">
        <v>1678</v>
      </c>
      <c r="Q97" s="35">
        <f>O97+P97</f>
        <v>109546</v>
      </c>
      <c r="R97" s="29">
        <v>47868</v>
      </c>
      <c r="S97" s="36">
        <v>60597</v>
      </c>
      <c r="T97" s="51">
        <f>+R97+S97</f>
        <v>108465</v>
      </c>
      <c r="U97" s="52">
        <v>3013</v>
      </c>
      <c r="V97" s="31">
        <f>T97+U97</f>
        <v>111478</v>
      </c>
      <c r="W97" s="256">
        <f t="shared" si="57"/>
        <v>1.7636426706588937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47"/>
      <c r="J98" s="70"/>
      <c r="L98" s="44" t="s">
        <v>25</v>
      </c>
      <c r="M98" s="45">
        <f aca="true" t="shared" si="60" ref="M98:V98">+M95+M96+M97</f>
        <v>136010</v>
      </c>
      <c r="N98" s="45">
        <f t="shared" si="60"/>
        <v>180837</v>
      </c>
      <c r="O98" s="47">
        <f t="shared" si="60"/>
        <v>316847</v>
      </c>
      <c r="P98" s="47">
        <f t="shared" si="60"/>
        <v>5857</v>
      </c>
      <c r="Q98" s="47">
        <f t="shared" si="60"/>
        <v>322704</v>
      </c>
      <c r="R98" s="45">
        <f t="shared" si="60"/>
        <v>146921</v>
      </c>
      <c r="S98" s="45">
        <f t="shared" si="60"/>
        <v>185401</v>
      </c>
      <c r="T98" s="47">
        <f t="shared" si="60"/>
        <v>332322</v>
      </c>
      <c r="U98" s="47">
        <f t="shared" si="60"/>
        <v>8595</v>
      </c>
      <c r="V98" s="47">
        <f t="shared" si="60"/>
        <v>340917</v>
      </c>
      <c r="W98" s="257">
        <f t="shared" si="57"/>
        <v>5.643871783430021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47"/>
      <c r="J99" s="70"/>
      <c r="L99" s="4" t="s">
        <v>27</v>
      </c>
      <c r="M99" s="29">
        <v>47940</v>
      </c>
      <c r="N99" s="36">
        <v>60094</v>
      </c>
      <c r="O99" s="51">
        <f>+M99+N99</f>
        <v>108034</v>
      </c>
      <c r="P99" s="59">
        <v>2239</v>
      </c>
      <c r="Q99" s="35">
        <f>O99+P99</f>
        <v>110273</v>
      </c>
      <c r="R99" s="29">
        <v>48778</v>
      </c>
      <c r="S99" s="36">
        <v>57829</v>
      </c>
      <c r="T99" s="51">
        <f>+R99+S99</f>
        <v>106607</v>
      </c>
      <c r="U99" s="59">
        <v>2870</v>
      </c>
      <c r="V99" s="31">
        <f>+T99+U99</f>
        <v>109477</v>
      </c>
      <c r="W99" s="256">
        <f t="shared" si="57"/>
        <v>-0.7218448758989027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47"/>
      <c r="J100" s="70"/>
      <c r="L100" s="4" t="s">
        <v>28</v>
      </c>
      <c r="M100" s="29">
        <v>45452</v>
      </c>
      <c r="N100" s="36">
        <v>58475</v>
      </c>
      <c r="O100" s="51">
        <f>+M100+N100</f>
        <v>103927</v>
      </c>
      <c r="P100" s="34">
        <v>2242</v>
      </c>
      <c r="Q100" s="35">
        <f>O100+P100</f>
        <v>106169</v>
      </c>
      <c r="R100" s="29">
        <v>46382</v>
      </c>
      <c r="S100" s="36">
        <v>54409</v>
      </c>
      <c r="T100" s="51">
        <f>+R100+S100</f>
        <v>100791</v>
      </c>
      <c r="U100" s="34">
        <v>2876</v>
      </c>
      <c r="V100" s="31">
        <f>+T100+U100</f>
        <v>103667</v>
      </c>
      <c r="W100" s="256">
        <f>IF(Q100=0,0,((V100/Q100)-1)*100)</f>
        <v>-2.3566201056805625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47"/>
      <c r="J101" s="8"/>
      <c r="L101" s="4" t="s">
        <v>29</v>
      </c>
      <c r="M101" s="29">
        <v>46442</v>
      </c>
      <c r="N101" s="36">
        <v>59691</v>
      </c>
      <c r="O101" s="51">
        <f>+M101+N101</f>
        <v>106133</v>
      </c>
      <c r="P101" s="52">
        <v>2053</v>
      </c>
      <c r="Q101" s="35">
        <f>O101+P101</f>
        <v>108186</v>
      </c>
      <c r="R101" s="29">
        <v>49020</v>
      </c>
      <c r="S101" s="36">
        <v>56724</v>
      </c>
      <c r="T101" s="51">
        <f>+R101+S101</f>
        <v>105744</v>
      </c>
      <c r="U101" s="52">
        <v>2746</v>
      </c>
      <c r="V101" s="31">
        <f>+T101+U101</f>
        <v>108490</v>
      </c>
      <c r="W101" s="256">
        <f t="shared" si="57"/>
        <v>0.28099754127151044</v>
      </c>
    </row>
    <row r="102" spans="1:27" s="100" customFormat="1" ht="12.75" customHeight="1" thickBot="1" thickTop="1">
      <c r="A102" s="229"/>
      <c r="B102" s="228"/>
      <c r="C102" s="228"/>
      <c r="D102" s="228"/>
      <c r="E102" s="228"/>
      <c r="F102" s="228"/>
      <c r="G102" s="228"/>
      <c r="H102" s="228"/>
      <c r="I102" s="248"/>
      <c r="J102" s="229"/>
      <c r="L102" s="110" t="s">
        <v>30</v>
      </c>
      <c r="M102" s="111">
        <f aca="true" t="shared" si="61" ref="M102:V102">+M99+M100+M101</f>
        <v>139834</v>
      </c>
      <c r="N102" s="112">
        <f t="shared" si="61"/>
        <v>178260</v>
      </c>
      <c r="O102" s="111">
        <f t="shared" si="61"/>
        <v>318094</v>
      </c>
      <c r="P102" s="111">
        <f t="shared" si="61"/>
        <v>6534</v>
      </c>
      <c r="Q102" s="111">
        <f t="shared" si="61"/>
        <v>324628</v>
      </c>
      <c r="R102" s="111">
        <f t="shared" si="61"/>
        <v>144180</v>
      </c>
      <c r="S102" s="112">
        <f t="shared" si="61"/>
        <v>168962</v>
      </c>
      <c r="T102" s="111">
        <f t="shared" si="61"/>
        <v>313142</v>
      </c>
      <c r="U102" s="111">
        <f t="shared" si="61"/>
        <v>8492</v>
      </c>
      <c r="V102" s="111">
        <f t="shared" si="61"/>
        <v>321634</v>
      </c>
      <c r="W102" s="257">
        <f t="shared" si="57"/>
        <v>-0.9222864324703983</v>
      </c>
      <c r="X102" s="303"/>
      <c r="AA102" s="305"/>
    </row>
    <row r="103" spans="1:26" ht="14.25" thickBot="1" thickTop="1">
      <c r="A103" s="220"/>
      <c r="B103" s="232"/>
      <c r="C103" s="234"/>
      <c r="D103" s="234"/>
      <c r="E103" s="234"/>
      <c r="F103" s="234"/>
      <c r="G103" s="234"/>
      <c r="H103" s="234"/>
      <c r="I103" s="276"/>
      <c r="J103" s="235"/>
      <c r="L103" s="39" t="s">
        <v>66</v>
      </c>
      <c r="M103" s="40">
        <f aca="true" t="shared" si="62" ref="M103:V103">+M94+M98+M102</f>
        <v>410049</v>
      </c>
      <c r="N103" s="41">
        <f t="shared" si="62"/>
        <v>539213</v>
      </c>
      <c r="O103" s="40">
        <f t="shared" si="62"/>
        <v>949262</v>
      </c>
      <c r="P103" s="40">
        <f t="shared" si="62"/>
        <v>18844</v>
      </c>
      <c r="Q103" s="40">
        <f t="shared" si="62"/>
        <v>968106</v>
      </c>
      <c r="R103" s="40">
        <f t="shared" si="62"/>
        <v>442472</v>
      </c>
      <c r="S103" s="41">
        <f t="shared" si="62"/>
        <v>540081</v>
      </c>
      <c r="T103" s="40">
        <f t="shared" si="62"/>
        <v>982553</v>
      </c>
      <c r="U103" s="40">
        <f t="shared" si="62"/>
        <v>25614</v>
      </c>
      <c r="V103" s="42">
        <f t="shared" si="62"/>
        <v>1008167</v>
      </c>
      <c r="W103" s="257">
        <f t="shared" si="57"/>
        <v>4.138079921000393</v>
      </c>
      <c r="Y103" s="99"/>
      <c r="Z103" s="99"/>
    </row>
    <row r="104" spans="1:27" s="100" customFormat="1" ht="12.75" customHeight="1" thickBot="1" thickTop="1">
      <c r="A104" s="229"/>
      <c r="B104" s="228"/>
      <c r="C104" s="228"/>
      <c r="D104" s="228"/>
      <c r="E104" s="228"/>
      <c r="F104" s="228"/>
      <c r="G104" s="228"/>
      <c r="H104" s="228"/>
      <c r="I104" s="248"/>
      <c r="J104" s="229"/>
      <c r="L104" s="110" t="s">
        <v>9</v>
      </c>
      <c r="M104" s="111">
        <f aca="true" t="shared" si="63" ref="M104:V104">+M90+M94+M98+M102</f>
        <v>548488</v>
      </c>
      <c r="N104" s="112">
        <f t="shared" si="63"/>
        <v>731508</v>
      </c>
      <c r="O104" s="111">
        <f t="shared" si="63"/>
        <v>1279996</v>
      </c>
      <c r="P104" s="111">
        <f t="shared" si="63"/>
        <v>26569</v>
      </c>
      <c r="Q104" s="111">
        <f t="shared" si="63"/>
        <v>1306565</v>
      </c>
      <c r="R104" s="111">
        <f t="shared" si="63"/>
        <v>589649</v>
      </c>
      <c r="S104" s="112">
        <f t="shared" si="63"/>
        <v>708658</v>
      </c>
      <c r="T104" s="111">
        <f t="shared" si="63"/>
        <v>1298307</v>
      </c>
      <c r="U104" s="111">
        <f t="shared" si="63"/>
        <v>34142</v>
      </c>
      <c r="V104" s="111">
        <f t="shared" si="63"/>
        <v>1332449</v>
      </c>
      <c r="W104" s="257">
        <f t="shared" si="57"/>
        <v>1.981072506916992</v>
      </c>
      <c r="X104" s="119"/>
      <c r="Y104" s="118"/>
      <c r="Z104" s="118"/>
      <c r="AA104" s="305"/>
    </row>
    <row r="105" spans="1:19" ht="15.75" customHeight="1" thickTop="1">
      <c r="A105" s="70"/>
      <c r="B105" s="231"/>
      <c r="C105" s="231"/>
      <c r="D105" s="231"/>
      <c r="E105" s="231"/>
      <c r="F105" s="231"/>
      <c r="G105" s="231"/>
      <c r="H105" s="231"/>
      <c r="I105" s="249"/>
      <c r="J105" s="70"/>
      <c r="L105" s="63" t="s">
        <v>64</v>
      </c>
      <c r="S105" s="99"/>
    </row>
    <row r="106" spans="2:23" ht="12.75">
      <c r="B106" s="70"/>
      <c r="C106" s="70"/>
      <c r="D106" s="70"/>
      <c r="E106" s="70"/>
      <c r="F106" s="70"/>
      <c r="G106" s="70"/>
      <c r="H106" s="70"/>
      <c r="I106" s="247"/>
      <c r="L106" s="336" t="s">
        <v>47</v>
      </c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</row>
    <row r="107" spans="2:23" ht="15.75">
      <c r="B107" s="70"/>
      <c r="C107" s="70"/>
      <c r="D107" s="70"/>
      <c r="E107" s="70"/>
      <c r="F107" s="70"/>
      <c r="G107" s="70"/>
      <c r="H107" s="70"/>
      <c r="I107" s="247"/>
      <c r="L107" s="337" t="s">
        <v>48</v>
      </c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47"/>
      <c r="W108" s="242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47"/>
      <c r="L109" s="3"/>
      <c r="M109" s="347" t="s">
        <v>67</v>
      </c>
      <c r="N109" s="348"/>
      <c r="O109" s="348"/>
      <c r="P109" s="348"/>
      <c r="Q109" s="349"/>
      <c r="R109" s="338" t="s">
        <v>68</v>
      </c>
      <c r="S109" s="339"/>
      <c r="T109" s="339"/>
      <c r="U109" s="339"/>
      <c r="V109" s="340"/>
      <c r="W109" s="239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47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0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47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1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47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07"/>
    </row>
    <row r="113" spans="2:23" ht="12.75">
      <c r="B113" s="70"/>
      <c r="C113" s="70"/>
      <c r="D113" s="70"/>
      <c r="E113" s="70"/>
      <c r="F113" s="70"/>
      <c r="G113" s="70"/>
      <c r="H113" s="70"/>
      <c r="I113" s="247"/>
      <c r="L113" s="4" t="s">
        <v>14</v>
      </c>
      <c r="M113" s="29">
        <v>1576</v>
      </c>
      <c r="N113" s="36">
        <v>2819</v>
      </c>
      <c r="O113" s="33">
        <f>M113+N113</f>
        <v>4395</v>
      </c>
      <c r="P113" s="34">
        <v>2</v>
      </c>
      <c r="Q113" s="35">
        <f>O113+P113</f>
        <v>4397</v>
      </c>
      <c r="R113" s="29">
        <v>1616</v>
      </c>
      <c r="S113" s="36">
        <v>3477</v>
      </c>
      <c r="T113" s="33">
        <f>R113+S113</f>
        <v>5093</v>
      </c>
      <c r="U113" s="34">
        <v>12</v>
      </c>
      <c r="V113" s="31">
        <f>T113+U113</f>
        <v>5105</v>
      </c>
      <c r="W113" s="256">
        <f aca="true" t="shared" si="64" ref="W113:W130">IF(Q113=0,0,((V113/Q113)-1)*100)</f>
        <v>16.10188765067091</v>
      </c>
    </row>
    <row r="114" spans="2:25" ht="12.75">
      <c r="B114" s="70"/>
      <c r="C114" s="70"/>
      <c r="D114" s="70"/>
      <c r="E114" s="70"/>
      <c r="F114" s="70"/>
      <c r="G114" s="70"/>
      <c r="H114" s="70"/>
      <c r="I114" s="247"/>
      <c r="L114" s="4" t="s">
        <v>15</v>
      </c>
      <c r="M114" s="29">
        <v>1684</v>
      </c>
      <c r="N114" s="36">
        <v>2994</v>
      </c>
      <c r="O114" s="33">
        <f>M114+N114</f>
        <v>4678</v>
      </c>
      <c r="P114" s="34">
        <v>10</v>
      </c>
      <c r="Q114" s="35">
        <f>O114+P114</f>
        <v>4688</v>
      </c>
      <c r="R114" s="29">
        <v>1967</v>
      </c>
      <c r="S114" s="36">
        <v>3629</v>
      </c>
      <c r="T114" s="33">
        <f>R114+S114</f>
        <v>5596</v>
      </c>
      <c r="U114" s="34">
        <v>3</v>
      </c>
      <c r="V114" s="31">
        <f>T114+U114</f>
        <v>5599</v>
      </c>
      <c r="W114" s="256">
        <f t="shared" si="64"/>
        <v>19.432593856655302</v>
      </c>
      <c r="Y114" s="99"/>
    </row>
    <row r="115" spans="2:25" ht="13.5" thickBot="1">
      <c r="B115" s="70"/>
      <c r="C115" s="70"/>
      <c r="D115" s="70"/>
      <c r="E115" s="70"/>
      <c r="F115" s="70"/>
      <c r="G115" s="70"/>
      <c r="H115" s="70"/>
      <c r="I115" s="247"/>
      <c r="L115" s="12" t="s">
        <v>16</v>
      </c>
      <c r="M115" s="29">
        <v>1824</v>
      </c>
      <c r="N115" s="36">
        <v>3206</v>
      </c>
      <c r="O115" s="33">
        <f>M115+N115</f>
        <v>5030</v>
      </c>
      <c r="P115" s="34">
        <v>1</v>
      </c>
      <c r="Q115" s="35">
        <f>O115+P115</f>
        <v>5031</v>
      </c>
      <c r="R115" s="29">
        <v>1996</v>
      </c>
      <c r="S115" s="36">
        <v>3940</v>
      </c>
      <c r="T115" s="33">
        <f>R115+S115</f>
        <v>5936</v>
      </c>
      <c r="U115" s="34">
        <v>1</v>
      </c>
      <c r="V115" s="31">
        <f>T115+U115</f>
        <v>5937</v>
      </c>
      <c r="W115" s="256">
        <f t="shared" si="64"/>
        <v>18.00834824090638</v>
      </c>
      <c r="Y115" s="99"/>
    </row>
    <row r="116" spans="2:25" ht="14.25" thickBot="1" thickTop="1">
      <c r="B116" s="70"/>
      <c r="C116" s="70"/>
      <c r="D116" s="70"/>
      <c r="E116" s="70"/>
      <c r="F116" s="70"/>
      <c r="G116" s="70"/>
      <c r="H116" s="70"/>
      <c r="I116" s="247"/>
      <c r="L116" s="39" t="s">
        <v>17</v>
      </c>
      <c r="M116" s="40">
        <f>+M113+M114+M115</f>
        <v>5084</v>
      </c>
      <c r="N116" s="41">
        <f>+N113+N114+N115</f>
        <v>9019</v>
      </c>
      <c r="O116" s="40">
        <f>+O113+O114+O115</f>
        <v>14103</v>
      </c>
      <c r="P116" s="40">
        <f>+P113+P114+P115</f>
        <v>13</v>
      </c>
      <c r="Q116" s="40">
        <f aca="true" t="shared" si="65" ref="Q116:V116">+Q113+Q114+Q115</f>
        <v>14116</v>
      </c>
      <c r="R116" s="40">
        <f t="shared" si="65"/>
        <v>5579</v>
      </c>
      <c r="S116" s="41">
        <f t="shared" si="65"/>
        <v>11046</v>
      </c>
      <c r="T116" s="40">
        <f t="shared" si="65"/>
        <v>16625</v>
      </c>
      <c r="U116" s="40">
        <f t="shared" si="65"/>
        <v>16</v>
      </c>
      <c r="V116" s="42">
        <f t="shared" si="65"/>
        <v>16641</v>
      </c>
      <c r="W116" s="257">
        <f t="shared" si="64"/>
        <v>17.88750354207991</v>
      </c>
      <c r="Y116" s="99"/>
    </row>
    <row r="117" spans="2:25" ht="13.5" thickTop="1">
      <c r="B117" s="70"/>
      <c r="C117" s="70"/>
      <c r="D117" s="70"/>
      <c r="E117" s="70"/>
      <c r="F117" s="70"/>
      <c r="G117" s="70"/>
      <c r="H117" s="70"/>
      <c r="I117" s="247"/>
      <c r="L117" s="4" t="s">
        <v>18</v>
      </c>
      <c r="M117" s="29">
        <v>1692</v>
      </c>
      <c r="N117" s="36">
        <v>2831</v>
      </c>
      <c r="O117" s="33">
        <f>M117+N117</f>
        <v>4523</v>
      </c>
      <c r="P117" s="34">
        <v>0</v>
      </c>
      <c r="Q117" s="35">
        <f>O117+P117</f>
        <v>4523</v>
      </c>
      <c r="R117" s="29">
        <v>1871</v>
      </c>
      <c r="S117" s="36">
        <v>3645</v>
      </c>
      <c r="T117" s="33">
        <f>R117+S117</f>
        <v>5516</v>
      </c>
      <c r="U117" s="34">
        <v>0</v>
      </c>
      <c r="V117" s="31">
        <f>T117+U117</f>
        <v>5516</v>
      </c>
      <c r="W117" s="256">
        <f t="shared" si="64"/>
        <v>21.954455007738225</v>
      </c>
      <c r="Y117" s="99"/>
    </row>
    <row r="118" spans="2:27" ht="12.75">
      <c r="B118" s="70"/>
      <c r="C118" s="70"/>
      <c r="D118" s="70"/>
      <c r="E118" s="70"/>
      <c r="F118" s="70"/>
      <c r="G118" s="70"/>
      <c r="H118" s="70"/>
      <c r="I118" s="247"/>
      <c r="L118" s="4" t="s">
        <v>19</v>
      </c>
      <c r="M118" s="29">
        <v>1449</v>
      </c>
      <c r="N118" s="36">
        <v>2768</v>
      </c>
      <c r="O118" s="33">
        <f>M118+N118</f>
        <v>4217</v>
      </c>
      <c r="P118" s="34">
        <v>7</v>
      </c>
      <c r="Q118" s="35">
        <f>O118+P118</f>
        <v>4224</v>
      </c>
      <c r="R118" s="29">
        <v>1763</v>
      </c>
      <c r="S118" s="36">
        <v>3582</v>
      </c>
      <c r="T118" s="33">
        <f>R118+S118</f>
        <v>5345</v>
      </c>
      <c r="U118" s="34">
        <v>0</v>
      </c>
      <c r="V118" s="31">
        <f>T118+U118</f>
        <v>5345</v>
      </c>
      <c r="W118" s="256">
        <f>IF(Q118=0,0,((V118/Q118)-1)*100)</f>
        <v>26.538825757575758</v>
      </c>
      <c r="Y118" s="118"/>
      <c r="Z118" s="118"/>
      <c r="AA118" s="305"/>
    </row>
    <row r="119" spans="2:26" ht="13.5" thickBot="1">
      <c r="B119" s="70"/>
      <c r="C119" s="70"/>
      <c r="D119" s="70"/>
      <c r="E119" s="70"/>
      <c r="F119" s="70"/>
      <c r="G119" s="70"/>
      <c r="H119" s="70"/>
      <c r="I119" s="247"/>
      <c r="L119" s="4" t="s">
        <v>20</v>
      </c>
      <c r="M119" s="29">
        <v>1771</v>
      </c>
      <c r="N119" s="36">
        <v>3289</v>
      </c>
      <c r="O119" s="33">
        <f>M119+N119</f>
        <v>5060</v>
      </c>
      <c r="P119" s="34">
        <v>7</v>
      </c>
      <c r="Q119" s="35">
        <f>O119+P119</f>
        <v>5067</v>
      </c>
      <c r="R119" s="29">
        <v>1676</v>
      </c>
      <c r="S119" s="36">
        <v>3393</v>
      </c>
      <c r="T119" s="33">
        <f>R119+S119</f>
        <v>5069</v>
      </c>
      <c r="U119" s="34">
        <v>0</v>
      </c>
      <c r="V119" s="31">
        <f>T119+U119</f>
        <v>5069</v>
      </c>
      <c r="W119" s="256">
        <f t="shared" si="64"/>
        <v>0.0394710874284554</v>
      </c>
      <c r="Y119" s="99"/>
      <c r="Z119" s="99"/>
    </row>
    <row r="120" spans="1:26" ht="14.25" thickBot="1" thickTop="1">
      <c r="A120" s="70"/>
      <c r="B120" s="232"/>
      <c r="C120" s="234"/>
      <c r="D120" s="234"/>
      <c r="E120" s="234"/>
      <c r="F120" s="234"/>
      <c r="G120" s="234"/>
      <c r="H120" s="234"/>
      <c r="I120" s="276"/>
      <c r="J120" s="235"/>
      <c r="L120" s="44" t="s">
        <v>21</v>
      </c>
      <c r="M120" s="40">
        <f aca="true" t="shared" si="66" ref="M120:V120">M119+M118+M117</f>
        <v>4912</v>
      </c>
      <c r="N120" s="41">
        <f t="shared" si="66"/>
        <v>8888</v>
      </c>
      <c r="O120" s="40">
        <f t="shared" si="66"/>
        <v>13800</v>
      </c>
      <c r="P120" s="40">
        <f t="shared" si="66"/>
        <v>14</v>
      </c>
      <c r="Q120" s="40">
        <f t="shared" si="66"/>
        <v>13814</v>
      </c>
      <c r="R120" s="40">
        <f t="shared" si="66"/>
        <v>5310</v>
      </c>
      <c r="S120" s="41">
        <f t="shared" si="66"/>
        <v>10620</v>
      </c>
      <c r="T120" s="40">
        <f t="shared" si="66"/>
        <v>15930</v>
      </c>
      <c r="U120" s="40">
        <f t="shared" si="66"/>
        <v>0</v>
      </c>
      <c r="V120" s="42">
        <f t="shared" si="66"/>
        <v>15930</v>
      </c>
      <c r="W120" s="257">
        <f t="shared" si="64"/>
        <v>15.317793542782688</v>
      </c>
      <c r="Y120" s="99"/>
      <c r="Z120" s="99"/>
    </row>
    <row r="121" spans="2:27" ht="13.5" thickTop="1">
      <c r="B121" s="70"/>
      <c r="C121" s="70"/>
      <c r="D121" s="70"/>
      <c r="E121" s="70"/>
      <c r="F121" s="70"/>
      <c r="G121" s="70"/>
      <c r="H121" s="70"/>
      <c r="I121" s="247"/>
      <c r="L121" s="4" t="s">
        <v>22</v>
      </c>
      <c r="M121" s="29">
        <v>1373</v>
      </c>
      <c r="N121" s="36">
        <v>2791</v>
      </c>
      <c r="O121" s="33">
        <f>M121+N121</f>
        <v>4164</v>
      </c>
      <c r="P121" s="34">
        <v>0</v>
      </c>
      <c r="Q121" s="35">
        <f>O121+P121</f>
        <v>4164</v>
      </c>
      <c r="R121" s="29">
        <v>1288</v>
      </c>
      <c r="S121" s="36">
        <v>2762</v>
      </c>
      <c r="T121" s="33">
        <f>R121+S121</f>
        <v>4050</v>
      </c>
      <c r="U121" s="34">
        <v>0</v>
      </c>
      <c r="V121" s="31">
        <f>T121+U121</f>
        <v>4050</v>
      </c>
      <c r="W121" s="256">
        <f t="shared" si="64"/>
        <v>-2.737752161383289</v>
      </c>
      <c r="Y121" s="118"/>
      <c r="Z121" s="118"/>
      <c r="AA121" s="305"/>
    </row>
    <row r="122" spans="2:25" ht="12.75">
      <c r="B122" s="70"/>
      <c r="C122" s="70"/>
      <c r="D122" s="70"/>
      <c r="E122" s="70"/>
      <c r="F122" s="70"/>
      <c r="G122" s="70"/>
      <c r="H122" s="70"/>
      <c r="I122" s="247"/>
      <c r="L122" s="4" t="s">
        <v>23</v>
      </c>
      <c r="M122" s="29">
        <v>1396</v>
      </c>
      <c r="N122" s="36">
        <v>2812</v>
      </c>
      <c r="O122" s="33">
        <f>+M122+N122</f>
        <v>4208</v>
      </c>
      <c r="P122" s="34">
        <v>1</v>
      </c>
      <c r="Q122" s="35">
        <f>O122+P122</f>
        <v>4209</v>
      </c>
      <c r="R122" s="29">
        <v>1342</v>
      </c>
      <c r="S122" s="36">
        <v>2962</v>
      </c>
      <c r="T122" s="33">
        <f>+R122+S122</f>
        <v>4304</v>
      </c>
      <c r="U122" s="34">
        <v>0</v>
      </c>
      <c r="V122" s="31">
        <f>+T122+U122</f>
        <v>4304</v>
      </c>
      <c r="W122" s="256">
        <f t="shared" si="64"/>
        <v>2.25706818721787</v>
      </c>
      <c r="Y122" s="99"/>
    </row>
    <row r="123" spans="2:25" ht="13.5" thickBot="1">
      <c r="B123" s="70"/>
      <c r="C123" s="70"/>
      <c r="D123" s="70"/>
      <c r="E123" s="70"/>
      <c r="F123" s="70"/>
      <c r="G123" s="70"/>
      <c r="H123" s="70"/>
      <c r="I123" s="247"/>
      <c r="L123" s="4" t="s">
        <v>24</v>
      </c>
      <c r="M123" s="29">
        <v>1247</v>
      </c>
      <c r="N123" s="36">
        <v>2851</v>
      </c>
      <c r="O123" s="51">
        <f>+M123+N123</f>
        <v>4098</v>
      </c>
      <c r="P123" s="52">
        <v>0</v>
      </c>
      <c r="Q123" s="35">
        <f>O123+P123</f>
        <v>4098</v>
      </c>
      <c r="R123" s="29">
        <v>1120</v>
      </c>
      <c r="S123" s="36">
        <v>2821</v>
      </c>
      <c r="T123" s="51">
        <f>+R123+S123</f>
        <v>3941</v>
      </c>
      <c r="U123" s="52">
        <v>1</v>
      </c>
      <c r="V123" s="31">
        <f>+T123+U123</f>
        <v>3942</v>
      </c>
      <c r="W123" s="256">
        <f t="shared" si="64"/>
        <v>-3.8067349926793503</v>
      </c>
      <c r="Y123" s="99"/>
    </row>
    <row r="124" spans="2:25" ht="14.25" thickBot="1" thickTop="1">
      <c r="B124" s="70"/>
      <c r="C124" s="70"/>
      <c r="D124" s="70"/>
      <c r="E124" s="70"/>
      <c r="F124" s="70"/>
      <c r="G124" s="70"/>
      <c r="H124" s="70"/>
      <c r="I124" s="247"/>
      <c r="L124" s="44" t="s">
        <v>25</v>
      </c>
      <c r="M124" s="45">
        <f aca="true" t="shared" si="67" ref="M124:V124">+M121+M122+M123</f>
        <v>4016</v>
      </c>
      <c r="N124" s="45">
        <f t="shared" si="67"/>
        <v>8454</v>
      </c>
      <c r="O124" s="47">
        <f t="shared" si="67"/>
        <v>12470</v>
      </c>
      <c r="P124" s="47">
        <f t="shared" si="67"/>
        <v>1</v>
      </c>
      <c r="Q124" s="47">
        <f t="shared" si="67"/>
        <v>12471</v>
      </c>
      <c r="R124" s="45">
        <f t="shared" si="67"/>
        <v>3750</v>
      </c>
      <c r="S124" s="45">
        <f t="shared" si="67"/>
        <v>8545</v>
      </c>
      <c r="T124" s="47">
        <f t="shared" si="67"/>
        <v>12295</v>
      </c>
      <c r="U124" s="47">
        <f t="shared" si="67"/>
        <v>1</v>
      </c>
      <c r="V124" s="47">
        <f t="shared" si="67"/>
        <v>12296</v>
      </c>
      <c r="W124" s="257">
        <f t="shared" si="64"/>
        <v>-1.4032555528826873</v>
      </c>
      <c r="Y124" s="99"/>
    </row>
    <row r="125" spans="2:27" s="100" customFormat="1" ht="12.75" customHeight="1" thickTop="1">
      <c r="B125" s="229"/>
      <c r="C125" s="229"/>
      <c r="D125" s="229"/>
      <c r="E125" s="229"/>
      <c r="F125" s="229"/>
      <c r="G125" s="229"/>
      <c r="H125" s="229"/>
      <c r="I125" s="282"/>
      <c r="L125" s="101" t="s">
        <v>27</v>
      </c>
      <c r="M125" s="102">
        <v>1252</v>
      </c>
      <c r="N125" s="103">
        <v>2905</v>
      </c>
      <c r="O125" s="115">
        <f>+M125+N125</f>
        <v>4157</v>
      </c>
      <c r="P125" s="116">
        <v>13</v>
      </c>
      <c r="Q125" s="106">
        <f>O125+P125</f>
        <v>4170</v>
      </c>
      <c r="R125" s="102">
        <v>1327</v>
      </c>
      <c r="S125" s="103">
        <v>2760</v>
      </c>
      <c r="T125" s="115">
        <f>+R125+S125</f>
        <v>4087</v>
      </c>
      <c r="U125" s="116">
        <v>6</v>
      </c>
      <c r="V125" s="107">
        <f>+T125+U125</f>
        <v>4093</v>
      </c>
      <c r="W125" s="256">
        <f t="shared" si="64"/>
        <v>-1.8465227817745844</v>
      </c>
      <c r="X125" s="303"/>
      <c r="Y125" s="99"/>
      <c r="AA125" s="305"/>
    </row>
    <row r="126" spans="2:27" s="100" customFormat="1" ht="12.75" customHeight="1">
      <c r="B126" s="228"/>
      <c r="C126" s="228"/>
      <c r="D126" s="228"/>
      <c r="E126" s="228"/>
      <c r="F126" s="228"/>
      <c r="G126" s="228"/>
      <c r="H126" s="228"/>
      <c r="I126" s="248"/>
      <c r="L126" s="101" t="s">
        <v>28</v>
      </c>
      <c r="M126" s="102">
        <v>1281</v>
      </c>
      <c r="N126" s="103">
        <v>2824</v>
      </c>
      <c r="O126" s="115">
        <f>+M126+N126</f>
        <v>4105</v>
      </c>
      <c r="P126" s="105">
        <v>2</v>
      </c>
      <c r="Q126" s="106">
        <f>O126+P126</f>
        <v>4107</v>
      </c>
      <c r="R126" s="102">
        <v>1240</v>
      </c>
      <c r="S126" s="103">
        <v>2701</v>
      </c>
      <c r="T126" s="115">
        <f>+R126+S126</f>
        <v>3941</v>
      </c>
      <c r="U126" s="105">
        <v>3</v>
      </c>
      <c r="V126" s="107">
        <f>+T126+U126</f>
        <v>3944</v>
      </c>
      <c r="W126" s="256">
        <f>IF(Q126=0,0,((V126/Q126)-1)*100)</f>
        <v>-3.968833698563423</v>
      </c>
      <c r="X126" s="303"/>
      <c r="Y126" s="99"/>
      <c r="AA126" s="305"/>
    </row>
    <row r="127" spans="2:27" s="100" customFormat="1" ht="12.75" customHeight="1" thickBot="1">
      <c r="B127" s="228"/>
      <c r="C127" s="228"/>
      <c r="D127" s="228"/>
      <c r="E127" s="228"/>
      <c r="F127" s="228"/>
      <c r="G127" s="228"/>
      <c r="H127" s="228"/>
      <c r="I127" s="248"/>
      <c r="L127" s="101" t="s">
        <v>29</v>
      </c>
      <c r="M127" s="102">
        <v>1129</v>
      </c>
      <c r="N127" s="103">
        <v>2794</v>
      </c>
      <c r="O127" s="115">
        <f>+M127+N127</f>
        <v>3923</v>
      </c>
      <c r="P127" s="105">
        <v>0</v>
      </c>
      <c r="Q127" s="106">
        <f>O127+P127</f>
        <v>3923</v>
      </c>
      <c r="R127" s="102">
        <v>1352</v>
      </c>
      <c r="S127" s="103">
        <v>2748</v>
      </c>
      <c r="T127" s="115">
        <f>+R127+S127</f>
        <v>4100</v>
      </c>
      <c r="U127" s="105">
        <v>0</v>
      </c>
      <c r="V127" s="107">
        <f>+T127+U127</f>
        <v>4100</v>
      </c>
      <c r="W127" s="256">
        <f t="shared" si="64"/>
        <v>4.51185317359164</v>
      </c>
      <c r="X127" s="303"/>
      <c r="Y127" s="99"/>
      <c r="AA127" s="305"/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47"/>
      <c r="L128" s="39" t="s">
        <v>30</v>
      </c>
      <c r="M128" s="40">
        <f aca="true" t="shared" si="68" ref="M128:V128">+M125+M126+M127</f>
        <v>3662</v>
      </c>
      <c r="N128" s="41">
        <f t="shared" si="68"/>
        <v>8523</v>
      </c>
      <c r="O128" s="40">
        <f t="shared" si="68"/>
        <v>12185</v>
      </c>
      <c r="P128" s="40">
        <f t="shared" si="68"/>
        <v>15</v>
      </c>
      <c r="Q128" s="40">
        <f t="shared" si="68"/>
        <v>12200</v>
      </c>
      <c r="R128" s="40">
        <f t="shared" si="68"/>
        <v>3919</v>
      </c>
      <c r="S128" s="41">
        <f t="shared" si="68"/>
        <v>8209</v>
      </c>
      <c r="T128" s="40">
        <f t="shared" si="68"/>
        <v>12128</v>
      </c>
      <c r="U128" s="40">
        <f t="shared" si="68"/>
        <v>9</v>
      </c>
      <c r="V128" s="40">
        <f t="shared" si="68"/>
        <v>12137</v>
      </c>
      <c r="W128" s="257">
        <f t="shared" si="64"/>
        <v>-0.5163934426229533</v>
      </c>
    </row>
    <row r="129" spans="1:26" ht="14.25" thickBot="1" thickTop="1">
      <c r="A129" s="220"/>
      <c r="B129" s="232"/>
      <c r="C129" s="234"/>
      <c r="D129" s="234"/>
      <c r="E129" s="234"/>
      <c r="F129" s="234"/>
      <c r="G129" s="234"/>
      <c r="H129" s="234"/>
      <c r="I129" s="276"/>
      <c r="J129" s="307"/>
      <c r="L129" s="39" t="s">
        <v>66</v>
      </c>
      <c r="M129" s="40">
        <f aca="true" t="shared" si="69" ref="M129:V129">+M120+M124+M128</f>
        <v>12590</v>
      </c>
      <c r="N129" s="41">
        <f t="shared" si="69"/>
        <v>25865</v>
      </c>
      <c r="O129" s="40">
        <f t="shared" si="69"/>
        <v>38455</v>
      </c>
      <c r="P129" s="40">
        <f t="shared" si="69"/>
        <v>30</v>
      </c>
      <c r="Q129" s="40">
        <f t="shared" si="69"/>
        <v>38485</v>
      </c>
      <c r="R129" s="40">
        <f t="shared" si="69"/>
        <v>12979</v>
      </c>
      <c r="S129" s="41">
        <f t="shared" si="69"/>
        <v>27374</v>
      </c>
      <c r="T129" s="40">
        <f t="shared" si="69"/>
        <v>40353</v>
      </c>
      <c r="U129" s="40">
        <f t="shared" si="69"/>
        <v>10</v>
      </c>
      <c r="V129" s="42">
        <f t="shared" si="69"/>
        <v>40363</v>
      </c>
      <c r="W129" s="257">
        <f t="shared" si="64"/>
        <v>4.8798233077822495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47"/>
      <c r="L130" s="39" t="s">
        <v>9</v>
      </c>
      <c r="M130" s="40">
        <f aca="true" t="shared" si="70" ref="M130:V130">+M116+M120+M124+M128</f>
        <v>17674</v>
      </c>
      <c r="N130" s="41">
        <f t="shared" si="70"/>
        <v>34884</v>
      </c>
      <c r="O130" s="40">
        <f t="shared" si="70"/>
        <v>52558</v>
      </c>
      <c r="P130" s="40">
        <f t="shared" si="70"/>
        <v>43</v>
      </c>
      <c r="Q130" s="40">
        <f t="shared" si="70"/>
        <v>52601</v>
      </c>
      <c r="R130" s="40">
        <f t="shared" si="70"/>
        <v>18558</v>
      </c>
      <c r="S130" s="41">
        <f t="shared" si="70"/>
        <v>38420</v>
      </c>
      <c r="T130" s="40">
        <f t="shared" si="70"/>
        <v>56978</v>
      </c>
      <c r="U130" s="40">
        <f t="shared" si="70"/>
        <v>26</v>
      </c>
      <c r="V130" s="40">
        <f t="shared" si="70"/>
        <v>57004</v>
      </c>
      <c r="W130" s="257">
        <f t="shared" si="64"/>
        <v>8.370563297275723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47"/>
      <c r="L131" s="63" t="s">
        <v>64</v>
      </c>
      <c r="S131" s="99"/>
      <c r="W131" s="243"/>
    </row>
    <row r="132" spans="2:23" ht="12.75">
      <c r="B132" s="70"/>
      <c r="C132" s="70"/>
      <c r="D132" s="70"/>
      <c r="E132" s="70"/>
      <c r="F132" s="70"/>
      <c r="G132" s="70"/>
      <c r="H132" s="70"/>
      <c r="I132" s="247"/>
      <c r="L132" s="336" t="s">
        <v>49</v>
      </c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</row>
    <row r="133" spans="2:23" ht="15.75">
      <c r="B133" s="70"/>
      <c r="C133" s="70"/>
      <c r="D133" s="70"/>
      <c r="E133" s="70"/>
      <c r="F133" s="70"/>
      <c r="G133" s="70"/>
      <c r="H133" s="70"/>
      <c r="I133" s="247"/>
      <c r="L133" s="337" t="s">
        <v>50</v>
      </c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47"/>
      <c r="W134" s="242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47"/>
      <c r="L135" s="3"/>
      <c r="M135" s="347" t="s">
        <v>67</v>
      </c>
      <c r="N135" s="348"/>
      <c r="O135" s="348"/>
      <c r="P135" s="348"/>
      <c r="Q135" s="349"/>
      <c r="R135" s="338" t="s">
        <v>68</v>
      </c>
      <c r="S135" s="339"/>
      <c r="T135" s="339"/>
      <c r="U135" s="339"/>
      <c r="V135" s="340"/>
      <c r="W135" s="239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47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0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47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1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47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07"/>
    </row>
    <row r="139" spans="2:23" ht="12.75">
      <c r="B139" s="70"/>
      <c r="C139" s="70"/>
      <c r="D139" s="70"/>
      <c r="E139" s="70"/>
      <c r="F139" s="70"/>
      <c r="G139" s="70"/>
      <c r="H139" s="70"/>
      <c r="I139" s="247"/>
      <c r="L139" s="4" t="s">
        <v>14</v>
      </c>
      <c r="M139" s="29">
        <f aca="true" t="shared" si="71" ref="M139:N141">+M87+M113</f>
        <v>48754</v>
      </c>
      <c r="N139" s="36">
        <f t="shared" si="71"/>
        <v>66112</v>
      </c>
      <c r="O139" s="33">
        <f>M139+N139</f>
        <v>114866</v>
      </c>
      <c r="P139" s="34">
        <f>+P87+P113</f>
        <v>2701</v>
      </c>
      <c r="Q139" s="35">
        <f>O139+P139</f>
        <v>117567</v>
      </c>
      <c r="R139" s="29">
        <f aca="true" t="shared" si="72" ref="R139:S141">+R87+R113</f>
        <v>48850</v>
      </c>
      <c r="S139" s="36">
        <f t="shared" si="72"/>
        <v>60763</v>
      </c>
      <c r="T139" s="33">
        <f>R139+S139</f>
        <v>109613</v>
      </c>
      <c r="U139" s="34">
        <f>+U87+U113</f>
        <v>2908</v>
      </c>
      <c r="V139" s="31">
        <f>T139+U139</f>
        <v>112521</v>
      </c>
      <c r="W139" s="256">
        <f aca="true" t="shared" si="73" ref="W139:W156">IF(Q139=0,0,((V139/Q139)-1)*100)</f>
        <v>-4.292020720100032</v>
      </c>
    </row>
    <row r="140" spans="2:25" ht="12.75">
      <c r="B140" s="70"/>
      <c r="C140" s="70"/>
      <c r="D140" s="70"/>
      <c r="E140" s="70"/>
      <c r="F140" s="70"/>
      <c r="G140" s="70"/>
      <c r="H140" s="70"/>
      <c r="I140" s="247"/>
      <c r="L140" s="4" t="s">
        <v>15</v>
      </c>
      <c r="M140" s="29">
        <f t="shared" si="71"/>
        <v>47634</v>
      </c>
      <c r="N140" s="36">
        <f t="shared" si="71"/>
        <v>66824</v>
      </c>
      <c r="O140" s="33">
        <f>M140+N140</f>
        <v>114458</v>
      </c>
      <c r="P140" s="34">
        <f>+P88+P114</f>
        <v>2617</v>
      </c>
      <c r="Q140" s="35">
        <f>O140+P140</f>
        <v>117075</v>
      </c>
      <c r="R140" s="29">
        <f t="shared" si="72"/>
        <v>49232</v>
      </c>
      <c r="S140" s="36">
        <f t="shared" si="72"/>
        <v>55371</v>
      </c>
      <c r="T140" s="33">
        <f>R140+S140</f>
        <v>104603</v>
      </c>
      <c r="U140" s="34">
        <f>+U88+U114</f>
        <v>2809</v>
      </c>
      <c r="V140" s="31">
        <f>T140+U140</f>
        <v>107412</v>
      </c>
      <c r="W140" s="256">
        <f t="shared" si="73"/>
        <v>-8.253683536194744</v>
      </c>
      <c r="Y140" s="99"/>
    </row>
    <row r="141" spans="2:25" ht="13.5" thickBot="1">
      <c r="B141" s="70"/>
      <c r="C141" s="70"/>
      <c r="D141" s="70"/>
      <c r="E141" s="70"/>
      <c r="F141" s="70"/>
      <c r="G141" s="70"/>
      <c r="H141" s="70"/>
      <c r="I141" s="247"/>
      <c r="L141" s="12" t="s">
        <v>16</v>
      </c>
      <c r="M141" s="29">
        <f t="shared" si="71"/>
        <v>47135</v>
      </c>
      <c r="N141" s="36">
        <f t="shared" si="71"/>
        <v>68378</v>
      </c>
      <c r="O141" s="33">
        <f>M141+N141</f>
        <v>115513</v>
      </c>
      <c r="P141" s="34">
        <f>+P89+P115</f>
        <v>2420</v>
      </c>
      <c r="Q141" s="35">
        <f>O141+P141</f>
        <v>117933</v>
      </c>
      <c r="R141" s="29">
        <f t="shared" si="72"/>
        <v>54674</v>
      </c>
      <c r="S141" s="36">
        <f t="shared" si="72"/>
        <v>63489</v>
      </c>
      <c r="T141" s="33">
        <f>R141+S141</f>
        <v>118163</v>
      </c>
      <c r="U141" s="34">
        <f>+U89+U115</f>
        <v>2827</v>
      </c>
      <c r="V141" s="31">
        <f>T141+U141</f>
        <v>120990</v>
      </c>
      <c r="W141" s="256">
        <f t="shared" si="73"/>
        <v>2.592149779959807</v>
      </c>
      <c r="Y141" s="99"/>
    </row>
    <row r="142" spans="2:25" ht="14.25" thickBot="1" thickTop="1">
      <c r="B142" s="70"/>
      <c r="C142" s="70"/>
      <c r="D142" s="70"/>
      <c r="E142" s="70"/>
      <c r="F142" s="70"/>
      <c r="G142" s="70"/>
      <c r="H142" s="70"/>
      <c r="I142" s="247"/>
      <c r="L142" s="39" t="s">
        <v>17</v>
      </c>
      <c r="M142" s="40">
        <f aca="true" t="shared" si="74" ref="M142:V142">+M139+M140+M141</f>
        <v>143523</v>
      </c>
      <c r="N142" s="41">
        <f t="shared" si="74"/>
        <v>201314</v>
      </c>
      <c r="O142" s="40">
        <f t="shared" si="74"/>
        <v>344837</v>
      </c>
      <c r="P142" s="40">
        <f t="shared" si="74"/>
        <v>7738</v>
      </c>
      <c r="Q142" s="40">
        <f t="shared" si="74"/>
        <v>352575</v>
      </c>
      <c r="R142" s="40">
        <f t="shared" si="74"/>
        <v>152756</v>
      </c>
      <c r="S142" s="41">
        <f t="shared" si="74"/>
        <v>179623</v>
      </c>
      <c r="T142" s="40">
        <f t="shared" si="74"/>
        <v>332379</v>
      </c>
      <c r="U142" s="40">
        <f t="shared" si="74"/>
        <v>8544</v>
      </c>
      <c r="V142" s="42">
        <f t="shared" si="74"/>
        <v>340923</v>
      </c>
      <c r="W142" s="257">
        <f t="shared" si="73"/>
        <v>-3.3048287598383297</v>
      </c>
      <c r="Y142" s="99"/>
    </row>
    <row r="143" spans="2:25" ht="13.5" thickTop="1">
      <c r="B143" s="70"/>
      <c r="C143" s="70"/>
      <c r="D143" s="70"/>
      <c r="E143" s="70"/>
      <c r="F143" s="70"/>
      <c r="G143" s="70"/>
      <c r="H143" s="70"/>
      <c r="I143" s="247"/>
      <c r="L143" s="4" t="s">
        <v>18</v>
      </c>
      <c r="M143" s="29">
        <f aca="true" t="shared" si="75" ref="M143:N145">+M91+M117</f>
        <v>45533</v>
      </c>
      <c r="N143" s="36">
        <f t="shared" si="75"/>
        <v>61400</v>
      </c>
      <c r="O143" s="33">
        <f>M143+N143</f>
        <v>106933</v>
      </c>
      <c r="P143" s="34">
        <f>+P91+P117</f>
        <v>2187</v>
      </c>
      <c r="Q143" s="35">
        <f>O143+P143</f>
        <v>109120</v>
      </c>
      <c r="R143" s="29">
        <f aca="true" t="shared" si="76" ref="R143:S145">+R91+R117</f>
        <v>48224</v>
      </c>
      <c r="S143" s="36">
        <f t="shared" si="76"/>
        <v>62186</v>
      </c>
      <c r="T143" s="33">
        <f>R143+S143</f>
        <v>110410</v>
      </c>
      <c r="U143" s="34">
        <f>+U91+U117</f>
        <v>2476</v>
      </c>
      <c r="V143" s="31">
        <f>T143+U143</f>
        <v>112886</v>
      </c>
      <c r="W143" s="256">
        <f t="shared" si="73"/>
        <v>3.4512463343108424</v>
      </c>
      <c r="Y143" s="99"/>
    </row>
    <row r="144" spans="2:27" ht="12.75">
      <c r="B144" s="70"/>
      <c r="C144" s="70"/>
      <c r="D144" s="70"/>
      <c r="E144" s="70"/>
      <c r="F144" s="70"/>
      <c r="G144" s="70"/>
      <c r="H144" s="70"/>
      <c r="I144" s="247"/>
      <c r="L144" s="4" t="s">
        <v>19</v>
      </c>
      <c r="M144" s="29">
        <f t="shared" si="75"/>
        <v>40827</v>
      </c>
      <c r="N144" s="36">
        <f t="shared" si="75"/>
        <v>57634</v>
      </c>
      <c r="O144" s="33">
        <f>M144+N144</f>
        <v>98461</v>
      </c>
      <c r="P144" s="34">
        <f>+P92+P118</f>
        <v>1885</v>
      </c>
      <c r="Q144" s="35">
        <f>O144+P144</f>
        <v>100346</v>
      </c>
      <c r="R144" s="29">
        <f t="shared" si="76"/>
        <v>51654</v>
      </c>
      <c r="S144" s="36">
        <f t="shared" si="76"/>
        <v>63264</v>
      </c>
      <c r="T144" s="33">
        <f>R144+S144</f>
        <v>114918</v>
      </c>
      <c r="U144" s="34">
        <f>+U92+U118</f>
        <v>3001</v>
      </c>
      <c r="V144" s="31">
        <f>T144+U144</f>
        <v>117919</v>
      </c>
      <c r="W144" s="256">
        <f t="shared" si="73"/>
        <v>17.5124070715325</v>
      </c>
      <c r="Y144" s="118"/>
      <c r="Z144" s="118"/>
      <c r="AA144" s="305"/>
    </row>
    <row r="145" spans="2:25" ht="13.5" thickBot="1">
      <c r="B145" s="70"/>
      <c r="C145" s="70"/>
      <c r="D145" s="70"/>
      <c r="E145" s="70"/>
      <c r="F145" s="70"/>
      <c r="G145" s="70"/>
      <c r="H145" s="70"/>
      <c r="I145" s="247"/>
      <c r="L145" s="4" t="s">
        <v>20</v>
      </c>
      <c r="M145" s="29">
        <f t="shared" si="75"/>
        <v>52757</v>
      </c>
      <c r="N145" s="36">
        <f t="shared" si="75"/>
        <v>69970</v>
      </c>
      <c r="O145" s="33">
        <f>M145+N145</f>
        <v>122727</v>
      </c>
      <c r="P145" s="34">
        <f>+P93+P119</f>
        <v>2395</v>
      </c>
      <c r="Q145" s="35">
        <f>O145+P145</f>
        <v>125122</v>
      </c>
      <c r="R145" s="29">
        <f t="shared" si="76"/>
        <v>56803</v>
      </c>
      <c r="S145" s="36">
        <f t="shared" si="76"/>
        <v>70888</v>
      </c>
      <c r="T145" s="33">
        <f>R145+S145</f>
        <v>127691</v>
      </c>
      <c r="U145" s="34">
        <f>+U93+U119</f>
        <v>3050</v>
      </c>
      <c r="V145" s="31">
        <f>T145+U145</f>
        <v>130741</v>
      </c>
      <c r="W145" s="256">
        <f t="shared" si="73"/>
        <v>4.490816962644462</v>
      </c>
      <c r="Y145" s="99"/>
    </row>
    <row r="146" spans="1:26" ht="14.25" thickBot="1" thickTop="1">
      <c r="A146" s="70"/>
      <c r="B146" s="232"/>
      <c r="C146" s="234"/>
      <c r="D146" s="234"/>
      <c r="E146" s="234"/>
      <c r="F146" s="234"/>
      <c r="G146" s="234"/>
      <c r="H146" s="234"/>
      <c r="I146" s="276"/>
      <c r="J146" s="235"/>
      <c r="L146" s="44" t="s">
        <v>21</v>
      </c>
      <c r="M146" s="40">
        <f aca="true" t="shared" si="77" ref="M146:V146">M145+M144+M143</f>
        <v>139117</v>
      </c>
      <c r="N146" s="41">
        <f t="shared" si="77"/>
        <v>189004</v>
      </c>
      <c r="O146" s="40">
        <f t="shared" si="77"/>
        <v>328121</v>
      </c>
      <c r="P146" s="40">
        <f t="shared" si="77"/>
        <v>6467</v>
      </c>
      <c r="Q146" s="40">
        <f t="shared" si="77"/>
        <v>334588</v>
      </c>
      <c r="R146" s="40">
        <f t="shared" si="77"/>
        <v>156681</v>
      </c>
      <c r="S146" s="41">
        <f t="shared" si="77"/>
        <v>196338</v>
      </c>
      <c r="T146" s="40">
        <f t="shared" si="77"/>
        <v>353019</v>
      </c>
      <c r="U146" s="40">
        <f t="shared" si="77"/>
        <v>8527</v>
      </c>
      <c r="V146" s="42">
        <f t="shared" si="77"/>
        <v>361546</v>
      </c>
      <c r="W146" s="257">
        <f t="shared" si="73"/>
        <v>8.057073176563412</v>
      </c>
      <c r="Y146" s="99"/>
      <c r="Z146" s="99"/>
    </row>
    <row r="147" spans="2:27" ht="13.5" thickTop="1">
      <c r="B147" s="70"/>
      <c r="C147" s="70"/>
      <c r="D147" s="70"/>
      <c r="E147" s="70"/>
      <c r="F147" s="70"/>
      <c r="G147" s="70"/>
      <c r="H147" s="70"/>
      <c r="I147" s="247"/>
      <c r="L147" s="4" t="s">
        <v>22</v>
      </c>
      <c r="M147" s="29">
        <f aca="true" t="shared" si="78" ref="M147:N149">+M95+M121</f>
        <v>46292</v>
      </c>
      <c r="N147" s="36">
        <f t="shared" si="78"/>
        <v>61951</v>
      </c>
      <c r="O147" s="33">
        <f>M147+N147</f>
        <v>108243</v>
      </c>
      <c r="P147" s="34">
        <f>+P95+P121</f>
        <v>2156</v>
      </c>
      <c r="Q147" s="35">
        <f>O147+P147</f>
        <v>110399</v>
      </c>
      <c r="R147" s="93">
        <f aca="true" t="shared" si="79" ref="R147:S149">+R95+R121</f>
        <v>50868</v>
      </c>
      <c r="S147" s="92">
        <f t="shared" si="79"/>
        <v>63129</v>
      </c>
      <c r="T147" s="33">
        <f>R147+S147</f>
        <v>113997</v>
      </c>
      <c r="U147" s="34">
        <f>+U95+U121</f>
        <v>2861</v>
      </c>
      <c r="V147" s="31">
        <f>T147+U147</f>
        <v>116858</v>
      </c>
      <c r="W147" s="256">
        <f t="shared" si="73"/>
        <v>5.850596472794134</v>
      </c>
      <c r="Y147" s="118"/>
      <c r="Z147" s="118"/>
      <c r="AA147" s="305"/>
    </row>
    <row r="148" spans="2:25" ht="12.75">
      <c r="B148" s="70"/>
      <c r="C148" s="70"/>
      <c r="D148" s="70"/>
      <c r="E148" s="70"/>
      <c r="F148" s="70"/>
      <c r="G148" s="70"/>
      <c r="H148" s="70"/>
      <c r="I148" s="247"/>
      <c r="L148" s="4" t="s">
        <v>23</v>
      </c>
      <c r="M148" s="29">
        <f t="shared" si="78"/>
        <v>46026</v>
      </c>
      <c r="N148" s="36">
        <f t="shared" si="78"/>
        <v>63082</v>
      </c>
      <c r="O148" s="33">
        <f>M148+N148</f>
        <v>109108</v>
      </c>
      <c r="P148" s="34">
        <f>+P96+P122</f>
        <v>2024</v>
      </c>
      <c r="Q148" s="35">
        <f>O148+P148</f>
        <v>111132</v>
      </c>
      <c r="R148" s="29">
        <f t="shared" si="79"/>
        <v>50815</v>
      </c>
      <c r="S148" s="36">
        <f t="shared" si="79"/>
        <v>67399</v>
      </c>
      <c r="T148" s="33">
        <f>R148+S148</f>
        <v>118214</v>
      </c>
      <c r="U148" s="34">
        <f>+U96+U122</f>
        <v>2721</v>
      </c>
      <c r="V148" s="31">
        <f>T148+U148</f>
        <v>120935</v>
      </c>
      <c r="W148" s="256">
        <f t="shared" si="73"/>
        <v>8.8210416441709</v>
      </c>
      <c r="Y148" s="99"/>
    </row>
    <row r="149" spans="2:25" ht="13.5" thickBot="1">
      <c r="B149" s="70"/>
      <c r="C149" s="70"/>
      <c r="D149" s="70"/>
      <c r="E149" s="70"/>
      <c r="F149" s="70"/>
      <c r="G149" s="70"/>
      <c r="H149" s="70"/>
      <c r="I149" s="247"/>
      <c r="L149" s="4" t="s">
        <v>24</v>
      </c>
      <c r="M149" s="29">
        <f t="shared" si="78"/>
        <v>47708</v>
      </c>
      <c r="N149" s="36">
        <f t="shared" si="78"/>
        <v>64258</v>
      </c>
      <c r="O149" s="33">
        <f>M149+N149</f>
        <v>111966</v>
      </c>
      <c r="P149" s="34">
        <f>+P97+P123</f>
        <v>1678</v>
      </c>
      <c r="Q149" s="35">
        <f>O149+P149</f>
        <v>113644</v>
      </c>
      <c r="R149" s="29">
        <f t="shared" si="79"/>
        <v>48988</v>
      </c>
      <c r="S149" s="36">
        <f t="shared" si="79"/>
        <v>63418</v>
      </c>
      <c r="T149" s="33">
        <f>R149+S149</f>
        <v>112406</v>
      </c>
      <c r="U149" s="34">
        <f>+U97+U123</f>
        <v>3014</v>
      </c>
      <c r="V149" s="31">
        <f>T149+U149</f>
        <v>115420</v>
      </c>
      <c r="W149" s="256">
        <f t="shared" si="73"/>
        <v>1.5627749815212422</v>
      </c>
      <c r="Y149" s="99"/>
    </row>
    <row r="150" spans="2:25" ht="14.25" thickBot="1" thickTop="1">
      <c r="B150" s="70"/>
      <c r="C150" s="70"/>
      <c r="D150" s="70"/>
      <c r="E150" s="70"/>
      <c r="F150" s="70"/>
      <c r="G150" s="70"/>
      <c r="H150" s="70"/>
      <c r="I150" s="247"/>
      <c r="J150" s="70"/>
      <c r="L150" s="44" t="s">
        <v>25</v>
      </c>
      <c r="M150" s="45">
        <f aca="true" t="shared" si="80" ref="M150:V150">+M147+M148+M149</f>
        <v>140026</v>
      </c>
      <c r="N150" s="45">
        <f t="shared" si="80"/>
        <v>189291</v>
      </c>
      <c r="O150" s="47">
        <f t="shared" si="80"/>
        <v>329317</v>
      </c>
      <c r="P150" s="47">
        <f t="shared" si="80"/>
        <v>5858</v>
      </c>
      <c r="Q150" s="47">
        <f t="shared" si="80"/>
        <v>335175</v>
      </c>
      <c r="R150" s="45">
        <f t="shared" si="80"/>
        <v>150671</v>
      </c>
      <c r="S150" s="45">
        <f t="shared" si="80"/>
        <v>193946</v>
      </c>
      <c r="T150" s="47">
        <f t="shared" si="80"/>
        <v>344617</v>
      </c>
      <c r="U150" s="47">
        <f t="shared" si="80"/>
        <v>8596</v>
      </c>
      <c r="V150" s="47">
        <f t="shared" si="80"/>
        <v>353213</v>
      </c>
      <c r="W150" s="257">
        <f t="shared" si="73"/>
        <v>5.381666293727161</v>
      </c>
      <c r="Y150" s="99"/>
    </row>
    <row r="151" spans="2:25" ht="13.5" thickTop="1">
      <c r="B151" s="70"/>
      <c r="C151" s="70"/>
      <c r="D151" s="70"/>
      <c r="E151" s="70"/>
      <c r="F151" s="70"/>
      <c r="G151" s="70"/>
      <c r="H151" s="70"/>
      <c r="I151" s="247"/>
      <c r="J151" s="70"/>
      <c r="L151" s="4" t="s">
        <v>27</v>
      </c>
      <c r="M151" s="29">
        <f aca="true" t="shared" si="81" ref="M151:N153">+M99+M125</f>
        <v>49192</v>
      </c>
      <c r="N151" s="36">
        <f t="shared" si="81"/>
        <v>62999</v>
      </c>
      <c r="O151" s="33">
        <f>M151+N151</f>
        <v>112191</v>
      </c>
      <c r="P151" s="34">
        <f>+P99+P125</f>
        <v>2252</v>
      </c>
      <c r="Q151" s="35">
        <f>O151+P151</f>
        <v>114443</v>
      </c>
      <c r="R151" s="29">
        <f aca="true" t="shared" si="82" ref="R151:S153">+R99+R125</f>
        <v>50105</v>
      </c>
      <c r="S151" s="36">
        <f t="shared" si="82"/>
        <v>60589</v>
      </c>
      <c r="T151" s="51">
        <f>R151+S151</f>
        <v>110694</v>
      </c>
      <c r="U151" s="59">
        <f>+U99+U125</f>
        <v>2876</v>
      </c>
      <c r="V151" s="31">
        <f>T151+U151</f>
        <v>113570</v>
      </c>
      <c r="W151" s="256">
        <f t="shared" si="73"/>
        <v>-0.7628251618709725</v>
      </c>
      <c r="Y151" s="99"/>
    </row>
    <row r="152" spans="2:23" ht="12.75">
      <c r="B152" s="298"/>
      <c r="C152" s="146"/>
      <c r="D152" s="146"/>
      <c r="E152" s="234"/>
      <c r="F152" s="146"/>
      <c r="G152" s="146"/>
      <c r="H152" s="234"/>
      <c r="I152" s="295"/>
      <c r="J152" s="70"/>
      <c r="L152" s="4" t="s">
        <v>28</v>
      </c>
      <c r="M152" s="29">
        <f t="shared" si="81"/>
        <v>46733</v>
      </c>
      <c r="N152" s="36">
        <f t="shared" si="81"/>
        <v>61299</v>
      </c>
      <c r="O152" s="51">
        <f>+O100+O126</f>
        <v>108032</v>
      </c>
      <c r="P152" s="34">
        <f>+P100+P126</f>
        <v>2244</v>
      </c>
      <c r="Q152" s="35">
        <f>+Q100+Q126</f>
        <v>110276</v>
      </c>
      <c r="R152" s="29">
        <f t="shared" si="82"/>
        <v>47622</v>
      </c>
      <c r="S152" s="36">
        <f t="shared" si="82"/>
        <v>57110</v>
      </c>
      <c r="T152" s="51">
        <f>+T100+T126</f>
        <v>104732</v>
      </c>
      <c r="U152" s="34">
        <f>+U100+U126</f>
        <v>2879</v>
      </c>
      <c r="V152" s="31">
        <f>+V100+V126</f>
        <v>107611</v>
      </c>
      <c r="W152" s="256">
        <f>IF(Q152=0,0,((V152/Q152)-1)*100)</f>
        <v>-2.416663643947914</v>
      </c>
    </row>
    <row r="153" spans="2:27" s="100" customFormat="1" ht="12.75" customHeight="1" thickBot="1">
      <c r="B153" s="228"/>
      <c r="C153" s="228"/>
      <c r="D153" s="228"/>
      <c r="E153" s="228"/>
      <c r="F153" s="228"/>
      <c r="G153" s="228"/>
      <c r="H153" s="228"/>
      <c r="I153" s="248"/>
      <c r="L153" s="101" t="s">
        <v>29</v>
      </c>
      <c r="M153" s="102">
        <f t="shared" si="81"/>
        <v>47571</v>
      </c>
      <c r="N153" s="103">
        <f t="shared" si="81"/>
        <v>62485</v>
      </c>
      <c r="O153" s="104">
        <f>M153+N153</f>
        <v>110056</v>
      </c>
      <c r="P153" s="117">
        <f>+P101+P127</f>
        <v>2053</v>
      </c>
      <c r="Q153" s="106">
        <f>O153+P153</f>
        <v>112109</v>
      </c>
      <c r="R153" s="102">
        <f t="shared" si="82"/>
        <v>50372</v>
      </c>
      <c r="S153" s="103">
        <f t="shared" si="82"/>
        <v>59472</v>
      </c>
      <c r="T153" s="115">
        <f>R153+S153</f>
        <v>109844</v>
      </c>
      <c r="U153" s="105">
        <f>+U101+U127</f>
        <v>2746</v>
      </c>
      <c r="V153" s="107">
        <f>T153+U153</f>
        <v>112590</v>
      </c>
      <c r="W153" s="256">
        <f t="shared" si="73"/>
        <v>0.42904673130614857</v>
      </c>
      <c r="X153" s="303"/>
      <c r="Y153" s="99"/>
      <c r="AA153" s="305"/>
    </row>
    <row r="154" spans="2:27" s="100" customFormat="1" ht="12.75" customHeight="1" thickBot="1" thickTop="1">
      <c r="B154" s="228"/>
      <c r="C154" s="228"/>
      <c r="D154" s="228"/>
      <c r="E154" s="228"/>
      <c r="F154" s="228"/>
      <c r="G154" s="228"/>
      <c r="H154" s="228"/>
      <c r="I154" s="248"/>
      <c r="L154" s="110" t="s">
        <v>30</v>
      </c>
      <c r="M154" s="111">
        <f aca="true" t="shared" si="83" ref="M154:V154">+M151+M152+M153</f>
        <v>143496</v>
      </c>
      <c r="N154" s="112">
        <f t="shared" si="83"/>
        <v>186783</v>
      </c>
      <c r="O154" s="111">
        <f t="shared" si="83"/>
        <v>330279</v>
      </c>
      <c r="P154" s="111">
        <f t="shared" si="83"/>
        <v>6549</v>
      </c>
      <c r="Q154" s="114">
        <f t="shared" si="83"/>
        <v>336828</v>
      </c>
      <c r="R154" s="111">
        <f t="shared" si="83"/>
        <v>148099</v>
      </c>
      <c r="S154" s="112">
        <f t="shared" si="83"/>
        <v>177171</v>
      </c>
      <c r="T154" s="111">
        <f t="shared" si="83"/>
        <v>325270</v>
      </c>
      <c r="U154" s="111">
        <f t="shared" si="83"/>
        <v>8501</v>
      </c>
      <c r="V154" s="114">
        <f t="shared" si="83"/>
        <v>333771</v>
      </c>
      <c r="W154" s="257">
        <f t="shared" si="73"/>
        <v>-0.9075848801168518</v>
      </c>
      <c r="X154" s="303"/>
      <c r="AA154" s="305"/>
    </row>
    <row r="155" spans="1:26" ht="14.25" thickBot="1" thickTop="1">
      <c r="A155" s="220"/>
      <c r="B155" s="232"/>
      <c r="C155" s="234"/>
      <c r="D155" s="234"/>
      <c r="E155" s="234"/>
      <c r="F155" s="234"/>
      <c r="G155" s="234"/>
      <c r="H155" s="234"/>
      <c r="I155" s="276"/>
      <c r="J155" s="307"/>
      <c r="L155" s="39" t="s">
        <v>66</v>
      </c>
      <c r="M155" s="40">
        <f aca="true" t="shared" si="84" ref="M155:V155">+M146+M150+M154</f>
        <v>422639</v>
      </c>
      <c r="N155" s="41">
        <f t="shared" si="84"/>
        <v>565078</v>
      </c>
      <c r="O155" s="40">
        <f t="shared" si="84"/>
        <v>987717</v>
      </c>
      <c r="P155" s="40">
        <f t="shared" si="84"/>
        <v>18874</v>
      </c>
      <c r="Q155" s="40">
        <f t="shared" si="84"/>
        <v>1006591</v>
      </c>
      <c r="R155" s="40">
        <f t="shared" si="84"/>
        <v>455451</v>
      </c>
      <c r="S155" s="41">
        <f t="shared" si="84"/>
        <v>567455</v>
      </c>
      <c r="T155" s="40">
        <f t="shared" si="84"/>
        <v>1022906</v>
      </c>
      <c r="U155" s="40">
        <f t="shared" si="84"/>
        <v>25624</v>
      </c>
      <c r="V155" s="42">
        <f t="shared" si="84"/>
        <v>1048530</v>
      </c>
      <c r="W155" s="257">
        <f t="shared" si="73"/>
        <v>4.166439000547384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47"/>
      <c r="L156" s="39" t="s">
        <v>9</v>
      </c>
      <c r="M156" s="40">
        <f aca="true" t="shared" si="85" ref="M156:V156">+M142+M146+M150+M154</f>
        <v>566162</v>
      </c>
      <c r="N156" s="41">
        <f t="shared" si="85"/>
        <v>766392</v>
      </c>
      <c r="O156" s="40">
        <f t="shared" si="85"/>
        <v>1332554</v>
      </c>
      <c r="P156" s="40">
        <f t="shared" si="85"/>
        <v>26612</v>
      </c>
      <c r="Q156" s="40">
        <f t="shared" si="85"/>
        <v>1359166</v>
      </c>
      <c r="R156" s="40">
        <f t="shared" si="85"/>
        <v>608207</v>
      </c>
      <c r="S156" s="41">
        <f t="shared" si="85"/>
        <v>747078</v>
      </c>
      <c r="T156" s="40">
        <f t="shared" si="85"/>
        <v>1355285</v>
      </c>
      <c r="U156" s="40">
        <f t="shared" si="85"/>
        <v>34168</v>
      </c>
      <c r="V156" s="40">
        <f t="shared" si="85"/>
        <v>1389453</v>
      </c>
      <c r="W156" s="257">
        <f t="shared" si="73"/>
        <v>2.2283517980879353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47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47"/>
      <c r="L158" s="336" t="s">
        <v>51</v>
      </c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</row>
    <row r="159" spans="2:23" ht="15.75">
      <c r="B159" s="70"/>
      <c r="C159" s="70"/>
      <c r="D159" s="70"/>
      <c r="E159" s="70"/>
      <c r="F159" s="70"/>
      <c r="G159" s="70"/>
      <c r="H159" s="70"/>
      <c r="I159" s="247"/>
      <c r="L159" s="337" t="s">
        <v>52</v>
      </c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47"/>
      <c r="W160" s="242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47"/>
      <c r="L161" s="3"/>
      <c r="M161" s="347" t="s">
        <v>67</v>
      </c>
      <c r="N161" s="348"/>
      <c r="O161" s="348"/>
      <c r="P161" s="348"/>
      <c r="Q161" s="349"/>
      <c r="R161" s="338" t="s">
        <v>68</v>
      </c>
      <c r="S161" s="339"/>
      <c r="T161" s="339"/>
      <c r="U161" s="339"/>
      <c r="V161" s="340"/>
      <c r="W161" s="239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47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0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47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1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47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07"/>
    </row>
    <row r="165" spans="2:23" ht="12.75">
      <c r="B165" s="70"/>
      <c r="C165" s="70"/>
      <c r="D165" s="70"/>
      <c r="E165" s="70"/>
      <c r="F165" s="70"/>
      <c r="G165" s="70"/>
      <c r="H165" s="70"/>
      <c r="I165" s="247"/>
      <c r="L165" s="4" t="s">
        <v>14</v>
      </c>
      <c r="M165" s="29">
        <v>27</v>
      </c>
      <c r="N165" s="36">
        <v>85</v>
      </c>
      <c r="O165" s="33">
        <f>M165+N165</f>
        <v>112</v>
      </c>
      <c r="P165" s="34">
        <v>0</v>
      </c>
      <c r="Q165" s="35">
        <f>O165+P165</f>
        <v>112</v>
      </c>
      <c r="R165" s="29">
        <v>34</v>
      </c>
      <c r="S165" s="36">
        <v>112</v>
      </c>
      <c r="T165" s="33">
        <f>R165+S165</f>
        <v>146</v>
      </c>
      <c r="U165" s="34">
        <v>1</v>
      </c>
      <c r="V165" s="31">
        <f>T165+U165</f>
        <v>147</v>
      </c>
      <c r="W165" s="256">
        <f aca="true" t="shared" si="86" ref="W165:W182">IF(Q165=0,0,((V165/Q165)-1)*100)</f>
        <v>31.25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47"/>
      <c r="L166" s="4" t="s">
        <v>15</v>
      </c>
      <c r="M166" s="29">
        <v>29</v>
      </c>
      <c r="N166" s="36">
        <v>85</v>
      </c>
      <c r="O166" s="33">
        <f>M166+N166</f>
        <v>114</v>
      </c>
      <c r="P166" s="34">
        <v>0</v>
      </c>
      <c r="Q166" s="35">
        <f>O166+P166</f>
        <v>114</v>
      </c>
      <c r="R166" s="29">
        <v>32</v>
      </c>
      <c r="S166" s="36">
        <v>97</v>
      </c>
      <c r="T166" s="33">
        <f>R166+S166</f>
        <v>129</v>
      </c>
      <c r="U166" s="34">
        <v>1</v>
      </c>
      <c r="V166" s="31">
        <f>T166+U166</f>
        <v>130</v>
      </c>
      <c r="W166" s="256">
        <f t="shared" si="86"/>
        <v>14.035087719298245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47"/>
      <c r="L167" s="12" t="s">
        <v>16</v>
      </c>
      <c r="M167" s="29">
        <v>27</v>
      </c>
      <c r="N167" s="36">
        <v>104</v>
      </c>
      <c r="O167" s="33">
        <f>M167+N167</f>
        <v>131</v>
      </c>
      <c r="P167" s="34">
        <v>0</v>
      </c>
      <c r="Q167" s="35">
        <f>O167+P167</f>
        <v>131</v>
      </c>
      <c r="R167" s="29">
        <v>42</v>
      </c>
      <c r="S167" s="36">
        <v>122</v>
      </c>
      <c r="T167" s="33">
        <f>R167+S167</f>
        <v>164</v>
      </c>
      <c r="U167" s="34">
        <v>1</v>
      </c>
      <c r="V167" s="31">
        <f>T167+U167</f>
        <v>165</v>
      </c>
      <c r="W167" s="256">
        <f t="shared" si="86"/>
        <v>25.954198473282442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47"/>
      <c r="L168" s="39" t="s">
        <v>17</v>
      </c>
      <c r="M168" s="40">
        <f>+M165+M166+M167</f>
        <v>83</v>
      </c>
      <c r="N168" s="41">
        <f>+N165+N166+N167</f>
        <v>274</v>
      </c>
      <c r="O168" s="40">
        <f>+O165+O166+O167</f>
        <v>357</v>
      </c>
      <c r="P168" s="40">
        <f>+P165+P166+P167</f>
        <v>0</v>
      </c>
      <c r="Q168" s="40">
        <f aca="true" t="shared" si="87" ref="Q168:V168">+Q165+Q166+Q167</f>
        <v>357</v>
      </c>
      <c r="R168" s="40">
        <f t="shared" si="87"/>
        <v>108</v>
      </c>
      <c r="S168" s="41">
        <f t="shared" si="87"/>
        <v>331</v>
      </c>
      <c r="T168" s="40">
        <f t="shared" si="87"/>
        <v>439</v>
      </c>
      <c r="U168" s="40">
        <f t="shared" si="87"/>
        <v>3</v>
      </c>
      <c r="V168" s="42">
        <f t="shared" si="87"/>
        <v>442</v>
      </c>
      <c r="W168" s="257">
        <f t="shared" si="86"/>
        <v>23.809523809523814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47"/>
      <c r="L169" s="4" t="s">
        <v>18</v>
      </c>
      <c r="M169" s="94">
        <v>36</v>
      </c>
      <c r="N169" s="95">
        <v>92</v>
      </c>
      <c r="O169" s="96">
        <f>M169+N169</f>
        <v>128</v>
      </c>
      <c r="P169" s="34">
        <v>0</v>
      </c>
      <c r="Q169" s="97">
        <f>O169+P169</f>
        <v>128</v>
      </c>
      <c r="R169" s="94">
        <v>35</v>
      </c>
      <c r="S169" s="95">
        <v>109</v>
      </c>
      <c r="T169" s="96">
        <f>R169+S169</f>
        <v>144</v>
      </c>
      <c r="U169" s="34">
        <v>1</v>
      </c>
      <c r="V169" s="31">
        <f>T169+U169</f>
        <v>145</v>
      </c>
      <c r="W169" s="256">
        <f t="shared" si="86"/>
        <v>13.28125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47"/>
      <c r="L170" s="4" t="s">
        <v>19</v>
      </c>
      <c r="M170" s="29">
        <v>25</v>
      </c>
      <c r="N170" s="36">
        <v>104</v>
      </c>
      <c r="O170" s="33">
        <f>M170+N170</f>
        <v>129</v>
      </c>
      <c r="P170" s="34">
        <v>0</v>
      </c>
      <c r="Q170" s="35">
        <f>O170+P170</f>
        <v>129</v>
      </c>
      <c r="R170" s="29">
        <v>36</v>
      </c>
      <c r="S170" s="36">
        <v>112</v>
      </c>
      <c r="T170" s="33">
        <f>R170+S170</f>
        <v>148</v>
      </c>
      <c r="U170" s="34">
        <v>0</v>
      </c>
      <c r="V170" s="31">
        <f>T170+U170</f>
        <v>148</v>
      </c>
      <c r="W170" s="256">
        <f t="shared" si="86"/>
        <v>14.72868217054264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47"/>
      <c r="L171" s="4" t="s">
        <v>20</v>
      </c>
      <c r="M171" s="29">
        <v>25</v>
      </c>
      <c r="N171" s="36">
        <v>138</v>
      </c>
      <c r="O171" s="33">
        <f>M171+N171</f>
        <v>163</v>
      </c>
      <c r="P171" s="34">
        <v>0</v>
      </c>
      <c r="Q171" s="35">
        <f>O171+P171</f>
        <v>163</v>
      </c>
      <c r="R171" s="29">
        <v>42</v>
      </c>
      <c r="S171" s="36">
        <v>127</v>
      </c>
      <c r="T171" s="33">
        <f>R171+S171</f>
        <v>169</v>
      </c>
      <c r="U171" s="34">
        <v>0</v>
      </c>
      <c r="V171" s="31">
        <f>T171+U171</f>
        <v>169</v>
      </c>
      <c r="W171" s="256">
        <f t="shared" si="86"/>
        <v>3.6809815950920255</v>
      </c>
    </row>
    <row r="172" spans="1:23" ht="14.25" thickBot="1" thickTop="1">
      <c r="A172" s="70"/>
      <c r="B172" s="232"/>
      <c r="C172" s="234"/>
      <c r="D172" s="234"/>
      <c r="E172" s="234"/>
      <c r="F172" s="234"/>
      <c r="G172" s="234"/>
      <c r="H172" s="234"/>
      <c r="I172" s="276"/>
      <c r="J172" s="235"/>
      <c r="L172" s="44" t="s">
        <v>21</v>
      </c>
      <c r="M172" s="40">
        <f aca="true" t="shared" si="88" ref="M172:V172">M171+M170+M169</f>
        <v>86</v>
      </c>
      <c r="N172" s="41">
        <f t="shared" si="88"/>
        <v>334</v>
      </c>
      <c r="O172" s="40">
        <f t="shared" si="88"/>
        <v>420</v>
      </c>
      <c r="P172" s="40">
        <f t="shared" si="88"/>
        <v>0</v>
      </c>
      <c r="Q172" s="40">
        <f t="shared" si="88"/>
        <v>420</v>
      </c>
      <c r="R172" s="40">
        <f t="shared" si="88"/>
        <v>113</v>
      </c>
      <c r="S172" s="41">
        <f t="shared" si="88"/>
        <v>348</v>
      </c>
      <c r="T172" s="40">
        <f t="shared" si="88"/>
        <v>461</v>
      </c>
      <c r="U172" s="40">
        <f t="shared" si="88"/>
        <v>1</v>
      </c>
      <c r="V172" s="42">
        <f t="shared" si="88"/>
        <v>462</v>
      </c>
      <c r="W172" s="257">
        <f t="shared" si="86"/>
        <v>10.000000000000009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47"/>
      <c r="L173" s="4" t="s">
        <v>22</v>
      </c>
      <c r="M173" s="29">
        <v>21</v>
      </c>
      <c r="N173" s="36">
        <v>111</v>
      </c>
      <c r="O173" s="33">
        <f>M173+N173</f>
        <v>132</v>
      </c>
      <c r="P173" s="34">
        <v>1</v>
      </c>
      <c r="Q173" s="35">
        <f>O173+P173</f>
        <v>133</v>
      </c>
      <c r="R173" s="29">
        <v>36</v>
      </c>
      <c r="S173" s="36">
        <v>107</v>
      </c>
      <c r="T173" s="33">
        <f>R173+S173</f>
        <v>143</v>
      </c>
      <c r="U173" s="34">
        <v>0</v>
      </c>
      <c r="V173" s="31">
        <f>T173+U173</f>
        <v>143</v>
      </c>
      <c r="W173" s="256">
        <f t="shared" si="86"/>
        <v>7.518796992481214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47"/>
      <c r="L174" s="4" t="s">
        <v>23</v>
      </c>
      <c r="M174" s="29">
        <v>19</v>
      </c>
      <c r="N174" s="36">
        <v>120</v>
      </c>
      <c r="O174" s="33">
        <f>+M174+N174</f>
        <v>139</v>
      </c>
      <c r="P174" s="34">
        <v>1</v>
      </c>
      <c r="Q174" s="35">
        <f>O174+P174</f>
        <v>140</v>
      </c>
      <c r="R174" s="29">
        <v>34</v>
      </c>
      <c r="S174" s="36">
        <v>136</v>
      </c>
      <c r="T174" s="33">
        <f>+R174+S174</f>
        <v>170</v>
      </c>
      <c r="U174" s="34">
        <v>1</v>
      </c>
      <c r="V174" s="31">
        <f>+T174+U174</f>
        <v>171</v>
      </c>
      <c r="W174" s="256">
        <f t="shared" si="86"/>
        <v>22.142857142857153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47"/>
      <c r="L175" s="4" t="s">
        <v>24</v>
      </c>
      <c r="M175" s="29">
        <v>21</v>
      </c>
      <c r="N175" s="36">
        <v>121</v>
      </c>
      <c r="O175" s="51">
        <f>+M175+N175</f>
        <v>142</v>
      </c>
      <c r="P175" s="52">
        <v>1</v>
      </c>
      <c r="Q175" s="35">
        <f>O175+P175</f>
        <v>143</v>
      </c>
      <c r="R175" s="29">
        <v>36</v>
      </c>
      <c r="S175" s="36">
        <v>109</v>
      </c>
      <c r="T175" s="51">
        <f>+R175+S175</f>
        <v>145</v>
      </c>
      <c r="U175" s="52">
        <v>1</v>
      </c>
      <c r="V175" s="31">
        <f>+T175+U175</f>
        <v>146</v>
      </c>
      <c r="W175" s="256">
        <f t="shared" si="86"/>
        <v>2.0979020979021046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47"/>
      <c r="L176" s="44" t="s">
        <v>25</v>
      </c>
      <c r="M176" s="45">
        <f aca="true" t="shared" si="89" ref="M176:V176">+M173+M174+M175</f>
        <v>61</v>
      </c>
      <c r="N176" s="45">
        <f t="shared" si="89"/>
        <v>352</v>
      </c>
      <c r="O176" s="47">
        <f t="shared" si="89"/>
        <v>413</v>
      </c>
      <c r="P176" s="47">
        <f t="shared" si="89"/>
        <v>3</v>
      </c>
      <c r="Q176" s="49">
        <f t="shared" si="89"/>
        <v>416</v>
      </c>
      <c r="R176" s="45">
        <f t="shared" si="89"/>
        <v>106</v>
      </c>
      <c r="S176" s="45">
        <f t="shared" si="89"/>
        <v>352</v>
      </c>
      <c r="T176" s="47">
        <f t="shared" si="89"/>
        <v>458</v>
      </c>
      <c r="U176" s="47">
        <f t="shared" si="89"/>
        <v>2</v>
      </c>
      <c r="V176" s="47">
        <f t="shared" si="89"/>
        <v>460</v>
      </c>
      <c r="W176" s="257">
        <f t="shared" si="86"/>
        <v>10.576923076923084</v>
      </c>
    </row>
    <row r="177" spans="2:27" s="100" customFormat="1" ht="12.75" customHeight="1" thickTop="1">
      <c r="B177" s="229"/>
      <c r="C177" s="229"/>
      <c r="D177" s="229"/>
      <c r="E177" s="229"/>
      <c r="F177" s="229"/>
      <c r="G177" s="229"/>
      <c r="H177" s="229"/>
      <c r="I177" s="282"/>
      <c r="L177" s="101" t="s">
        <v>27</v>
      </c>
      <c r="M177" s="102">
        <v>24</v>
      </c>
      <c r="N177" s="103">
        <v>114</v>
      </c>
      <c r="O177" s="115">
        <f>+M177+N177</f>
        <v>138</v>
      </c>
      <c r="P177" s="116">
        <v>1</v>
      </c>
      <c r="Q177" s="106">
        <f>O177+P177</f>
        <v>139</v>
      </c>
      <c r="R177" s="102">
        <v>36</v>
      </c>
      <c r="S177" s="103">
        <v>97</v>
      </c>
      <c r="T177" s="115">
        <f>+R177+S177</f>
        <v>133</v>
      </c>
      <c r="U177" s="116">
        <v>21</v>
      </c>
      <c r="V177" s="107">
        <f>+T177+U177</f>
        <v>154</v>
      </c>
      <c r="W177" s="256">
        <f t="shared" si="86"/>
        <v>10.79136690647482</v>
      </c>
      <c r="X177" s="303"/>
      <c r="AA177" s="305"/>
    </row>
    <row r="178" spans="2:27" s="100" customFormat="1" ht="12.75" customHeight="1">
      <c r="B178" s="228"/>
      <c r="C178" s="228"/>
      <c r="D178" s="228"/>
      <c r="E178" s="228"/>
      <c r="F178" s="228"/>
      <c r="G178" s="228"/>
      <c r="H178" s="228"/>
      <c r="I178" s="248"/>
      <c r="L178" s="101" t="s">
        <v>28</v>
      </c>
      <c r="M178" s="102">
        <v>27</v>
      </c>
      <c r="N178" s="103">
        <v>113</v>
      </c>
      <c r="O178" s="115">
        <f>+M178+N178</f>
        <v>140</v>
      </c>
      <c r="P178" s="105">
        <v>1</v>
      </c>
      <c r="Q178" s="106">
        <f>O178+P178</f>
        <v>141</v>
      </c>
      <c r="R178" s="102">
        <v>31</v>
      </c>
      <c r="S178" s="103">
        <v>99</v>
      </c>
      <c r="T178" s="115">
        <f>+R178+S178</f>
        <v>130</v>
      </c>
      <c r="U178" s="105">
        <v>0</v>
      </c>
      <c r="V178" s="115">
        <f>+T178+U178</f>
        <v>130</v>
      </c>
      <c r="W178" s="256">
        <f>IF(Q178=0,0,((V178/Q178)-1)*100)</f>
        <v>-7.801418439716312</v>
      </c>
      <c r="X178" s="303"/>
      <c r="AA178" s="305"/>
    </row>
    <row r="179" spans="2:27" s="100" customFormat="1" ht="12.75" customHeight="1" thickBot="1">
      <c r="B179" s="228"/>
      <c r="C179" s="228"/>
      <c r="D179" s="228"/>
      <c r="E179" s="228"/>
      <c r="F179" s="228"/>
      <c r="G179" s="228"/>
      <c r="H179" s="228"/>
      <c r="I179" s="248"/>
      <c r="L179" s="101" t="s">
        <v>29</v>
      </c>
      <c r="M179" s="102">
        <v>34</v>
      </c>
      <c r="N179" s="103">
        <v>113</v>
      </c>
      <c r="O179" s="115">
        <f>+M179+N179</f>
        <v>147</v>
      </c>
      <c r="P179" s="117">
        <v>1</v>
      </c>
      <c r="Q179" s="106">
        <f>O179+P179</f>
        <v>148</v>
      </c>
      <c r="R179" s="102">
        <v>39</v>
      </c>
      <c r="S179" s="103">
        <v>103</v>
      </c>
      <c r="T179" s="115">
        <f>+R179+S179</f>
        <v>142</v>
      </c>
      <c r="U179" s="117">
        <v>0</v>
      </c>
      <c r="V179" s="107">
        <f>+T179+U179</f>
        <v>142</v>
      </c>
      <c r="W179" s="256">
        <f t="shared" si="86"/>
        <v>-4.054054054054057</v>
      </c>
      <c r="X179" s="303"/>
      <c r="AA179" s="305"/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47"/>
      <c r="L180" s="39" t="s">
        <v>30</v>
      </c>
      <c r="M180" s="40">
        <f aca="true" t="shared" si="90" ref="M180:V180">+M177+M178+M179</f>
        <v>85</v>
      </c>
      <c r="N180" s="41">
        <f t="shared" si="90"/>
        <v>340</v>
      </c>
      <c r="O180" s="40">
        <f t="shared" si="90"/>
        <v>425</v>
      </c>
      <c r="P180" s="40">
        <f t="shared" si="90"/>
        <v>3</v>
      </c>
      <c r="Q180" s="43">
        <f t="shared" si="90"/>
        <v>428</v>
      </c>
      <c r="R180" s="40">
        <f t="shared" si="90"/>
        <v>106</v>
      </c>
      <c r="S180" s="41">
        <f t="shared" si="90"/>
        <v>299</v>
      </c>
      <c r="T180" s="40">
        <f t="shared" si="90"/>
        <v>405</v>
      </c>
      <c r="U180" s="40">
        <f t="shared" si="90"/>
        <v>21</v>
      </c>
      <c r="V180" s="43">
        <f t="shared" si="90"/>
        <v>426</v>
      </c>
      <c r="W180" s="257">
        <f t="shared" si="86"/>
        <v>-0.4672897196261627</v>
      </c>
    </row>
    <row r="181" spans="1:23" ht="14.25" thickBot="1" thickTop="1">
      <c r="A181" s="220"/>
      <c r="B181" s="232"/>
      <c r="C181" s="234"/>
      <c r="D181" s="234"/>
      <c r="E181" s="234"/>
      <c r="F181" s="234"/>
      <c r="G181" s="234"/>
      <c r="H181" s="234"/>
      <c r="I181" s="276"/>
      <c r="J181" s="307"/>
      <c r="L181" s="39" t="s">
        <v>66</v>
      </c>
      <c r="M181" s="40">
        <f aca="true" t="shared" si="91" ref="M181:V181">+M172+M176+M180</f>
        <v>232</v>
      </c>
      <c r="N181" s="41">
        <f t="shared" si="91"/>
        <v>1026</v>
      </c>
      <c r="O181" s="40">
        <f t="shared" si="91"/>
        <v>1258</v>
      </c>
      <c r="P181" s="40">
        <f t="shared" si="91"/>
        <v>6</v>
      </c>
      <c r="Q181" s="40">
        <f t="shared" si="91"/>
        <v>1264</v>
      </c>
      <c r="R181" s="40">
        <f t="shared" si="91"/>
        <v>325</v>
      </c>
      <c r="S181" s="41">
        <f t="shared" si="91"/>
        <v>999</v>
      </c>
      <c r="T181" s="40">
        <f t="shared" si="91"/>
        <v>1324</v>
      </c>
      <c r="U181" s="40">
        <f t="shared" si="91"/>
        <v>24</v>
      </c>
      <c r="V181" s="42">
        <f t="shared" si="91"/>
        <v>1348</v>
      </c>
      <c r="W181" s="257">
        <f t="shared" si="86"/>
        <v>6.645569620253156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47"/>
      <c r="L182" s="39" t="s">
        <v>9</v>
      </c>
      <c r="M182" s="40">
        <f aca="true" t="shared" si="92" ref="M182:V182">+M168+M172+M176+M180</f>
        <v>315</v>
      </c>
      <c r="N182" s="41">
        <f t="shared" si="92"/>
        <v>1300</v>
      </c>
      <c r="O182" s="40">
        <f t="shared" si="92"/>
        <v>1615</v>
      </c>
      <c r="P182" s="40">
        <f t="shared" si="92"/>
        <v>6</v>
      </c>
      <c r="Q182" s="40">
        <f t="shared" si="92"/>
        <v>1621</v>
      </c>
      <c r="R182" s="40">
        <f t="shared" si="92"/>
        <v>433</v>
      </c>
      <c r="S182" s="41">
        <f t="shared" si="92"/>
        <v>1330</v>
      </c>
      <c r="T182" s="40">
        <f t="shared" si="92"/>
        <v>1763</v>
      </c>
      <c r="U182" s="40">
        <f t="shared" si="92"/>
        <v>27</v>
      </c>
      <c r="V182" s="40">
        <f t="shared" si="92"/>
        <v>1790</v>
      </c>
      <c r="W182" s="257">
        <f t="shared" si="86"/>
        <v>10.425663170882181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47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47"/>
      <c r="L184" s="336" t="s">
        <v>53</v>
      </c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</row>
    <row r="185" spans="2:23" ht="15.75">
      <c r="B185" s="70"/>
      <c r="C185" s="70"/>
      <c r="D185" s="70"/>
      <c r="E185" s="70"/>
      <c r="F185" s="70"/>
      <c r="G185" s="70"/>
      <c r="H185" s="70"/>
      <c r="I185" s="247"/>
      <c r="L185" s="337" t="s">
        <v>54</v>
      </c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47"/>
      <c r="W186" s="242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47"/>
      <c r="L187" s="3"/>
      <c r="M187" s="347" t="s">
        <v>67</v>
      </c>
      <c r="N187" s="348"/>
      <c r="O187" s="348"/>
      <c r="P187" s="348"/>
      <c r="Q187" s="349"/>
      <c r="R187" s="338" t="s">
        <v>68</v>
      </c>
      <c r="S187" s="339"/>
      <c r="T187" s="339"/>
      <c r="U187" s="339"/>
      <c r="V187" s="340"/>
      <c r="W187" s="239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47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0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47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1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47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07"/>
    </row>
    <row r="191" spans="2:23" ht="12.75">
      <c r="B191" s="70"/>
      <c r="C191" s="70"/>
      <c r="D191" s="70"/>
      <c r="E191" s="70"/>
      <c r="F191" s="70"/>
      <c r="G191" s="70"/>
      <c r="H191" s="70"/>
      <c r="I191" s="247"/>
      <c r="L191" s="4" t="s">
        <v>14</v>
      </c>
      <c r="M191" s="29">
        <v>0</v>
      </c>
      <c r="N191" s="36">
        <v>0</v>
      </c>
      <c r="O191" s="33">
        <f>M191+N191</f>
        <v>0</v>
      </c>
      <c r="P191" s="34">
        <v>0</v>
      </c>
      <c r="Q191" s="35">
        <f>O191+P191</f>
        <v>0</v>
      </c>
      <c r="R191" s="29">
        <v>0</v>
      </c>
      <c r="S191" s="36">
        <v>0</v>
      </c>
      <c r="T191" s="33">
        <f>R191+S191</f>
        <v>0</v>
      </c>
      <c r="U191" s="34">
        <v>0</v>
      </c>
      <c r="V191" s="31">
        <f>T191+U191</f>
        <v>0</v>
      </c>
      <c r="W191" s="32">
        <f aca="true" t="shared" si="93" ref="W191:W20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47"/>
      <c r="L192" s="4" t="s">
        <v>15</v>
      </c>
      <c r="M192" s="29">
        <v>0</v>
      </c>
      <c r="N192" s="36">
        <v>0</v>
      </c>
      <c r="O192" s="33">
        <f>M192+N192</f>
        <v>0</v>
      </c>
      <c r="P192" s="34">
        <v>0</v>
      </c>
      <c r="Q192" s="35">
        <f>O192+P192</f>
        <v>0</v>
      </c>
      <c r="R192" s="29">
        <v>0</v>
      </c>
      <c r="S192" s="36">
        <v>0</v>
      </c>
      <c r="T192" s="33">
        <f>R192+S192</f>
        <v>0</v>
      </c>
      <c r="U192" s="34">
        <v>0</v>
      </c>
      <c r="V192" s="31">
        <f>T192+U192</f>
        <v>0</v>
      </c>
      <c r="W192" s="32">
        <f t="shared" si="93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47"/>
      <c r="L193" s="12" t="s">
        <v>16</v>
      </c>
      <c r="M193" s="29">
        <v>0</v>
      </c>
      <c r="N193" s="36">
        <v>0</v>
      </c>
      <c r="O193" s="33">
        <f>M193+N193</f>
        <v>0</v>
      </c>
      <c r="P193" s="34">
        <v>0</v>
      </c>
      <c r="Q193" s="35">
        <f>O193+P193</f>
        <v>0</v>
      </c>
      <c r="R193" s="29">
        <v>0</v>
      </c>
      <c r="S193" s="36">
        <v>11</v>
      </c>
      <c r="T193" s="33">
        <f>R193+S193</f>
        <v>11</v>
      </c>
      <c r="U193" s="34">
        <v>0</v>
      </c>
      <c r="V193" s="31">
        <f>T193+U193</f>
        <v>11</v>
      </c>
      <c r="W193" s="32">
        <f t="shared" si="93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47"/>
      <c r="L194" s="39" t="s">
        <v>17</v>
      </c>
      <c r="M194" s="40">
        <f>+M191+M192+M193</f>
        <v>0</v>
      </c>
      <c r="N194" s="41">
        <f>+N191+N192+N193</f>
        <v>0</v>
      </c>
      <c r="O194" s="40">
        <f>+O191+O192+O193</f>
        <v>0</v>
      </c>
      <c r="P194" s="40">
        <f>+P191+P192+P193</f>
        <v>0</v>
      </c>
      <c r="Q194" s="40">
        <f aca="true" t="shared" si="94" ref="Q194:V194">+Q191+Q192+Q193</f>
        <v>0</v>
      </c>
      <c r="R194" s="40">
        <f t="shared" si="94"/>
        <v>0</v>
      </c>
      <c r="S194" s="41">
        <f t="shared" si="94"/>
        <v>11</v>
      </c>
      <c r="T194" s="40">
        <f t="shared" si="94"/>
        <v>11</v>
      </c>
      <c r="U194" s="40">
        <f t="shared" si="94"/>
        <v>0</v>
      </c>
      <c r="V194" s="42">
        <f t="shared" si="94"/>
        <v>11</v>
      </c>
      <c r="W194" s="54">
        <f t="shared" si="93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47"/>
      <c r="L195" s="4" t="s">
        <v>18</v>
      </c>
      <c r="M195" s="29">
        <v>0</v>
      </c>
      <c r="N195" s="36">
        <v>0</v>
      </c>
      <c r="O195" s="33">
        <f>M195+N195</f>
        <v>0</v>
      </c>
      <c r="P195" s="34">
        <v>0</v>
      </c>
      <c r="Q195" s="35">
        <f>O195+P195</f>
        <v>0</v>
      </c>
      <c r="R195" s="29">
        <v>0</v>
      </c>
      <c r="S195" s="36">
        <v>20</v>
      </c>
      <c r="T195" s="33">
        <f>R195+S195</f>
        <v>20</v>
      </c>
      <c r="U195" s="34">
        <v>0</v>
      </c>
      <c r="V195" s="31">
        <f>T195+U195</f>
        <v>20</v>
      </c>
      <c r="W195" s="32">
        <f t="shared" si="93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47"/>
      <c r="L196" s="4" t="s">
        <v>19</v>
      </c>
      <c r="M196" s="29">
        <v>0</v>
      </c>
      <c r="N196" s="36">
        <v>0</v>
      </c>
      <c r="O196" s="33">
        <f>M196+N196</f>
        <v>0</v>
      </c>
      <c r="P196" s="34">
        <v>0</v>
      </c>
      <c r="Q196" s="35">
        <f>O196+P196</f>
        <v>0</v>
      </c>
      <c r="R196" s="29">
        <v>2</v>
      </c>
      <c r="S196" s="36">
        <v>7</v>
      </c>
      <c r="T196" s="33">
        <f>R196+S196</f>
        <v>9</v>
      </c>
      <c r="U196" s="34">
        <v>0</v>
      </c>
      <c r="V196" s="31">
        <f>T196+U196</f>
        <v>9</v>
      </c>
      <c r="W196" s="32">
        <f>IF(Q196=0,0,((V196/Q196)-1)*100)</f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47"/>
      <c r="L197" s="4" t="s">
        <v>20</v>
      </c>
      <c r="M197" s="29">
        <v>0</v>
      </c>
      <c r="N197" s="36">
        <v>0</v>
      </c>
      <c r="O197" s="33">
        <f>M197+N197</f>
        <v>0</v>
      </c>
      <c r="P197" s="34">
        <v>0</v>
      </c>
      <c r="Q197" s="35">
        <f>O197+P197</f>
        <v>0</v>
      </c>
      <c r="R197" s="29">
        <v>0</v>
      </c>
      <c r="S197" s="36">
        <v>13</v>
      </c>
      <c r="T197" s="33">
        <f>R197+S197</f>
        <v>13</v>
      </c>
      <c r="U197" s="34">
        <v>0</v>
      </c>
      <c r="V197" s="31">
        <f>T197+U197</f>
        <v>13</v>
      </c>
      <c r="W197" s="32">
        <f t="shared" si="93"/>
        <v>0</v>
      </c>
    </row>
    <row r="198" spans="1:23" ht="14.25" thickBot="1" thickTop="1">
      <c r="A198" s="70"/>
      <c r="B198" s="232"/>
      <c r="C198" s="234"/>
      <c r="D198" s="234"/>
      <c r="E198" s="234"/>
      <c r="F198" s="234"/>
      <c r="G198" s="234"/>
      <c r="H198" s="234"/>
      <c r="I198" s="276"/>
      <c r="J198" s="235"/>
      <c r="L198" s="44" t="s">
        <v>21</v>
      </c>
      <c r="M198" s="40">
        <f aca="true" t="shared" si="95" ref="M198:V198">M197+M196+M195</f>
        <v>0</v>
      </c>
      <c r="N198" s="41">
        <f t="shared" si="95"/>
        <v>0</v>
      </c>
      <c r="O198" s="40">
        <f t="shared" si="95"/>
        <v>0</v>
      </c>
      <c r="P198" s="40">
        <f t="shared" si="95"/>
        <v>0</v>
      </c>
      <c r="Q198" s="40">
        <f t="shared" si="95"/>
        <v>0</v>
      </c>
      <c r="R198" s="40">
        <f t="shared" si="95"/>
        <v>2</v>
      </c>
      <c r="S198" s="41">
        <f t="shared" si="95"/>
        <v>40</v>
      </c>
      <c r="T198" s="40">
        <f t="shared" si="95"/>
        <v>42</v>
      </c>
      <c r="U198" s="40">
        <f t="shared" si="95"/>
        <v>0</v>
      </c>
      <c r="V198" s="42">
        <f t="shared" si="95"/>
        <v>42</v>
      </c>
      <c r="W198" s="54">
        <f t="shared" si="93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47"/>
      <c r="L199" s="4" t="s">
        <v>22</v>
      </c>
      <c r="M199" s="29">
        <v>0</v>
      </c>
      <c r="N199" s="36">
        <v>2</v>
      </c>
      <c r="O199" s="33">
        <f>M199+N199</f>
        <v>2</v>
      </c>
      <c r="P199" s="34">
        <v>0</v>
      </c>
      <c r="Q199" s="35">
        <f>O199+P199</f>
        <v>2</v>
      </c>
      <c r="R199" s="29">
        <v>0</v>
      </c>
      <c r="S199" s="36">
        <v>10</v>
      </c>
      <c r="T199" s="33">
        <f>R199+S199</f>
        <v>10</v>
      </c>
      <c r="U199" s="34">
        <v>0</v>
      </c>
      <c r="V199" s="31">
        <f>T199+U199</f>
        <v>10</v>
      </c>
      <c r="W199" s="334">
        <f t="shared" si="93"/>
        <v>400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47"/>
      <c r="L200" s="4" t="s">
        <v>23</v>
      </c>
      <c r="M200" s="29">
        <v>0</v>
      </c>
      <c r="N200" s="36">
        <v>2</v>
      </c>
      <c r="O200" s="33">
        <f>+M200+N200</f>
        <v>2</v>
      </c>
      <c r="P200" s="34">
        <v>0</v>
      </c>
      <c r="Q200" s="35">
        <f>O200+P200</f>
        <v>2</v>
      </c>
      <c r="R200" s="29">
        <v>0</v>
      </c>
      <c r="S200" s="36">
        <v>15</v>
      </c>
      <c r="T200" s="33">
        <f>+R200+S200</f>
        <v>15</v>
      </c>
      <c r="U200" s="34">
        <v>0</v>
      </c>
      <c r="V200" s="31">
        <f>+T200+U200</f>
        <v>15</v>
      </c>
      <c r="W200" s="334">
        <f t="shared" si="93"/>
        <v>650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47"/>
      <c r="L201" s="4" t="s">
        <v>24</v>
      </c>
      <c r="M201" s="29">
        <v>0</v>
      </c>
      <c r="N201" s="36">
        <v>8</v>
      </c>
      <c r="O201" s="51">
        <f>+M201+N201</f>
        <v>8</v>
      </c>
      <c r="P201" s="52">
        <v>0</v>
      </c>
      <c r="Q201" s="35">
        <f>O201+P201</f>
        <v>8</v>
      </c>
      <c r="R201" s="29">
        <v>0</v>
      </c>
      <c r="S201" s="36">
        <v>15</v>
      </c>
      <c r="T201" s="51">
        <f>+R201+S201</f>
        <v>15</v>
      </c>
      <c r="U201" s="52">
        <v>0</v>
      </c>
      <c r="V201" s="31">
        <f>+T201+U201</f>
        <v>15</v>
      </c>
      <c r="W201" s="32">
        <f t="shared" si="93"/>
        <v>87.5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47"/>
      <c r="L202" s="44" t="s">
        <v>25</v>
      </c>
      <c r="M202" s="45">
        <f aca="true" t="shared" si="96" ref="M202:V202">+M199+M200+M201</f>
        <v>0</v>
      </c>
      <c r="N202" s="45">
        <f t="shared" si="96"/>
        <v>12</v>
      </c>
      <c r="O202" s="47">
        <f t="shared" si="96"/>
        <v>12</v>
      </c>
      <c r="P202" s="47">
        <f t="shared" si="96"/>
        <v>0</v>
      </c>
      <c r="Q202" s="47">
        <f t="shared" si="96"/>
        <v>12</v>
      </c>
      <c r="R202" s="45">
        <f t="shared" si="96"/>
        <v>0</v>
      </c>
      <c r="S202" s="45">
        <f t="shared" si="96"/>
        <v>40</v>
      </c>
      <c r="T202" s="47">
        <f t="shared" si="96"/>
        <v>40</v>
      </c>
      <c r="U202" s="47">
        <f t="shared" si="96"/>
        <v>0</v>
      </c>
      <c r="V202" s="47">
        <f t="shared" si="96"/>
        <v>40</v>
      </c>
      <c r="W202" s="54">
        <f t="shared" si="93"/>
        <v>233.33333333333334</v>
      </c>
    </row>
    <row r="203" spans="2:27" s="100" customFormat="1" ht="12.75" customHeight="1" thickTop="1">
      <c r="B203" s="229"/>
      <c r="C203" s="229"/>
      <c r="D203" s="229"/>
      <c r="E203" s="229"/>
      <c r="F203" s="229"/>
      <c r="G203" s="229"/>
      <c r="H203" s="229"/>
      <c r="I203" s="282"/>
      <c r="L203" s="101" t="s">
        <v>27</v>
      </c>
      <c r="M203" s="102">
        <v>0</v>
      </c>
      <c r="N203" s="103">
        <v>14</v>
      </c>
      <c r="O203" s="115">
        <f>+M203+N203</f>
        <v>14</v>
      </c>
      <c r="P203" s="116">
        <v>0</v>
      </c>
      <c r="Q203" s="106">
        <f>O203+P203</f>
        <v>14</v>
      </c>
      <c r="R203" s="102">
        <v>0</v>
      </c>
      <c r="S203" s="103">
        <v>13</v>
      </c>
      <c r="T203" s="115">
        <f>+R203+S203</f>
        <v>13</v>
      </c>
      <c r="U203" s="116">
        <v>0</v>
      </c>
      <c r="V203" s="107">
        <f>+T203+U203</f>
        <v>13</v>
      </c>
      <c r="W203" s="32">
        <f t="shared" si="93"/>
        <v>-7.14285714285714</v>
      </c>
      <c r="X203" s="303"/>
      <c r="AA203" s="305"/>
    </row>
    <row r="204" spans="2:27" s="100" customFormat="1" ht="12.75" customHeight="1">
      <c r="B204" s="228"/>
      <c r="C204" s="228"/>
      <c r="D204" s="228"/>
      <c r="E204" s="228"/>
      <c r="F204" s="228"/>
      <c r="G204" s="228"/>
      <c r="H204" s="228"/>
      <c r="I204" s="248"/>
      <c r="L204" s="101" t="s">
        <v>28</v>
      </c>
      <c r="M204" s="102">
        <v>0</v>
      </c>
      <c r="N204" s="103">
        <v>21</v>
      </c>
      <c r="O204" s="115">
        <f>+M204+N204</f>
        <v>21</v>
      </c>
      <c r="P204" s="105">
        <v>0</v>
      </c>
      <c r="Q204" s="106">
        <f>O204+P204</f>
        <v>21</v>
      </c>
      <c r="R204" s="102">
        <v>0</v>
      </c>
      <c r="S204" s="103">
        <v>7</v>
      </c>
      <c r="T204" s="115">
        <f>+R204+S204</f>
        <v>7</v>
      </c>
      <c r="U204" s="105">
        <v>0</v>
      </c>
      <c r="V204" s="107">
        <f>+T204+U204</f>
        <v>7</v>
      </c>
      <c r="W204" s="32">
        <f>IF(Q204=0,0,((V204/Q204)-1)*100)</f>
        <v>-66.66666666666667</v>
      </c>
      <c r="X204" s="303"/>
      <c r="AA204" s="305"/>
    </row>
    <row r="205" spans="2:27" s="100" customFormat="1" ht="12.75" customHeight="1" thickBot="1">
      <c r="B205" s="228"/>
      <c r="C205" s="228"/>
      <c r="D205" s="228"/>
      <c r="E205" s="228"/>
      <c r="F205" s="228"/>
      <c r="G205" s="228"/>
      <c r="H205" s="228"/>
      <c r="I205" s="248"/>
      <c r="L205" s="101" t="s">
        <v>29</v>
      </c>
      <c r="M205" s="102">
        <v>0</v>
      </c>
      <c r="N205" s="103">
        <v>2</v>
      </c>
      <c r="O205" s="115">
        <f>+M205+N205</f>
        <v>2</v>
      </c>
      <c r="P205" s="117">
        <v>0</v>
      </c>
      <c r="Q205" s="106">
        <f>O205+P205</f>
        <v>2</v>
      </c>
      <c r="R205" s="102">
        <v>0</v>
      </c>
      <c r="S205" s="103">
        <v>6</v>
      </c>
      <c r="T205" s="115">
        <f>+R205+S205</f>
        <v>6</v>
      </c>
      <c r="U205" s="117">
        <v>0</v>
      </c>
      <c r="V205" s="107">
        <f>+T205+U205</f>
        <v>6</v>
      </c>
      <c r="W205" s="32">
        <f t="shared" si="93"/>
        <v>200</v>
      </c>
      <c r="X205" s="303"/>
      <c r="AA205" s="305"/>
    </row>
    <row r="206" spans="2:27" s="100" customFormat="1" ht="12.75" customHeight="1" thickBot="1" thickTop="1">
      <c r="B206" s="228"/>
      <c r="C206" s="228"/>
      <c r="D206" s="228"/>
      <c r="E206" s="228"/>
      <c r="F206" s="228"/>
      <c r="G206" s="228"/>
      <c r="H206" s="228"/>
      <c r="I206" s="248"/>
      <c r="L206" s="110" t="s">
        <v>30</v>
      </c>
      <c r="M206" s="111">
        <f aca="true" t="shared" si="97" ref="M206:V206">+M203+M204+M205</f>
        <v>0</v>
      </c>
      <c r="N206" s="112">
        <f t="shared" si="97"/>
        <v>37</v>
      </c>
      <c r="O206" s="111">
        <f t="shared" si="97"/>
        <v>37</v>
      </c>
      <c r="P206" s="111">
        <f t="shared" si="97"/>
        <v>0</v>
      </c>
      <c r="Q206" s="114">
        <f t="shared" si="97"/>
        <v>37</v>
      </c>
      <c r="R206" s="111">
        <f t="shared" si="97"/>
        <v>0</v>
      </c>
      <c r="S206" s="112">
        <f t="shared" si="97"/>
        <v>26</v>
      </c>
      <c r="T206" s="111">
        <f t="shared" si="97"/>
        <v>26</v>
      </c>
      <c r="U206" s="111">
        <f t="shared" si="97"/>
        <v>0</v>
      </c>
      <c r="V206" s="114">
        <f t="shared" si="97"/>
        <v>26</v>
      </c>
      <c r="W206" s="54">
        <f t="shared" si="93"/>
        <v>-29.729729729729726</v>
      </c>
      <c r="X206" s="303"/>
      <c r="AA206" s="305"/>
    </row>
    <row r="207" spans="1:23" ht="14.25" thickBot="1" thickTop="1">
      <c r="A207" s="220"/>
      <c r="B207" s="232"/>
      <c r="C207" s="234"/>
      <c r="D207" s="234"/>
      <c r="E207" s="234"/>
      <c r="F207" s="234"/>
      <c r="G207" s="234"/>
      <c r="H207" s="234"/>
      <c r="I207" s="276"/>
      <c r="J207" s="307"/>
      <c r="L207" s="39" t="s">
        <v>66</v>
      </c>
      <c r="M207" s="40">
        <f aca="true" t="shared" si="98" ref="M207:V207">+M198+M202+M206</f>
        <v>0</v>
      </c>
      <c r="N207" s="41">
        <f t="shared" si="98"/>
        <v>49</v>
      </c>
      <c r="O207" s="40">
        <f t="shared" si="98"/>
        <v>49</v>
      </c>
      <c r="P207" s="40">
        <f t="shared" si="98"/>
        <v>0</v>
      </c>
      <c r="Q207" s="40">
        <f t="shared" si="98"/>
        <v>49</v>
      </c>
      <c r="R207" s="40">
        <f t="shared" si="98"/>
        <v>2</v>
      </c>
      <c r="S207" s="41">
        <f t="shared" si="98"/>
        <v>106</v>
      </c>
      <c r="T207" s="40">
        <f t="shared" si="98"/>
        <v>108</v>
      </c>
      <c r="U207" s="40">
        <f t="shared" si="98"/>
        <v>0</v>
      </c>
      <c r="V207" s="42">
        <f t="shared" si="98"/>
        <v>108</v>
      </c>
      <c r="W207" s="54">
        <f t="shared" si="93"/>
        <v>120.4081632653061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47"/>
      <c r="L208" s="39" t="s">
        <v>9</v>
      </c>
      <c r="M208" s="40">
        <f aca="true" t="shared" si="99" ref="M208:V208">+M194+M198+M202+M206</f>
        <v>0</v>
      </c>
      <c r="N208" s="41">
        <f t="shared" si="99"/>
        <v>49</v>
      </c>
      <c r="O208" s="40">
        <f t="shared" si="99"/>
        <v>49</v>
      </c>
      <c r="P208" s="40">
        <f t="shared" si="99"/>
        <v>0</v>
      </c>
      <c r="Q208" s="40">
        <f t="shared" si="99"/>
        <v>49</v>
      </c>
      <c r="R208" s="40">
        <f t="shared" si="99"/>
        <v>2</v>
      </c>
      <c r="S208" s="41">
        <f t="shared" si="99"/>
        <v>117</v>
      </c>
      <c r="T208" s="40">
        <f t="shared" si="99"/>
        <v>119</v>
      </c>
      <c r="U208" s="40">
        <f t="shared" si="99"/>
        <v>0</v>
      </c>
      <c r="V208" s="40">
        <f t="shared" si="99"/>
        <v>119</v>
      </c>
      <c r="W208" s="54">
        <f t="shared" si="93"/>
        <v>142.85714285714283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47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47"/>
      <c r="L210" s="336" t="s">
        <v>55</v>
      </c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</row>
    <row r="211" spans="2:23" ht="15.75">
      <c r="B211" s="70"/>
      <c r="C211" s="70"/>
      <c r="D211" s="70"/>
      <c r="E211" s="70"/>
      <c r="F211" s="70"/>
      <c r="G211" s="70"/>
      <c r="H211" s="70"/>
      <c r="I211" s="247"/>
      <c r="L211" s="337" t="s">
        <v>56</v>
      </c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47"/>
      <c r="W212" s="242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47"/>
      <c r="L213" s="3"/>
      <c r="M213" s="347" t="s">
        <v>67</v>
      </c>
      <c r="N213" s="348"/>
      <c r="O213" s="348"/>
      <c r="P213" s="348"/>
      <c r="Q213" s="349"/>
      <c r="R213" s="338" t="s">
        <v>68</v>
      </c>
      <c r="S213" s="339"/>
      <c r="T213" s="339"/>
      <c r="U213" s="339"/>
      <c r="V213" s="340"/>
      <c r="W213" s="239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47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0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47"/>
      <c r="L215" s="12"/>
      <c r="M215" s="15" t="s">
        <v>44</v>
      </c>
      <c r="N215" s="16" t="s">
        <v>45</v>
      </c>
      <c r="O215" s="17" t="s">
        <v>46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46</v>
      </c>
      <c r="U215" s="18" t="s">
        <v>13</v>
      </c>
      <c r="V215" s="19" t="s">
        <v>9</v>
      </c>
      <c r="W215" s="241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47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07"/>
    </row>
    <row r="217" spans="2:23" ht="12.75">
      <c r="B217" s="70"/>
      <c r="C217" s="70"/>
      <c r="D217" s="70"/>
      <c r="E217" s="70"/>
      <c r="F217" s="70"/>
      <c r="G217" s="70"/>
      <c r="H217" s="70"/>
      <c r="I217" s="247"/>
      <c r="L217" s="4" t="s">
        <v>14</v>
      </c>
      <c r="M217" s="29">
        <f aca="true" t="shared" si="100" ref="M217:N219">+M165+M191</f>
        <v>27</v>
      </c>
      <c r="N217" s="36">
        <f t="shared" si="100"/>
        <v>85</v>
      </c>
      <c r="O217" s="33">
        <f>M217+N217</f>
        <v>112</v>
      </c>
      <c r="P217" s="34">
        <f>+P165+P191</f>
        <v>0</v>
      </c>
      <c r="Q217" s="35">
        <f>O217+P217</f>
        <v>112</v>
      </c>
      <c r="R217" s="29">
        <f aca="true" t="shared" si="101" ref="R217:S219">+R165+R191</f>
        <v>34</v>
      </c>
      <c r="S217" s="36">
        <f t="shared" si="101"/>
        <v>112</v>
      </c>
      <c r="T217" s="33">
        <f>R217+S217</f>
        <v>146</v>
      </c>
      <c r="U217" s="34">
        <f>+U165+U191</f>
        <v>1</v>
      </c>
      <c r="V217" s="31">
        <f>T217+U217</f>
        <v>147</v>
      </c>
      <c r="W217" s="256">
        <f aca="true" t="shared" si="102" ref="W217:W234">IF(Q217=0,0,((V217/Q217)-1)*100)</f>
        <v>31.25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47"/>
      <c r="L218" s="4" t="s">
        <v>15</v>
      </c>
      <c r="M218" s="29">
        <f t="shared" si="100"/>
        <v>29</v>
      </c>
      <c r="N218" s="36">
        <f t="shared" si="100"/>
        <v>85</v>
      </c>
      <c r="O218" s="33">
        <f>M218+N218</f>
        <v>114</v>
      </c>
      <c r="P218" s="34">
        <f>+P166+P192</f>
        <v>0</v>
      </c>
      <c r="Q218" s="35">
        <f>O218+P218</f>
        <v>114</v>
      </c>
      <c r="R218" s="29">
        <f t="shared" si="101"/>
        <v>32</v>
      </c>
      <c r="S218" s="36">
        <f t="shared" si="101"/>
        <v>97</v>
      </c>
      <c r="T218" s="33">
        <f>R218+S218</f>
        <v>129</v>
      </c>
      <c r="U218" s="34">
        <f>+U166+U192</f>
        <v>1</v>
      </c>
      <c r="V218" s="31">
        <f>T218+U218</f>
        <v>130</v>
      </c>
      <c r="W218" s="256">
        <f t="shared" si="102"/>
        <v>14.035087719298245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47"/>
      <c r="L219" s="12" t="s">
        <v>16</v>
      </c>
      <c r="M219" s="29">
        <f t="shared" si="100"/>
        <v>27</v>
      </c>
      <c r="N219" s="36">
        <f t="shared" si="100"/>
        <v>104</v>
      </c>
      <c r="O219" s="33">
        <f>M219+N219</f>
        <v>131</v>
      </c>
      <c r="P219" s="34">
        <f>+P167+P193</f>
        <v>0</v>
      </c>
      <c r="Q219" s="35">
        <f>O219+P219</f>
        <v>131</v>
      </c>
      <c r="R219" s="29">
        <f t="shared" si="101"/>
        <v>42</v>
      </c>
      <c r="S219" s="36">
        <f t="shared" si="101"/>
        <v>133</v>
      </c>
      <c r="T219" s="33">
        <f>R219+S219</f>
        <v>175</v>
      </c>
      <c r="U219" s="34">
        <f>+U167+U193</f>
        <v>1</v>
      </c>
      <c r="V219" s="31">
        <f>T219+U219</f>
        <v>176</v>
      </c>
      <c r="W219" s="256">
        <f t="shared" si="102"/>
        <v>34.35114503816794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47"/>
      <c r="L220" s="39" t="s">
        <v>17</v>
      </c>
      <c r="M220" s="40">
        <f aca="true" t="shared" si="103" ref="M220:V220">+M217+M218+M219</f>
        <v>83</v>
      </c>
      <c r="N220" s="41">
        <f t="shared" si="103"/>
        <v>274</v>
      </c>
      <c r="O220" s="40">
        <f t="shared" si="103"/>
        <v>357</v>
      </c>
      <c r="P220" s="40">
        <f t="shared" si="103"/>
        <v>0</v>
      </c>
      <c r="Q220" s="40">
        <f t="shared" si="103"/>
        <v>357</v>
      </c>
      <c r="R220" s="40">
        <f t="shared" si="103"/>
        <v>108</v>
      </c>
      <c r="S220" s="41">
        <f t="shared" si="103"/>
        <v>342</v>
      </c>
      <c r="T220" s="40">
        <f t="shared" si="103"/>
        <v>450</v>
      </c>
      <c r="U220" s="40">
        <f t="shared" si="103"/>
        <v>3</v>
      </c>
      <c r="V220" s="42">
        <f t="shared" si="103"/>
        <v>453</v>
      </c>
      <c r="W220" s="257">
        <f t="shared" si="102"/>
        <v>26.890756302521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47"/>
      <c r="L221" s="4" t="s">
        <v>18</v>
      </c>
      <c r="M221" s="29">
        <f aca="true" t="shared" si="104" ref="M221:N223">+M169+M195</f>
        <v>36</v>
      </c>
      <c r="N221" s="36">
        <f t="shared" si="104"/>
        <v>92</v>
      </c>
      <c r="O221" s="33">
        <f>M221+N221</f>
        <v>128</v>
      </c>
      <c r="P221" s="34">
        <f>+P169+P195</f>
        <v>0</v>
      </c>
      <c r="Q221" s="35">
        <f>O221+P221</f>
        <v>128</v>
      </c>
      <c r="R221" s="29">
        <f aca="true" t="shared" si="105" ref="R221:S223">+R169+R195</f>
        <v>35</v>
      </c>
      <c r="S221" s="36">
        <f t="shared" si="105"/>
        <v>129</v>
      </c>
      <c r="T221" s="33">
        <f>R221+S221</f>
        <v>164</v>
      </c>
      <c r="U221" s="34">
        <f>+U169+U195</f>
        <v>1</v>
      </c>
      <c r="V221" s="31">
        <f>T221+U221</f>
        <v>165</v>
      </c>
      <c r="W221" s="256">
        <f t="shared" si="102"/>
        <v>28.90625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47"/>
      <c r="L222" s="4" t="s">
        <v>19</v>
      </c>
      <c r="M222" s="29">
        <f t="shared" si="104"/>
        <v>25</v>
      </c>
      <c r="N222" s="36">
        <f t="shared" si="104"/>
        <v>104</v>
      </c>
      <c r="O222" s="33">
        <f>M222+N222</f>
        <v>129</v>
      </c>
      <c r="P222" s="34">
        <f>+P170+P196</f>
        <v>0</v>
      </c>
      <c r="Q222" s="35">
        <f>O222+P222</f>
        <v>129</v>
      </c>
      <c r="R222" s="29">
        <f t="shared" si="105"/>
        <v>38</v>
      </c>
      <c r="S222" s="36">
        <f t="shared" si="105"/>
        <v>119</v>
      </c>
      <c r="T222" s="33">
        <f>R222+S222</f>
        <v>157</v>
      </c>
      <c r="U222" s="34">
        <f>+U170+U196</f>
        <v>0</v>
      </c>
      <c r="V222" s="31">
        <f>T222+U222</f>
        <v>157</v>
      </c>
      <c r="W222" s="256">
        <f>IF(Q222=0,0,((V222/Q222)-1)*100)</f>
        <v>21.705426356589143</v>
      </c>
    </row>
    <row r="223" spans="2:23" ht="15" customHeight="1" thickBot="1">
      <c r="B223" s="70"/>
      <c r="C223" s="70"/>
      <c r="D223" s="70"/>
      <c r="E223" s="70"/>
      <c r="F223" s="70"/>
      <c r="G223" s="70"/>
      <c r="H223" s="70"/>
      <c r="I223" s="247"/>
      <c r="L223" s="4" t="s">
        <v>20</v>
      </c>
      <c r="M223" s="29">
        <f t="shared" si="104"/>
        <v>25</v>
      </c>
      <c r="N223" s="36">
        <f t="shared" si="104"/>
        <v>138</v>
      </c>
      <c r="O223" s="33">
        <f>M223+N223</f>
        <v>163</v>
      </c>
      <c r="P223" s="34">
        <f>+P171+P197</f>
        <v>0</v>
      </c>
      <c r="Q223" s="35">
        <f>O223+P223</f>
        <v>163</v>
      </c>
      <c r="R223" s="29">
        <f t="shared" si="105"/>
        <v>42</v>
      </c>
      <c r="S223" s="36">
        <f t="shared" si="105"/>
        <v>140</v>
      </c>
      <c r="T223" s="33">
        <f>R223+S223</f>
        <v>182</v>
      </c>
      <c r="U223" s="34">
        <f>+U171+U197</f>
        <v>0</v>
      </c>
      <c r="V223" s="31">
        <f>T223+U223</f>
        <v>182</v>
      </c>
      <c r="W223" s="256">
        <f t="shared" si="102"/>
        <v>11.65644171779141</v>
      </c>
    </row>
    <row r="224" spans="1:23" ht="14.25" thickBot="1" thickTop="1">
      <c r="A224" s="70"/>
      <c r="B224" s="232"/>
      <c r="C224" s="234"/>
      <c r="D224" s="234"/>
      <c r="E224" s="234"/>
      <c r="F224" s="234"/>
      <c r="G224" s="234"/>
      <c r="H224" s="234"/>
      <c r="I224" s="276"/>
      <c r="J224" s="235"/>
      <c r="L224" s="44" t="s">
        <v>21</v>
      </c>
      <c r="M224" s="40">
        <f aca="true" t="shared" si="106" ref="M224:V224">M223+M222+M221</f>
        <v>86</v>
      </c>
      <c r="N224" s="41">
        <f t="shared" si="106"/>
        <v>334</v>
      </c>
      <c r="O224" s="40">
        <f t="shared" si="106"/>
        <v>420</v>
      </c>
      <c r="P224" s="40">
        <f t="shared" si="106"/>
        <v>0</v>
      </c>
      <c r="Q224" s="40">
        <f t="shared" si="106"/>
        <v>420</v>
      </c>
      <c r="R224" s="40">
        <f t="shared" si="106"/>
        <v>115</v>
      </c>
      <c r="S224" s="41">
        <f t="shared" si="106"/>
        <v>388</v>
      </c>
      <c r="T224" s="40">
        <f t="shared" si="106"/>
        <v>503</v>
      </c>
      <c r="U224" s="40">
        <f t="shared" si="106"/>
        <v>1</v>
      </c>
      <c r="V224" s="42">
        <f t="shared" si="106"/>
        <v>504</v>
      </c>
      <c r="W224" s="257">
        <f t="shared" si="102"/>
        <v>19.999999999999996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47"/>
      <c r="L225" s="4" t="s">
        <v>22</v>
      </c>
      <c r="M225" s="29">
        <f aca="true" t="shared" si="107" ref="M225:N227">+M173+M199</f>
        <v>21</v>
      </c>
      <c r="N225" s="36">
        <f t="shared" si="107"/>
        <v>113</v>
      </c>
      <c r="O225" s="33">
        <f>M225+N225</f>
        <v>134</v>
      </c>
      <c r="P225" s="34">
        <f>+P173+P199</f>
        <v>1</v>
      </c>
      <c r="Q225" s="35">
        <f>O225+P225</f>
        <v>135</v>
      </c>
      <c r="R225" s="93">
        <f aca="true" t="shared" si="108" ref="R225:S227">+R173+R199</f>
        <v>36</v>
      </c>
      <c r="S225" s="92">
        <f t="shared" si="108"/>
        <v>117</v>
      </c>
      <c r="T225" s="33">
        <f>R225+S225</f>
        <v>153</v>
      </c>
      <c r="U225" s="34">
        <f>+U173+U199</f>
        <v>0</v>
      </c>
      <c r="V225" s="31">
        <f>T225+U225</f>
        <v>153</v>
      </c>
      <c r="W225" s="256">
        <f t="shared" si="102"/>
        <v>13.33333333333333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47"/>
      <c r="L226" s="4" t="s">
        <v>23</v>
      </c>
      <c r="M226" s="29">
        <f t="shared" si="107"/>
        <v>19</v>
      </c>
      <c r="N226" s="36">
        <f t="shared" si="107"/>
        <v>122</v>
      </c>
      <c r="O226" s="33">
        <f>M226+N226</f>
        <v>141</v>
      </c>
      <c r="P226" s="34">
        <f>+P174+P200</f>
        <v>1</v>
      </c>
      <c r="Q226" s="35">
        <f>O226+P226</f>
        <v>142</v>
      </c>
      <c r="R226" s="29">
        <f t="shared" si="108"/>
        <v>34</v>
      </c>
      <c r="S226" s="92">
        <f t="shared" si="108"/>
        <v>151</v>
      </c>
      <c r="T226" s="33">
        <f>R226+S226</f>
        <v>185</v>
      </c>
      <c r="U226" s="34">
        <f>+U174+U200</f>
        <v>1</v>
      </c>
      <c r="V226" s="31">
        <f>T226+U226</f>
        <v>186</v>
      </c>
      <c r="W226" s="256">
        <f t="shared" si="102"/>
        <v>30.98591549295775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47"/>
      <c r="L227" s="4" t="s">
        <v>24</v>
      </c>
      <c r="M227" s="29">
        <f t="shared" si="107"/>
        <v>21</v>
      </c>
      <c r="N227" s="36">
        <f t="shared" si="107"/>
        <v>129</v>
      </c>
      <c r="O227" s="33">
        <f>M227+N227</f>
        <v>150</v>
      </c>
      <c r="P227" s="34">
        <f>+P175+P201</f>
        <v>1</v>
      </c>
      <c r="Q227" s="35">
        <f>O227+P227</f>
        <v>151</v>
      </c>
      <c r="R227" s="29">
        <f t="shared" si="108"/>
        <v>36</v>
      </c>
      <c r="S227" s="36">
        <f t="shared" si="108"/>
        <v>124</v>
      </c>
      <c r="T227" s="33">
        <f>R227+S227</f>
        <v>160</v>
      </c>
      <c r="U227" s="34">
        <f>+U175+U201</f>
        <v>1</v>
      </c>
      <c r="V227" s="31">
        <f>T227+U227</f>
        <v>161</v>
      </c>
      <c r="W227" s="256">
        <f t="shared" si="102"/>
        <v>6.62251655629138</v>
      </c>
    </row>
    <row r="228" spans="1:23" ht="14.25" thickBot="1" thickTop="1">
      <c r="A228" s="220"/>
      <c r="B228" s="232"/>
      <c r="C228" s="234"/>
      <c r="D228" s="234"/>
      <c r="E228" s="234"/>
      <c r="F228" s="234"/>
      <c r="G228" s="234"/>
      <c r="H228" s="234"/>
      <c r="I228" s="276"/>
      <c r="J228" s="307"/>
      <c r="L228" s="44" t="s">
        <v>25</v>
      </c>
      <c r="M228" s="40">
        <f aca="true" t="shared" si="109" ref="M228:V228">+M225+M226+M227</f>
        <v>61</v>
      </c>
      <c r="N228" s="41">
        <f t="shared" si="109"/>
        <v>364</v>
      </c>
      <c r="O228" s="40">
        <f t="shared" si="109"/>
        <v>425</v>
      </c>
      <c r="P228" s="40">
        <f t="shared" si="109"/>
        <v>3</v>
      </c>
      <c r="Q228" s="40">
        <f t="shared" si="109"/>
        <v>428</v>
      </c>
      <c r="R228" s="40">
        <f t="shared" si="109"/>
        <v>106</v>
      </c>
      <c r="S228" s="41">
        <f t="shared" si="109"/>
        <v>392</v>
      </c>
      <c r="T228" s="40">
        <f t="shared" si="109"/>
        <v>498</v>
      </c>
      <c r="U228" s="40">
        <f t="shared" si="109"/>
        <v>2</v>
      </c>
      <c r="V228" s="42">
        <f t="shared" si="109"/>
        <v>500</v>
      </c>
      <c r="W228" s="257">
        <f t="shared" si="102"/>
        <v>16.82242990654206</v>
      </c>
    </row>
    <row r="229" spans="2:27" s="100" customFormat="1" ht="12.75" customHeight="1" thickTop="1">
      <c r="B229" s="229"/>
      <c r="C229" s="229"/>
      <c r="D229" s="229"/>
      <c r="E229" s="229"/>
      <c r="F229" s="229"/>
      <c r="G229" s="229"/>
      <c r="H229" s="229"/>
      <c r="I229" s="282"/>
      <c r="L229" s="101" t="s">
        <v>27</v>
      </c>
      <c r="M229" s="102">
        <f aca="true" t="shared" si="110" ref="M229:N231">+M177+M203</f>
        <v>24</v>
      </c>
      <c r="N229" s="103">
        <f t="shared" si="110"/>
        <v>128</v>
      </c>
      <c r="O229" s="104">
        <f>M229+N229</f>
        <v>152</v>
      </c>
      <c r="P229" s="105">
        <f>+P177+P203</f>
        <v>1</v>
      </c>
      <c r="Q229" s="106">
        <f>O229+P229</f>
        <v>153</v>
      </c>
      <c r="R229" s="102">
        <f aca="true" t="shared" si="111" ref="R229:S231">+R177+R203</f>
        <v>36</v>
      </c>
      <c r="S229" s="103">
        <f t="shared" si="111"/>
        <v>110</v>
      </c>
      <c r="T229" s="115">
        <f>R229+S229</f>
        <v>146</v>
      </c>
      <c r="U229" s="116">
        <f>+U177+U203</f>
        <v>21</v>
      </c>
      <c r="V229" s="107">
        <f>T229+U229</f>
        <v>167</v>
      </c>
      <c r="W229" s="256">
        <f t="shared" si="102"/>
        <v>9.15032679738561</v>
      </c>
      <c r="X229" s="303"/>
      <c r="AA229" s="305"/>
    </row>
    <row r="230" spans="2:27" s="100" customFormat="1" ht="12.75" customHeight="1">
      <c r="B230" s="228"/>
      <c r="C230" s="228"/>
      <c r="D230" s="228"/>
      <c r="E230" s="228"/>
      <c r="F230" s="228"/>
      <c r="G230" s="228"/>
      <c r="H230" s="228"/>
      <c r="I230" s="248"/>
      <c r="L230" s="101" t="s">
        <v>28</v>
      </c>
      <c r="M230" s="102">
        <f t="shared" si="110"/>
        <v>27</v>
      </c>
      <c r="N230" s="103">
        <f t="shared" si="110"/>
        <v>134</v>
      </c>
      <c r="O230" s="104">
        <f>M230+N230</f>
        <v>161</v>
      </c>
      <c r="P230" s="105">
        <f>+P178+P204</f>
        <v>1</v>
      </c>
      <c r="Q230" s="106">
        <f>O230+P230</f>
        <v>162</v>
      </c>
      <c r="R230" s="102">
        <f t="shared" si="111"/>
        <v>31</v>
      </c>
      <c r="S230" s="103">
        <f t="shared" si="111"/>
        <v>106</v>
      </c>
      <c r="T230" s="115">
        <f>R230+S230</f>
        <v>137</v>
      </c>
      <c r="U230" s="105">
        <f>+U178+U204</f>
        <v>0</v>
      </c>
      <c r="V230" s="107">
        <f>T230+U230</f>
        <v>137</v>
      </c>
      <c r="W230" s="256">
        <f>IF(Q230=0,0,((V230/Q230)-1)*100)</f>
        <v>-15.432098765432102</v>
      </c>
      <c r="X230" s="303"/>
      <c r="AA230" s="305"/>
    </row>
    <row r="231" spans="2:27" s="100" customFormat="1" ht="12.75" customHeight="1" thickBot="1">
      <c r="B231" s="228"/>
      <c r="C231" s="228"/>
      <c r="D231" s="228"/>
      <c r="E231" s="228"/>
      <c r="F231" s="228"/>
      <c r="G231" s="228"/>
      <c r="H231" s="228"/>
      <c r="I231" s="248"/>
      <c r="L231" s="101" t="s">
        <v>29</v>
      </c>
      <c r="M231" s="102">
        <f t="shared" si="110"/>
        <v>34</v>
      </c>
      <c r="N231" s="103">
        <f t="shared" si="110"/>
        <v>115</v>
      </c>
      <c r="O231" s="104">
        <f>M231+N231</f>
        <v>149</v>
      </c>
      <c r="P231" s="117">
        <f>+P179+P205</f>
        <v>1</v>
      </c>
      <c r="Q231" s="106">
        <f>O231+P231</f>
        <v>150</v>
      </c>
      <c r="R231" s="102">
        <f t="shared" si="111"/>
        <v>39</v>
      </c>
      <c r="S231" s="103">
        <f t="shared" si="111"/>
        <v>109</v>
      </c>
      <c r="T231" s="115">
        <f>R231+S231</f>
        <v>148</v>
      </c>
      <c r="U231" s="105">
        <f>+U179+U205</f>
        <v>0</v>
      </c>
      <c r="V231" s="107">
        <f>T231+U231</f>
        <v>148</v>
      </c>
      <c r="W231" s="32">
        <f t="shared" si="102"/>
        <v>-1.3333333333333308</v>
      </c>
      <c r="X231" s="303"/>
      <c r="AA231" s="305"/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47"/>
      <c r="L232" s="39" t="s">
        <v>30</v>
      </c>
      <c r="M232" s="40">
        <f aca="true" t="shared" si="112" ref="M232:V232">+M229+M230+M231</f>
        <v>85</v>
      </c>
      <c r="N232" s="41">
        <f t="shared" si="112"/>
        <v>377</v>
      </c>
      <c r="O232" s="40">
        <f t="shared" si="112"/>
        <v>462</v>
      </c>
      <c r="P232" s="40">
        <f t="shared" si="112"/>
        <v>3</v>
      </c>
      <c r="Q232" s="43">
        <f t="shared" si="112"/>
        <v>465</v>
      </c>
      <c r="R232" s="40">
        <f t="shared" si="112"/>
        <v>106</v>
      </c>
      <c r="S232" s="41">
        <f t="shared" si="112"/>
        <v>325</v>
      </c>
      <c r="T232" s="40">
        <f t="shared" si="112"/>
        <v>431</v>
      </c>
      <c r="U232" s="40">
        <f t="shared" si="112"/>
        <v>21</v>
      </c>
      <c r="V232" s="43">
        <f t="shared" si="112"/>
        <v>452</v>
      </c>
      <c r="W232" s="257">
        <f t="shared" si="102"/>
        <v>-2.7956989247311825</v>
      </c>
    </row>
    <row r="233" spans="1:23" ht="14.25" thickBot="1" thickTop="1">
      <c r="A233" s="70"/>
      <c r="B233" s="232"/>
      <c r="C233" s="234"/>
      <c r="D233" s="234"/>
      <c r="E233" s="234"/>
      <c r="F233" s="234"/>
      <c r="G233" s="234"/>
      <c r="H233" s="234"/>
      <c r="I233" s="276"/>
      <c r="J233" s="235"/>
      <c r="L233" s="39" t="s">
        <v>66</v>
      </c>
      <c r="M233" s="40">
        <f aca="true" t="shared" si="113" ref="M233:V233">+M224+M228+M232</f>
        <v>232</v>
      </c>
      <c r="N233" s="41">
        <f t="shared" si="113"/>
        <v>1075</v>
      </c>
      <c r="O233" s="40">
        <f t="shared" si="113"/>
        <v>1307</v>
      </c>
      <c r="P233" s="40">
        <f t="shared" si="113"/>
        <v>6</v>
      </c>
      <c r="Q233" s="40">
        <f t="shared" si="113"/>
        <v>1313</v>
      </c>
      <c r="R233" s="40">
        <f t="shared" si="113"/>
        <v>327</v>
      </c>
      <c r="S233" s="41">
        <f t="shared" si="113"/>
        <v>1105</v>
      </c>
      <c r="T233" s="40">
        <f t="shared" si="113"/>
        <v>1432</v>
      </c>
      <c r="U233" s="40">
        <f t="shared" si="113"/>
        <v>24</v>
      </c>
      <c r="V233" s="42">
        <f t="shared" si="113"/>
        <v>1456</v>
      </c>
      <c r="W233" s="257">
        <f t="shared" si="102"/>
        <v>10.8910891089109</v>
      </c>
    </row>
    <row r="234" spans="2:23" ht="14.25" thickBot="1" thickTop="1">
      <c r="B234" s="1"/>
      <c r="C234" s="1"/>
      <c r="D234" s="1"/>
      <c r="E234" s="1"/>
      <c r="F234" s="1"/>
      <c r="G234" s="1"/>
      <c r="H234" s="1"/>
      <c r="I234" s="119"/>
      <c r="L234" s="39" t="s">
        <v>9</v>
      </c>
      <c r="M234" s="40">
        <f aca="true" t="shared" si="114" ref="M234:V234">+M220+M224+M228+M232</f>
        <v>315</v>
      </c>
      <c r="N234" s="41">
        <f t="shared" si="114"/>
        <v>1349</v>
      </c>
      <c r="O234" s="40">
        <f t="shared" si="114"/>
        <v>1664</v>
      </c>
      <c r="P234" s="40">
        <f t="shared" si="114"/>
        <v>6</v>
      </c>
      <c r="Q234" s="40">
        <f t="shared" si="114"/>
        <v>1670</v>
      </c>
      <c r="R234" s="40">
        <f t="shared" si="114"/>
        <v>435</v>
      </c>
      <c r="S234" s="41">
        <f t="shared" si="114"/>
        <v>1447</v>
      </c>
      <c r="T234" s="40">
        <f t="shared" si="114"/>
        <v>1882</v>
      </c>
      <c r="U234" s="40">
        <f t="shared" si="114"/>
        <v>27</v>
      </c>
      <c r="V234" s="40">
        <f t="shared" si="114"/>
        <v>1909</v>
      </c>
      <c r="W234" s="257">
        <f t="shared" si="102"/>
        <v>14.311377245508972</v>
      </c>
    </row>
    <row r="235" spans="2:12" ht="13.5" thickTop="1">
      <c r="B235" s="1"/>
      <c r="C235" s="1"/>
      <c r="D235" s="1"/>
      <c r="E235" s="1"/>
      <c r="F235" s="1"/>
      <c r="G235" s="1"/>
      <c r="H235" s="1"/>
      <c r="I235" s="119"/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B2:I2"/>
    <mergeCell ref="L2:W2"/>
    <mergeCell ref="B3:I3"/>
    <mergeCell ref="L3:W3"/>
    <mergeCell ref="R31:V31"/>
    <mergeCell ref="L29:W29"/>
    <mergeCell ref="C31:E31"/>
    <mergeCell ref="F31:H31"/>
  </mergeCells>
  <printOptions horizontalCentered="1"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53" r:id="rId1"/>
  <headerFooter alignWithMargins="0">
    <oddHeader>&amp;LMonthly Air Transport Statistics : Suvarnabhumi Airport</oddHeader>
    <oddFooter>&amp;LAir Transport Information Division, Corporate Strategy Department&amp;C&amp;D&amp;R&amp;T</oddFooter>
  </headerFooter>
  <rowBreaks count="2" manualBreakCount="2">
    <brk id="79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5"/>
  <sheetViews>
    <sheetView zoomScalePageLayoutView="0" workbookViewId="0" topLeftCell="A1">
      <selection activeCell="J12" sqref="J12"/>
    </sheetView>
  </sheetViews>
  <sheetFormatPr defaultColWidth="9.140625" defaultRowHeight="23.25"/>
  <cols>
    <col min="1" max="1" width="9.140625" style="1" customWidth="1"/>
    <col min="2" max="2" width="13.0039062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17" width="11.7109375" style="1" customWidth="1"/>
    <col min="18" max="19" width="11.8515625" style="1" customWidth="1"/>
    <col min="20" max="20" width="12.421875" style="1" customWidth="1"/>
    <col min="21" max="21" width="10.421875" style="1" customWidth="1"/>
    <col min="22" max="22" width="11.8515625" style="1" customWidth="1"/>
    <col min="23" max="23" width="11.00390625" style="119" bestFit="1" customWidth="1"/>
    <col min="24" max="24" width="7.00390625" style="119" bestFit="1" customWidth="1"/>
    <col min="25" max="25" width="6.00390625" style="1" bestFit="1" customWidth="1"/>
    <col min="26" max="26" width="9.140625" style="1" customWidth="1"/>
    <col min="27" max="27" width="9.140625" style="304" customWidth="1"/>
    <col min="28" max="16384" width="9.140625" style="1" customWidth="1"/>
  </cols>
  <sheetData>
    <row r="2" spans="2:23" ht="12.75">
      <c r="B2" s="336" t="s">
        <v>0</v>
      </c>
      <c r="C2" s="336"/>
      <c r="D2" s="336"/>
      <c r="E2" s="336"/>
      <c r="F2" s="336"/>
      <c r="G2" s="336"/>
      <c r="H2" s="336"/>
      <c r="I2" s="336"/>
      <c r="L2" s="336" t="s">
        <v>1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ht="15.75">
      <c r="B3" s="337" t="s">
        <v>2</v>
      </c>
      <c r="C3" s="337"/>
      <c r="D3" s="337"/>
      <c r="E3" s="337"/>
      <c r="F3" s="337"/>
      <c r="G3" s="337"/>
      <c r="H3" s="337"/>
      <c r="I3" s="337"/>
      <c r="L3" s="337" t="s">
        <v>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ht="13.5" thickBot="1"/>
    <row r="5" spans="2:23" ht="17.25" thickBot="1" thickTop="1">
      <c r="B5" s="3"/>
      <c r="C5" s="341" t="s">
        <v>67</v>
      </c>
      <c r="D5" s="342"/>
      <c r="E5" s="343"/>
      <c r="F5" s="344" t="s">
        <v>68</v>
      </c>
      <c r="G5" s="345"/>
      <c r="H5" s="346"/>
      <c r="I5" s="239" t="s">
        <v>4</v>
      </c>
      <c r="L5" s="3"/>
      <c r="M5" s="347" t="s">
        <v>67</v>
      </c>
      <c r="N5" s="348"/>
      <c r="O5" s="348"/>
      <c r="P5" s="348"/>
      <c r="Q5" s="349"/>
      <c r="R5" s="338" t="s">
        <v>68</v>
      </c>
      <c r="S5" s="339"/>
      <c r="T5" s="339"/>
      <c r="U5" s="339"/>
      <c r="V5" s="340"/>
      <c r="W5" s="23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0" t="s">
        <v>6</v>
      </c>
    </row>
    <row r="7" spans="2:23" ht="13.5" thickBot="1">
      <c r="B7" s="12"/>
      <c r="C7" s="13" t="s">
        <v>7</v>
      </c>
      <c r="D7" s="230" t="s">
        <v>8</v>
      </c>
      <c r="E7" s="14" t="s">
        <v>9</v>
      </c>
      <c r="F7" s="13" t="s">
        <v>7</v>
      </c>
      <c r="G7" s="230" t="s">
        <v>8</v>
      </c>
      <c r="H7" s="14" t="s">
        <v>9</v>
      </c>
      <c r="I7" s="24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1"/>
    </row>
    <row r="8" spans="2:23" ht="6" customHeight="1" thickTop="1">
      <c r="B8" s="4"/>
      <c r="C8" s="20"/>
      <c r="D8" s="21"/>
      <c r="E8" s="22"/>
      <c r="F8" s="20"/>
      <c r="G8" s="21"/>
      <c r="H8" s="22"/>
      <c r="I8" s="244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07"/>
    </row>
    <row r="9" spans="2:23" ht="12.75">
      <c r="B9" s="4" t="s">
        <v>14</v>
      </c>
      <c r="C9" s="71">
        <v>94</v>
      </c>
      <c r="D9" s="72">
        <v>98</v>
      </c>
      <c r="E9" s="73">
        <f>C9+D9</f>
        <v>192</v>
      </c>
      <c r="F9" s="71">
        <v>94</v>
      </c>
      <c r="G9" s="72">
        <v>107</v>
      </c>
      <c r="H9" s="73">
        <f>F9+G9</f>
        <v>201</v>
      </c>
      <c r="I9" s="256">
        <f aca="true" t="shared" si="0" ref="I9:I26">IF(E9=0,0,((H9/E9)-1)*100)</f>
        <v>4.6875</v>
      </c>
      <c r="L9" s="4" t="s">
        <v>14</v>
      </c>
      <c r="M9" s="29">
        <v>369</v>
      </c>
      <c r="N9" s="36">
        <v>502</v>
      </c>
      <c r="O9" s="33">
        <f>M9+N9</f>
        <v>871</v>
      </c>
      <c r="P9" s="34">
        <v>83</v>
      </c>
      <c r="Q9" s="35">
        <f>O9+P9</f>
        <v>954</v>
      </c>
      <c r="R9" s="29">
        <v>2240</v>
      </c>
      <c r="S9" s="36">
        <v>2438</v>
      </c>
      <c r="T9" s="33">
        <f>R9+S9</f>
        <v>4678</v>
      </c>
      <c r="U9" s="34">
        <v>175</v>
      </c>
      <c r="V9" s="31">
        <f>T9+U9</f>
        <v>4853</v>
      </c>
      <c r="W9" s="32">
        <f aca="true" t="shared" si="1" ref="W9:W26">IF(Q9=0,0,((V9/Q9)-1)*100)</f>
        <v>408.70020964360583</v>
      </c>
    </row>
    <row r="10" spans="2:23" ht="12.75">
      <c r="B10" s="4" t="s">
        <v>15</v>
      </c>
      <c r="C10" s="71">
        <v>89</v>
      </c>
      <c r="D10" s="72">
        <v>99</v>
      </c>
      <c r="E10" s="73">
        <f>C10+D10</f>
        <v>188</v>
      </c>
      <c r="F10" s="29">
        <v>0</v>
      </c>
      <c r="G10" s="30">
        <v>0</v>
      </c>
      <c r="H10" s="73">
        <f>F10+G10</f>
        <v>0</v>
      </c>
      <c r="I10" s="256">
        <f t="shared" si="0"/>
        <v>-100</v>
      </c>
      <c r="L10" s="4" t="s">
        <v>15</v>
      </c>
      <c r="M10" s="29">
        <v>436</v>
      </c>
      <c r="N10" s="36">
        <v>369</v>
      </c>
      <c r="O10" s="33">
        <f>M10+N10</f>
        <v>805</v>
      </c>
      <c r="P10" s="34">
        <v>14</v>
      </c>
      <c r="Q10" s="35">
        <f>O10+P10</f>
        <v>819</v>
      </c>
      <c r="R10" s="29">
        <v>0</v>
      </c>
      <c r="S10" s="36">
        <v>0</v>
      </c>
      <c r="T10" s="33">
        <f>R10+S10</f>
        <v>0</v>
      </c>
      <c r="U10" s="34">
        <v>0</v>
      </c>
      <c r="V10" s="31">
        <f>T10+U10</f>
        <v>0</v>
      </c>
      <c r="W10" s="32">
        <f t="shared" si="1"/>
        <v>-100</v>
      </c>
    </row>
    <row r="11" spans="2:23" ht="13.5" thickBot="1">
      <c r="B11" s="12" t="s">
        <v>16</v>
      </c>
      <c r="C11" s="74">
        <v>97</v>
      </c>
      <c r="D11" s="75">
        <v>87</v>
      </c>
      <c r="E11" s="73">
        <f>C11+D11</f>
        <v>184</v>
      </c>
      <c r="F11" s="37">
        <v>1</v>
      </c>
      <c r="G11" s="328">
        <v>0</v>
      </c>
      <c r="H11" s="73">
        <f>F11+G11</f>
        <v>1</v>
      </c>
      <c r="I11" s="256">
        <f t="shared" si="0"/>
        <v>-99.45652173913044</v>
      </c>
      <c r="L11" s="12" t="s">
        <v>16</v>
      </c>
      <c r="M11" s="29">
        <v>312</v>
      </c>
      <c r="N11" s="36">
        <v>644</v>
      </c>
      <c r="O11" s="33">
        <f>M11+N11</f>
        <v>956</v>
      </c>
      <c r="P11" s="34">
        <v>6</v>
      </c>
      <c r="Q11" s="35">
        <f>O11+P11</f>
        <v>962</v>
      </c>
      <c r="R11" s="29">
        <v>0</v>
      </c>
      <c r="S11" s="36">
        <v>0</v>
      </c>
      <c r="T11" s="33">
        <f>R11+S11</f>
        <v>0</v>
      </c>
      <c r="U11" s="34">
        <v>0</v>
      </c>
      <c r="V11" s="31">
        <f>T11+U11</f>
        <v>0</v>
      </c>
      <c r="W11" s="32">
        <f t="shared" si="1"/>
        <v>-100</v>
      </c>
    </row>
    <row r="12" spans="2:23" ht="14.25" thickBot="1" thickTop="1">
      <c r="B12" s="39" t="s">
        <v>17</v>
      </c>
      <c r="C12" s="76">
        <f aca="true" t="shared" si="2" ref="C12:H12">+C9+C10+C11</f>
        <v>280</v>
      </c>
      <c r="D12" s="77">
        <f t="shared" si="2"/>
        <v>284</v>
      </c>
      <c r="E12" s="78">
        <f t="shared" si="2"/>
        <v>564</v>
      </c>
      <c r="F12" s="76">
        <f t="shared" si="2"/>
        <v>95</v>
      </c>
      <c r="G12" s="77">
        <f t="shared" si="2"/>
        <v>107</v>
      </c>
      <c r="H12" s="78">
        <f t="shared" si="2"/>
        <v>202</v>
      </c>
      <c r="I12" s="257">
        <f t="shared" si="0"/>
        <v>-64.18439716312056</v>
      </c>
      <c r="L12" s="39" t="s">
        <v>17</v>
      </c>
      <c r="M12" s="40">
        <f aca="true" t="shared" si="3" ref="M12:V12">+M9+M10+M11</f>
        <v>1117</v>
      </c>
      <c r="N12" s="41">
        <f t="shared" si="3"/>
        <v>1515</v>
      </c>
      <c r="O12" s="40">
        <f t="shared" si="3"/>
        <v>2632</v>
      </c>
      <c r="P12" s="40">
        <f t="shared" si="3"/>
        <v>103</v>
      </c>
      <c r="Q12" s="40">
        <f t="shared" si="3"/>
        <v>2735</v>
      </c>
      <c r="R12" s="40">
        <f t="shared" si="3"/>
        <v>2240</v>
      </c>
      <c r="S12" s="41">
        <f t="shared" si="3"/>
        <v>2438</v>
      </c>
      <c r="T12" s="40">
        <f t="shared" si="3"/>
        <v>4678</v>
      </c>
      <c r="U12" s="40">
        <f t="shared" si="3"/>
        <v>175</v>
      </c>
      <c r="V12" s="42">
        <f t="shared" si="3"/>
        <v>4853</v>
      </c>
      <c r="W12" s="54">
        <f t="shared" si="1"/>
        <v>77.44058500914078</v>
      </c>
    </row>
    <row r="13" spans="2:23" ht="13.5" thickTop="1">
      <c r="B13" s="4" t="s">
        <v>18</v>
      </c>
      <c r="C13" s="71">
        <v>108</v>
      </c>
      <c r="D13" s="72">
        <v>111</v>
      </c>
      <c r="E13" s="73">
        <f>C13+D13</f>
        <v>219</v>
      </c>
      <c r="F13" s="71">
        <v>6</v>
      </c>
      <c r="G13" s="72">
        <v>6</v>
      </c>
      <c r="H13" s="73">
        <f>F13+G13</f>
        <v>12</v>
      </c>
      <c r="I13" s="256">
        <f t="shared" si="0"/>
        <v>-94.52054794520548</v>
      </c>
      <c r="L13" s="4" t="s">
        <v>18</v>
      </c>
      <c r="M13" s="29">
        <v>327</v>
      </c>
      <c r="N13" s="36">
        <v>273</v>
      </c>
      <c r="O13" s="33">
        <f>M13+N13</f>
        <v>600</v>
      </c>
      <c r="P13" s="34">
        <v>29</v>
      </c>
      <c r="Q13" s="35">
        <f>O13+P13</f>
        <v>629</v>
      </c>
      <c r="R13" s="29">
        <v>30</v>
      </c>
      <c r="S13" s="36">
        <v>24</v>
      </c>
      <c r="T13" s="33">
        <f>R13+S13</f>
        <v>54</v>
      </c>
      <c r="U13" s="34">
        <v>0</v>
      </c>
      <c r="V13" s="31">
        <f>T13+U13</f>
        <v>54</v>
      </c>
      <c r="W13" s="32">
        <f t="shared" si="1"/>
        <v>-91.41494435612083</v>
      </c>
    </row>
    <row r="14" spans="2:23" ht="12.75">
      <c r="B14" s="4" t="s">
        <v>19</v>
      </c>
      <c r="C14" s="29">
        <v>120</v>
      </c>
      <c r="D14" s="30">
        <v>125</v>
      </c>
      <c r="E14" s="73">
        <f>C14+D14</f>
        <v>245</v>
      </c>
      <c r="F14" s="29">
        <v>14</v>
      </c>
      <c r="G14" s="30">
        <v>17</v>
      </c>
      <c r="H14" s="31">
        <f>F14+G14</f>
        <v>31</v>
      </c>
      <c r="I14" s="256">
        <f t="shared" si="0"/>
        <v>-87.34693877551021</v>
      </c>
      <c r="L14" s="4" t="s">
        <v>19</v>
      </c>
      <c r="M14" s="29">
        <v>809</v>
      </c>
      <c r="N14" s="36">
        <v>961</v>
      </c>
      <c r="O14" s="33">
        <f>M14+N14</f>
        <v>1770</v>
      </c>
      <c r="P14" s="34">
        <v>69</v>
      </c>
      <c r="Q14" s="35">
        <f>O14+P14</f>
        <v>1839</v>
      </c>
      <c r="R14" s="29">
        <v>43</v>
      </c>
      <c r="S14" s="36">
        <v>44</v>
      </c>
      <c r="T14" s="33">
        <f>R14+S14</f>
        <v>87</v>
      </c>
      <c r="U14" s="34">
        <v>0</v>
      </c>
      <c r="V14" s="31">
        <f>T14+U14</f>
        <v>87</v>
      </c>
      <c r="W14" s="32">
        <f t="shared" si="1"/>
        <v>-95.26916802610114</v>
      </c>
    </row>
    <row r="15" spans="2:23" ht="13.5" thickBot="1">
      <c r="B15" s="4" t="s">
        <v>20</v>
      </c>
      <c r="C15" s="29">
        <v>110</v>
      </c>
      <c r="D15" s="30">
        <v>109</v>
      </c>
      <c r="E15" s="73">
        <f>C15+D15</f>
        <v>219</v>
      </c>
      <c r="F15" s="29">
        <v>124</v>
      </c>
      <c r="G15" s="30">
        <v>120</v>
      </c>
      <c r="H15" s="31">
        <f>F15+G15</f>
        <v>244</v>
      </c>
      <c r="I15" s="256">
        <f t="shared" si="0"/>
        <v>11.415525114155244</v>
      </c>
      <c r="J15" s="99"/>
      <c r="L15" s="4" t="s">
        <v>20</v>
      </c>
      <c r="M15" s="29">
        <v>725</v>
      </c>
      <c r="N15" s="36">
        <v>927</v>
      </c>
      <c r="O15" s="33">
        <f>M15+N15</f>
        <v>1652</v>
      </c>
      <c r="P15" s="34">
        <v>223</v>
      </c>
      <c r="Q15" s="35">
        <f>O15+P15</f>
        <v>1875</v>
      </c>
      <c r="R15" s="29">
        <v>733</v>
      </c>
      <c r="S15" s="36">
        <v>1364</v>
      </c>
      <c r="T15" s="33">
        <f>R15+S15</f>
        <v>2097</v>
      </c>
      <c r="U15" s="34">
        <v>11</v>
      </c>
      <c r="V15" s="31">
        <f>T15+U15</f>
        <v>2108</v>
      </c>
      <c r="W15" s="32">
        <f t="shared" si="1"/>
        <v>12.426666666666675</v>
      </c>
    </row>
    <row r="16" spans="2:23" ht="14.25" thickBot="1" thickTop="1">
      <c r="B16" s="44" t="s">
        <v>21</v>
      </c>
      <c r="C16" s="45">
        <f aca="true" t="shared" si="4" ref="C16:H16">C15+C14+C13</f>
        <v>338</v>
      </c>
      <c r="D16" s="46">
        <f t="shared" si="4"/>
        <v>345</v>
      </c>
      <c r="E16" s="47">
        <f t="shared" si="4"/>
        <v>683</v>
      </c>
      <c r="F16" s="45">
        <f t="shared" si="4"/>
        <v>144</v>
      </c>
      <c r="G16" s="46">
        <f t="shared" si="4"/>
        <v>143</v>
      </c>
      <c r="H16" s="45">
        <f t="shared" si="4"/>
        <v>287</v>
      </c>
      <c r="I16" s="258">
        <f t="shared" si="0"/>
        <v>-57.979502196193266</v>
      </c>
      <c r="L16" s="44" t="s">
        <v>21</v>
      </c>
      <c r="M16" s="45">
        <f aca="true" t="shared" si="5" ref="M16:V16">M15+M14+M13</f>
        <v>1861</v>
      </c>
      <c r="N16" s="49">
        <f t="shared" si="5"/>
        <v>2161</v>
      </c>
      <c r="O16" s="49">
        <f t="shared" si="5"/>
        <v>4022</v>
      </c>
      <c r="P16" s="47">
        <f t="shared" si="5"/>
        <v>321</v>
      </c>
      <c r="Q16" s="49">
        <f t="shared" si="5"/>
        <v>4343</v>
      </c>
      <c r="R16" s="45">
        <f t="shared" si="5"/>
        <v>806</v>
      </c>
      <c r="S16" s="49">
        <f t="shared" si="5"/>
        <v>1432</v>
      </c>
      <c r="T16" s="49">
        <f t="shared" si="5"/>
        <v>2238</v>
      </c>
      <c r="U16" s="47">
        <f t="shared" si="5"/>
        <v>11</v>
      </c>
      <c r="V16" s="49">
        <f t="shared" si="5"/>
        <v>2249</v>
      </c>
      <c r="W16" s="191">
        <f t="shared" si="1"/>
        <v>-48.21551922634124</v>
      </c>
    </row>
    <row r="17" spans="2:23" ht="13.5" thickTop="1">
      <c r="B17" s="4" t="s">
        <v>22</v>
      </c>
      <c r="C17" s="79">
        <v>96</v>
      </c>
      <c r="D17" s="80">
        <v>92</v>
      </c>
      <c r="E17" s="73">
        <f>C17+D17</f>
        <v>188</v>
      </c>
      <c r="F17" s="79">
        <v>118</v>
      </c>
      <c r="G17" s="80">
        <v>124</v>
      </c>
      <c r="H17" s="31">
        <f>F17+G17</f>
        <v>242</v>
      </c>
      <c r="I17" s="256">
        <f t="shared" si="0"/>
        <v>28.72340425531914</v>
      </c>
      <c r="L17" s="4" t="s">
        <v>22</v>
      </c>
      <c r="M17" s="29">
        <v>518</v>
      </c>
      <c r="N17" s="36">
        <v>422</v>
      </c>
      <c r="O17" s="33">
        <f>M17+N17</f>
        <v>940</v>
      </c>
      <c r="P17" s="34">
        <v>21</v>
      </c>
      <c r="Q17" s="35">
        <f>O17+P17</f>
        <v>961</v>
      </c>
      <c r="R17" s="29">
        <v>2101</v>
      </c>
      <c r="S17" s="36">
        <v>1964</v>
      </c>
      <c r="T17" s="33">
        <f>R17+S17</f>
        <v>4065</v>
      </c>
      <c r="U17" s="34">
        <v>26</v>
      </c>
      <c r="V17" s="31">
        <f>T17+U17</f>
        <v>4091</v>
      </c>
      <c r="W17" s="183">
        <f t="shared" si="1"/>
        <v>325.70239334027053</v>
      </c>
    </row>
    <row r="18" spans="2:23" ht="12.75">
      <c r="B18" s="4" t="s">
        <v>23</v>
      </c>
      <c r="C18" s="79">
        <v>97</v>
      </c>
      <c r="D18" s="80">
        <v>93</v>
      </c>
      <c r="E18" s="73">
        <f>C18+D18</f>
        <v>190</v>
      </c>
      <c r="F18" s="79">
        <v>135</v>
      </c>
      <c r="G18" s="80">
        <v>125</v>
      </c>
      <c r="H18" s="31">
        <f>F18+G18</f>
        <v>260</v>
      </c>
      <c r="I18" s="256">
        <f t="shared" si="0"/>
        <v>36.8421052631579</v>
      </c>
      <c r="L18" s="4" t="s">
        <v>23</v>
      </c>
      <c r="M18" s="29">
        <v>995</v>
      </c>
      <c r="N18" s="36">
        <v>628</v>
      </c>
      <c r="O18" s="33">
        <f>M18+N18</f>
        <v>1623</v>
      </c>
      <c r="P18" s="34">
        <v>84</v>
      </c>
      <c r="Q18" s="35">
        <f>O18+P18</f>
        <v>1707</v>
      </c>
      <c r="R18" s="29">
        <v>2850</v>
      </c>
      <c r="S18" s="36">
        <v>2014</v>
      </c>
      <c r="T18" s="33">
        <f>R18+S18</f>
        <v>4864</v>
      </c>
      <c r="U18" s="34">
        <v>8</v>
      </c>
      <c r="V18" s="31">
        <f>T18+U18</f>
        <v>4872</v>
      </c>
      <c r="W18" s="32">
        <f t="shared" si="1"/>
        <v>185.4130052724077</v>
      </c>
    </row>
    <row r="19" spans="2:23" ht="13.5" thickBot="1">
      <c r="B19" s="4" t="s">
        <v>24</v>
      </c>
      <c r="C19" s="79">
        <v>88</v>
      </c>
      <c r="D19" s="80">
        <v>92</v>
      </c>
      <c r="E19" s="73">
        <f>C19+D19</f>
        <v>180</v>
      </c>
      <c r="F19" s="79">
        <v>160</v>
      </c>
      <c r="G19" s="80">
        <v>159</v>
      </c>
      <c r="H19" s="31">
        <f>F19+G19</f>
        <v>319</v>
      </c>
      <c r="I19" s="256">
        <f t="shared" si="0"/>
        <v>77.22222222222221</v>
      </c>
      <c r="J19" s="50"/>
      <c r="L19" s="4" t="s">
        <v>24</v>
      </c>
      <c r="M19" s="29">
        <v>682</v>
      </c>
      <c r="N19" s="36">
        <v>760</v>
      </c>
      <c r="O19" s="51">
        <f>M19+N19</f>
        <v>1442</v>
      </c>
      <c r="P19" s="52">
        <v>180</v>
      </c>
      <c r="Q19" s="35">
        <f>O19+P19</f>
        <v>1622</v>
      </c>
      <c r="R19" s="29">
        <v>5039</v>
      </c>
      <c r="S19" s="36">
        <v>4739</v>
      </c>
      <c r="T19" s="51">
        <f>R19+S19</f>
        <v>9778</v>
      </c>
      <c r="U19" s="52">
        <v>243</v>
      </c>
      <c r="V19" s="31">
        <f>T19+U19</f>
        <v>10021</v>
      </c>
      <c r="W19" s="32">
        <f t="shared" si="1"/>
        <v>517.8175092478422</v>
      </c>
    </row>
    <row r="20" spans="2:23" ht="15.75" customHeight="1" thickBot="1" thickTop="1">
      <c r="B20" s="44" t="s">
        <v>25</v>
      </c>
      <c r="C20" s="40">
        <f aca="true" t="shared" si="6" ref="C20:H20">+C17+C18+C19</f>
        <v>281</v>
      </c>
      <c r="D20" s="53">
        <f t="shared" si="6"/>
        <v>277</v>
      </c>
      <c r="E20" s="49">
        <f t="shared" si="6"/>
        <v>558</v>
      </c>
      <c r="F20" s="40">
        <f t="shared" si="6"/>
        <v>413</v>
      </c>
      <c r="G20" s="53">
        <f t="shared" si="6"/>
        <v>408</v>
      </c>
      <c r="H20" s="53">
        <f t="shared" si="6"/>
        <v>821</v>
      </c>
      <c r="I20" s="257">
        <f t="shared" si="0"/>
        <v>47.132616487455195</v>
      </c>
      <c r="J20" s="55"/>
      <c r="K20" s="56"/>
      <c r="L20" s="44" t="s">
        <v>25</v>
      </c>
      <c r="M20" s="45">
        <f aca="true" t="shared" si="7" ref="M20:V20">+M17+M18+M19</f>
        <v>2195</v>
      </c>
      <c r="N20" s="45">
        <f t="shared" si="7"/>
        <v>1810</v>
      </c>
      <c r="O20" s="47">
        <f t="shared" si="7"/>
        <v>4005</v>
      </c>
      <c r="P20" s="47">
        <f t="shared" si="7"/>
        <v>285</v>
      </c>
      <c r="Q20" s="47">
        <f t="shared" si="7"/>
        <v>4290</v>
      </c>
      <c r="R20" s="45">
        <f t="shared" si="7"/>
        <v>9990</v>
      </c>
      <c r="S20" s="45">
        <f t="shared" si="7"/>
        <v>8717</v>
      </c>
      <c r="T20" s="47">
        <f t="shared" si="7"/>
        <v>18707</v>
      </c>
      <c r="U20" s="47">
        <f t="shared" si="7"/>
        <v>277</v>
      </c>
      <c r="V20" s="47">
        <f t="shared" si="7"/>
        <v>18984</v>
      </c>
      <c r="W20" s="191">
        <f t="shared" si="1"/>
        <v>342.51748251748256</v>
      </c>
    </row>
    <row r="21" spans="2:23" ht="13.5" thickTop="1">
      <c r="B21" s="4" t="s">
        <v>26</v>
      </c>
      <c r="C21" s="29">
        <v>110</v>
      </c>
      <c r="D21" s="30">
        <v>105</v>
      </c>
      <c r="E21" s="57">
        <f>C21+D21</f>
        <v>215</v>
      </c>
      <c r="F21" s="29">
        <v>215</v>
      </c>
      <c r="G21" s="30">
        <v>222</v>
      </c>
      <c r="H21" s="58">
        <f>F21+G21</f>
        <v>437</v>
      </c>
      <c r="I21" s="256">
        <f t="shared" si="0"/>
        <v>103.25581395348836</v>
      </c>
      <c r="L21" s="4" t="s">
        <v>27</v>
      </c>
      <c r="M21" s="29">
        <v>1887</v>
      </c>
      <c r="N21" s="36">
        <v>2070</v>
      </c>
      <c r="O21" s="51">
        <f>M21+N21</f>
        <v>3957</v>
      </c>
      <c r="P21" s="59">
        <v>478</v>
      </c>
      <c r="Q21" s="35">
        <f>O21+P21</f>
        <v>4435</v>
      </c>
      <c r="R21" s="29">
        <v>16075</v>
      </c>
      <c r="S21" s="36">
        <v>15238</v>
      </c>
      <c r="T21" s="51">
        <f>R21+S21</f>
        <v>31313</v>
      </c>
      <c r="U21" s="59">
        <v>1073</v>
      </c>
      <c r="V21" s="31">
        <f>T21+U21</f>
        <v>32386</v>
      </c>
      <c r="W21" s="32">
        <f t="shared" si="1"/>
        <v>630.2367531003382</v>
      </c>
    </row>
    <row r="22" spans="2:23" ht="12.75">
      <c r="B22" s="4" t="s">
        <v>28</v>
      </c>
      <c r="C22" s="29">
        <v>122</v>
      </c>
      <c r="D22" s="30">
        <v>124</v>
      </c>
      <c r="E22" s="33">
        <f>C22+D22</f>
        <v>246</v>
      </c>
      <c r="F22" s="29">
        <v>207</v>
      </c>
      <c r="G22" s="30">
        <v>206</v>
      </c>
      <c r="H22" s="33">
        <f>F22+G22</f>
        <v>413</v>
      </c>
      <c r="I22" s="256">
        <f>IF(E22=0,0,((H22/E22)-1)*100)</f>
        <v>67.88617886178862</v>
      </c>
      <c r="L22" s="4" t="s">
        <v>28</v>
      </c>
      <c r="M22" s="29">
        <v>4536</v>
      </c>
      <c r="N22" s="36">
        <v>4366</v>
      </c>
      <c r="O22" s="51">
        <f>M22+N22</f>
        <v>8902</v>
      </c>
      <c r="P22" s="34">
        <v>35</v>
      </c>
      <c r="Q22" s="35">
        <f>O22+P22</f>
        <v>8937</v>
      </c>
      <c r="R22" s="29">
        <v>13985</v>
      </c>
      <c r="S22" s="36">
        <v>13658</v>
      </c>
      <c r="T22" s="51">
        <f>R22+S22</f>
        <v>27643</v>
      </c>
      <c r="U22" s="34">
        <v>42</v>
      </c>
      <c r="V22" s="31">
        <f>T22+U22</f>
        <v>27685</v>
      </c>
      <c r="W22" s="32">
        <f>IF(Q22=0,0,((V22/Q22)-1)*100)</f>
        <v>209.7795680877252</v>
      </c>
    </row>
    <row r="23" spans="2:23" ht="13.5" thickBot="1">
      <c r="B23" s="4" t="s">
        <v>29</v>
      </c>
      <c r="C23" s="29">
        <v>124</v>
      </c>
      <c r="D23" s="60">
        <v>117</v>
      </c>
      <c r="E23" s="61">
        <f>C23+D23</f>
        <v>241</v>
      </c>
      <c r="F23" s="29">
        <v>176</v>
      </c>
      <c r="G23" s="60">
        <v>171</v>
      </c>
      <c r="H23" s="61">
        <f>F23+G23</f>
        <v>347</v>
      </c>
      <c r="I23" s="263">
        <f t="shared" si="0"/>
        <v>43.983402489626556</v>
      </c>
      <c r="L23" s="4" t="s">
        <v>29</v>
      </c>
      <c r="M23" s="29">
        <v>1895</v>
      </c>
      <c r="N23" s="36">
        <v>1911</v>
      </c>
      <c r="O23" s="51">
        <f>M23+N23</f>
        <v>3806</v>
      </c>
      <c r="P23" s="52">
        <v>252</v>
      </c>
      <c r="Q23" s="35">
        <f>O23+P23</f>
        <v>4058</v>
      </c>
      <c r="R23" s="29">
        <v>8042</v>
      </c>
      <c r="S23" s="36">
        <v>8101</v>
      </c>
      <c r="T23" s="51">
        <f>R23+S23</f>
        <v>16143</v>
      </c>
      <c r="U23" s="52">
        <v>15</v>
      </c>
      <c r="V23" s="31">
        <f>T23+U23</f>
        <v>16158</v>
      </c>
      <c r="W23" s="32">
        <f t="shared" si="1"/>
        <v>298.17644159684573</v>
      </c>
    </row>
    <row r="24" spans="2:23" ht="14.25" thickBot="1" thickTop="1">
      <c r="B24" s="39" t="s">
        <v>30</v>
      </c>
      <c r="C24" s="40">
        <f aca="true" t="shared" si="8" ref="C24:H24">+C21+C22+C23</f>
        <v>356</v>
      </c>
      <c r="D24" s="41">
        <f t="shared" si="8"/>
        <v>346</v>
      </c>
      <c r="E24" s="40">
        <f t="shared" si="8"/>
        <v>702</v>
      </c>
      <c r="F24" s="40">
        <f t="shared" si="8"/>
        <v>598</v>
      </c>
      <c r="G24" s="41">
        <f t="shared" si="8"/>
        <v>599</v>
      </c>
      <c r="H24" s="40">
        <f t="shared" si="8"/>
        <v>1197</v>
      </c>
      <c r="I24" s="257">
        <f t="shared" si="0"/>
        <v>70.51282051282051</v>
      </c>
      <c r="L24" s="39" t="s">
        <v>30</v>
      </c>
      <c r="M24" s="40">
        <f aca="true" t="shared" si="9" ref="M24:V24">+M21+M22+M23</f>
        <v>8318</v>
      </c>
      <c r="N24" s="41">
        <f t="shared" si="9"/>
        <v>8347</v>
      </c>
      <c r="O24" s="40">
        <f t="shared" si="9"/>
        <v>16665</v>
      </c>
      <c r="P24" s="40">
        <f t="shared" si="9"/>
        <v>765</v>
      </c>
      <c r="Q24" s="40">
        <f t="shared" si="9"/>
        <v>17430</v>
      </c>
      <c r="R24" s="40">
        <f t="shared" si="9"/>
        <v>38102</v>
      </c>
      <c r="S24" s="41">
        <f t="shared" si="9"/>
        <v>36997</v>
      </c>
      <c r="T24" s="40">
        <f t="shared" si="9"/>
        <v>75099</v>
      </c>
      <c r="U24" s="40">
        <f t="shared" si="9"/>
        <v>1130</v>
      </c>
      <c r="V24" s="40">
        <f t="shared" si="9"/>
        <v>76229</v>
      </c>
      <c r="W24" s="54">
        <f t="shared" si="1"/>
        <v>337.3436603557085</v>
      </c>
    </row>
    <row r="25" spans="2:23" ht="14.25" thickBot="1" thickTop="1">
      <c r="B25" s="39" t="s">
        <v>66</v>
      </c>
      <c r="C25" s="76">
        <f aca="true" t="shared" si="10" ref="C25:H25">+C16+C20+C24</f>
        <v>975</v>
      </c>
      <c r="D25" s="77">
        <f t="shared" si="10"/>
        <v>968</v>
      </c>
      <c r="E25" s="78">
        <f t="shared" si="10"/>
        <v>1943</v>
      </c>
      <c r="F25" s="76">
        <f t="shared" si="10"/>
        <v>1155</v>
      </c>
      <c r="G25" s="77">
        <f t="shared" si="10"/>
        <v>1150</v>
      </c>
      <c r="H25" s="78">
        <f t="shared" si="10"/>
        <v>2305</v>
      </c>
      <c r="I25" s="257">
        <f t="shared" si="0"/>
        <v>18.630983015954715</v>
      </c>
      <c r="L25" s="39" t="s">
        <v>66</v>
      </c>
      <c r="M25" s="40">
        <f aca="true" t="shared" si="11" ref="M25:V25">+M16+M20+M24</f>
        <v>12374</v>
      </c>
      <c r="N25" s="41">
        <f t="shared" si="11"/>
        <v>12318</v>
      </c>
      <c r="O25" s="40">
        <f t="shared" si="11"/>
        <v>24692</v>
      </c>
      <c r="P25" s="40">
        <f t="shared" si="11"/>
        <v>1371</v>
      </c>
      <c r="Q25" s="40">
        <f t="shared" si="11"/>
        <v>26063</v>
      </c>
      <c r="R25" s="40">
        <f t="shared" si="11"/>
        <v>48898</v>
      </c>
      <c r="S25" s="41">
        <f t="shared" si="11"/>
        <v>47146</v>
      </c>
      <c r="T25" s="40">
        <f t="shared" si="11"/>
        <v>96044</v>
      </c>
      <c r="U25" s="40">
        <f t="shared" si="11"/>
        <v>1418</v>
      </c>
      <c r="V25" s="42">
        <f t="shared" si="11"/>
        <v>97462</v>
      </c>
      <c r="W25" s="54">
        <f t="shared" si="1"/>
        <v>273.94774200974564</v>
      </c>
    </row>
    <row r="26" spans="2:23" ht="14.25" thickBot="1" thickTop="1">
      <c r="B26" s="39" t="s">
        <v>9</v>
      </c>
      <c r="C26" s="40">
        <f aca="true" t="shared" si="12" ref="C26:H26">C16+C20+C24+C12</f>
        <v>1255</v>
      </c>
      <c r="D26" s="41">
        <f t="shared" si="12"/>
        <v>1252</v>
      </c>
      <c r="E26" s="40">
        <f t="shared" si="12"/>
        <v>2507</v>
      </c>
      <c r="F26" s="40">
        <f t="shared" si="12"/>
        <v>1250</v>
      </c>
      <c r="G26" s="41">
        <f t="shared" si="12"/>
        <v>1257</v>
      </c>
      <c r="H26" s="40">
        <f t="shared" si="12"/>
        <v>2507</v>
      </c>
      <c r="I26" s="257">
        <f t="shared" si="0"/>
        <v>0</v>
      </c>
      <c r="L26" s="39" t="s">
        <v>9</v>
      </c>
      <c r="M26" s="40">
        <f aca="true" t="shared" si="13" ref="M26:V26">M16+M20+M24+M12</f>
        <v>13491</v>
      </c>
      <c r="N26" s="41">
        <f t="shared" si="13"/>
        <v>13833</v>
      </c>
      <c r="O26" s="40">
        <f t="shared" si="13"/>
        <v>27324</v>
      </c>
      <c r="P26" s="40">
        <f t="shared" si="13"/>
        <v>1474</v>
      </c>
      <c r="Q26" s="40">
        <f t="shared" si="13"/>
        <v>28798</v>
      </c>
      <c r="R26" s="40">
        <f t="shared" si="13"/>
        <v>51138</v>
      </c>
      <c r="S26" s="41">
        <f t="shared" si="13"/>
        <v>49584</v>
      </c>
      <c r="T26" s="40">
        <f t="shared" si="13"/>
        <v>100722</v>
      </c>
      <c r="U26" s="40">
        <f t="shared" si="13"/>
        <v>1593</v>
      </c>
      <c r="V26" s="40">
        <f t="shared" si="13"/>
        <v>102315</v>
      </c>
      <c r="W26" s="54">
        <f t="shared" si="1"/>
        <v>255.28508924230852</v>
      </c>
    </row>
    <row r="27" spans="2:12" ht="13.5" thickTop="1">
      <c r="B27" s="63" t="s">
        <v>64</v>
      </c>
      <c r="L27" s="63" t="s">
        <v>64</v>
      </c>
    </row>
    <row r="28" spans="2:23" ht="12.75">
      <c r="B28" s="336" t="s">
        <v>31</v>
      </c>
      <c r="C28" s="336"/>
      <c r="D28" s="336"/>
      <c r="E28" s="336"/>
      <c r="F28" s="336"/>
      <c r="G28" s="336"/>
      <c r="H28" s="336"/>
      <c r="I28" s="336"/>
      <c r="L28" s="336" t="s">
        <v>32</v>
      </c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</row>
    <row r="29" spans="2:23" ht="15.75">
      <c r="B29" s="337" t="s">
        <v>33</v>
      </c>
      <c r="C29" s="337"/>
      <c r="D29" s="337"/>
      <c r="E29" s="337"/>
      <c r="F29" s="337"/>
      <c r="G29" s="337"/>
      <c r="H29" s="337"/>
      <c r="I29" s="337"/>
      <c r="L29" s="337" t="s">
        <v>34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</row>
    <row r="30" ht="13.5" thickBot="1"/>
    <row r="31" spans="2:23" ht="17.25" thickBot="1" thickTop="1">
      <c r="B31" s="3"/>
      <c r="C31" s="341" t="s">
        <v>67</v>
      </c>
      <c r="D31" s="342"/>
      <c r="E31" s="343"/>
      <c r="F31" s="344" t="s">
        <v>68</v>
      </c>
      <c r="G31" s="345"/>
      <c r="H31" s="346"/>
      <c r="I31" s="239" t="s">
        <v>4</v>
      </c>
      <c r="L31" s="3"/>
      <c r="M31" s="347" t="s">
        <v>67</v>
      </c>
      <c r="N31" s="348"/>
      <c r="O31" s="348"/>
      <c r="P31" s="348"/>
      <c r="Q31" s="349"/>
      <c r="R31" s="338" t="s">
        <v>68</v>
      </c>
      <c r="S31" s="339"/>
      <c r="T31" s="339"/>
      <c r="U31" s="339"/>
      <c r="V31" s="340"/>
      <c r="W31" s="239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0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0" t="s">
        <v>6</v>
      </c>
    </row>
    <row r="33" spans="2:23" ht="13.5" thickBot="1">
      <c r="B33" s="12"/>
      <c r="C33" s="13" t="s">
        <v>7</v>
      </c>
      <c r="D33" s="230" t="s">
        <v>8</v>
      </c>
      <c r="E33" s="14" t="s">
        <v>9</v>
      </c>
      <c r="F33" s="13" t="s">
        <v>7</v>
      </c>
      <c r="G33" s="230" t="s">
        <v>8</v>
      </c>
      <c r="H33" s="14" t="s">
        <v>9</v>
      </c>
      <c r="I33" s="241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1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4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07"/>
    </row>
    <row r="35" spans="2:23" ht="12.75">
      <c r="B35" s="4" t="s">
        <v>14</v>
      </c>
      <c r="C35" s="71">
        <v>1533</v>
      </c>
      <c r="D35" s="72">
        <v>1525</v>
      </c>
      <c r="E35" s="81">
        <f>C35+D35</f>
        <v>3058</v>
      </c>
      <c r="F35" s="71">
        <v>1744</v>
      </c>
      <c r="G35" s="72">
        <v>1811</v>
      </c>
      <c r="H35" s="73">
        <f>F35+G35</f>
        <v>3555</v>
      </c>
      <c r="I35" s="32">
        <f aca="true" t="shared" si="14" ref="I35:I52">IF(E35=0,0,((H35/E35)-1)*100)</f>
        <v>16.252452583387832</v>
      </c>
      <c r="L35" s="4" t="s">
        <v>14</v>
      </c>
      <c r="M35" s="29">
        <v>139699</v>
      </c>
      <c r="N35" s="36">
        <v>140955</v>
      </c>
      <c r="O35" s="33">
        <f>SUM(M35:N35)</f>
        <v>280654</v>
      </c>
      <c r="P35" s="34">
        <v>0</v>
      </c>
      <c r="Q35" s="35">
        <f>O35+P35</f>
        <v>280654</v>
      </c>
      <c r="R35" s="29">
        <v>134845</v>
      </c>
      <c r="S35" s="36">
        <v>148662</v>
      </c>
      <c r="T35" s="33">
        <f>SUM(R35:S35)</f>
        <v>283507</v>
      </c>
      <c r="U35" s="34">
        <v>0</v>
      </c>
      <c r="V35" s="31">
        <f>T35+U35</f>
        <v>283507</v>
      </c>
      <c r="W35" s="32">
        <f aca="true" t="shared" si="15" ref="W35:W52">IF(Q35=0,0,((V35/Q35)-1)*100)</f>
        <v>1.0165541912817933</v>
      </c>
    </row>
    <row r="36" spans="2:23" ht="12.75">
      <c r="B36" s="4" t="s">
        <v>15</v>
      </c>
      <c r="C36" s="71">
        <v>1655</v>
      </c>
      <c r="D36" s="72">
        <v>1652</v>
      </c>
      <c r="E36" s="81">
        <f>C36+D36</f>
        <v>3307</v>
      </c>
      <c r="F36" s="199">
        <v>0</v>
      </c>
      <c r="G36" s="329">
        <v>0</v>
      </c>
      <c r="H36" s="73">
        <f>F36+G36</f>
        <v>0</v>
      </c>
      <c r="I36" s="32">
        <f t="shared" si="14"/>
        <v>-100</v>
      </c>
      <c r="L36" s="4" t="s">
        <v>15</v>
      </c>
      <c r="M36" s="29">
        <v>130679</v>
      </c>
      <c r="N36" s="36">
        <v>129092</v>
      </c>
      <c r="O36" s="33">
        <f>SUM(M36:N36)</f>
        <v>259771</v>
      </c>
      <c r="P36" s="34">
        <v>94</v>
      </c>
      <c r="Q36" s="35">
        <f>O36+P36</f>
        <v>259865</v>
      </c>
      <c r="R36" s="29">
        <v>0</v>
      </c>
      <c r="S36" s="36">
        <v>0</v>
      </c>
      <c r="T36" s="33">
        <f>SUM(R36:S36)</f>
        <v>0</v>
      </c>
      <c r="U36" s="34">
        <v>0</v>
      </c>
      <c r="V36" s="31">
        <f>T36+U36</f>
        <v>0</v>
      </c>
      <c r="W36" s="32">
        <f t="shared" si="15"/>
        <v>-100</v>
      </c>
    </row>
    <row r="37" spans="2:23" ht="13.5" thickBot="1">
      <c r="B37" s="12" t="s">
        <v>16</v>
      </c>
      <c r="C37" s="74">
        <v>1717</v>
      </c>
      <c r="D37" s="75">
        <v>1715</v>
      </c>
      <c r="E37" s="82">
        <f>C37+D37</f>
        <v>3432</v>
      </c>
      <c r="F37" s="37">
        <v>20</v>
      </c>
      <c r="G37" s="38">
        <v>16</v>
      </c>
      <c r="H37" s="73">
        <f>F37+G37</f>
        <v>36</v>
      </c>
      <c r="I37" s="32">
        <f t="shared" si="14"/>
        <v>-98.95104895104895</v>
      </c>
      <c r="L37" s="12" t="s">
        <v>16</v>
      </c>
      <c r="M37" s="29">
        <v>141111</v>
      </c>
      <c r="N37" s="36">
        <v>151971</v>
      </c>
      <c r="O37" s="33">
        <f>SUM(M37:N37)</f>
        <v>293082</v>
      </c>
      <c r="P37" s="34">
        <v>0</v>
      </c>
      <c r="Q37" s="35">
        <f>O37+P37</f>
        <v>293082</v>
      </c>
      <c r="R37" s="29">
        <v>2</v>
      </c>
      <c r="S37" s="36">
        <v>13</v>
      </c>
      <c r="T37" s="33">
        <f>SUM(R37:S37)</f>
        <v>15</v>
      </c>
      <c r="U37" s="34">
        <v>0</v>
      </c>
      <c r="V37" s="31">
        <f>T37+U37</f>
        <v>15</v>
      </c>
      <c r="W37" s="32">
        <f t="shared" si="15"/>
        <v>-99.99488197842243</v>
      </c>
    </row>
    <row r="38" spans="2:23" ht="14.25" thickBot="1" thickTop="1">
      <c r="B38" s="39" t="s">
        <v>17</v>
      </c>
      <c r="C38" s="76">
        <f aca="true" t="shared" si="16" ref="C38:H38">+C35+C36+C37</f>
        <v>4905</v>
      </c>
      <c r="D38" s="77">
        <f t="shared" si="16"/>
        <v>4892</v>
      </c>
      <c r="E38" s="83">
        <f t="shared" si="16"/>
        <v>9797</v>
      </c>
      <c r="F38" s="76">
        <f t="shared" si="16"/>
        <v>1764</v>
      </c>
      <c r="G38" s="77">
        <f t="shared" si="16"/>
        <v>1827</v>
      </c>
      <c r="H38" s="83">
        <f t="shared" si="16"/>
        <v>3591</v>
      </c>
      <c r="I38" s="54">
        <f t="shared" si="14"/>
        <v>-63.34592222108808</v>
      </c>
      <c r="L38" s="39" t="s">
        <v>17</v>
      </c>
      <c r="M38" s="40">
        <f>+M35+M36+M37</f>
        <v>411489</v>
      </c>
      <c r="N38" s="41">
        <f>+N35+N36+N37</f>
        <v>422018</v>
      </c>
      <c r="O38" s="40">
        <f>+O35+O36+O37</f>
        <v>833507</v>
      </c>
      <c r="P38" s="40">
        <f>+P35+P36+P37</f>
        <v>94</v>
      </c>
      <c r="Q38" s="40">
        <f>Q37+Q35+Q36</f>
        <v>833601</v>
      </c>
      <c r="R38" s="40">
        <f>+R35+R36+R37</f>
        <v>134847</v>
      </c>
      <c r="S38" s="41">
        <f>+S35+S36+S37</f>
        <v>148675</v>
      </c>
      <c r="T38" s="40">
        <f>+T35+T36+T37</f>
        <v>283522</v>
      </c>
      <c r="U38" s="40">
        <f>+U35+U36+U37</f>
        <v>0</v>
      </c>
      <c r="V38" s="42">
        <f>V37+V35+V36</f>
        <v>283522</v>
      </c>
      <c r="W38" s="54">
        <f t="shared" si="15"/>
        <v>-65.98828456299837</v>
      </c>
    </row>
    <row r="39" spans="2:23" ht="13.5" thickTop="1">
      <c r="B39" s="4" t="s">
        <v>18</v>
      </c>
      <c r="C39" s="71">
        <v>1588</v>
      </c>
      <c r="D39" s="72">
        <v>1588</v>
      </c>
      <c r="E39" s="81">
        <f>C39+D39</f>
        <v>3176</v>
      </c>
      <c r="F39" s="71">
        <v>116</v>
      </c>
      <c r="G39" s="72">
        <v>95</v>
      </c>
      <c r="H39" s="73">
        <f>F39+G39</f>
        <v>211</v>
      </c>
      <c r="I39" s="32">
        <f t="shared" si="14"/>
        <v>-93.35642317380352</v>
      </c>
      <c r="L39" s="4" t="s">
        <v>18</v>
      </c>
      <c r="M39" s="29">
        <v>152737</v>
      </c>
      <c r="N39" s="36">
        <v>140914</v>
      </c>
      <c r="O39" s="33">
        <f>M39+N39</f>
        <v>293651</v>
      </c>
      <c r="P39" s="34">
        <v>0</v>
      </c>
      <c r="Q39" s="35">
        <f>O39+P39</f>
        <v>293651</v>
      </c>
      <c r="R39" s="29">
        <v>28</v>
      </c>
      <c r="S39" s="36">
        <v>12</v>
      </c>
      <c r="T39" s="33">
        <f>R39+S39</f>
        <v>40</v>
      </c>
      <c r="U39" s="34">
        <v>1</v>
      </c>
      <c r="V39" s="31">
        <f>T39+U39</f>
        <v>41</v>
      </c>
      <c r="W39" s="32">
        <f t="shared" si="15"/>
        <v>-99.98603784764907</v>
      </c>
    </row>
    <row r="40" spans="2:23" ht="12.75">
      <c r="B40" s="4" t="s">
        <v>19</v>
      </c>
      <c r="C40" s="29">
        <v>1669</v>
      </c>
      <c r="D40" s="30">
        <v>1671</v>
      </c>
      <c r="E40" s="81">
        <f>C40+D40</f>
        <v>3340</v>
      </c>
      <c r="F40" s="29">
        <v>256</v>
      </c>
      <c r="G40" s="30">
        <v>247</v>
      </c>
      <c r="H40" s="31">
        <f>F40+G40</f>
        <v>503</v>
      </c>
      <c r="I40" s="32">
        <f>IF(E40=0,0,((H40/E40)-1)*100)</f>
        <v>-84.94011976047904</v>
      </c>
      <c r="L40" s="4" t="s">
        <v>19</v>
      </c>
      <c r="M40" s="29">
        <v>162744</v>
      </c>
      <c r="N40" s="36">
        <v>154681</v>
      </c>
      <c r="O40" s="33">
        <f>M40+N40</f>
        <v>317425</v>
      </c>
      <c r="P40" s="34">
        <v>0</v>
      </c>
      <c r="Q40" s="35">
        <f>O40+P40</f>
        <v>317425</v>
      </c>
      <c r="R40" s="29">
        <v>121</v>
      </c>
      <c r="S40" s="36">
        <v>101</v>
      </c>
      <c r="T40" s="33">
        <f>R40+S40</f>
        <v>222</v>
      </c>
      <c r="U40" s="34">
        <v>2</v>
      </c>
      <c r="V40" s="31">
        <f>T40+U40</f>
        <v>224</v>
      </c>
      <c r="W40" s="32">
        <f>IF(Q40=0,0,((V40/Q40)-1)*100)</f>
        <v>-99.92943214932662</v>
      </c>
    </row>
    <row r="41" spans="2:23" ht="13.5" thickBot="1">
      <c r="B41" s="65" t="s">
        <v>20</v>
      </c>
      <c r="C41" s="68">
        <v>1978</v>
      </c>
      <c r="D41" s="30">
        <v>1979</v>
      </c>
      <c r="E41" s="84">
        <f>C41+D41</f>
        <v>3957</v>
      </c>
      <c r="F41" s="68">
        <v>1771</v>
      </c>
      <c r="G41" s="30">
        <v>1737</v>
      </c>
      <c r="H41" s="31">
        <f>F41+G41</f>
        <v>3508</v>
      </c>
      <c r="I41" s="32">
        <f t="shared" si="14"/>
        <v>-11.346980035380339</v>
      </c>
      <c r="L41" s="85" t="s">
        <v>20</v>
      </c>
      <c r="M41" s="86">
        <v>186543</v>
      </c>
      <c r="N41" s="36">
        <v>182493</v>
      </c>
      <c r="O41" s="33">
        <f>M41+N41</f>
        <v>369036</v>
      </c>
      <c r="P41" s="87">
        <v>152</v>
      </c>
      <c r="Q41" s="88">
        <f>O41+P41</f>
        <v>369188</v>
      </c>
      <c r="R41" s="86">
        <v>136736</v>
      </c>
      <c r="S41" s="36">
        <v>132991</v>
      </c>
      <c r="T41" s="33">
        <f>R41+S41</f>
        <v>269727</v>
      </c>
      <c r="U41" s="87">
        <v>0</v>
      </c>
      <c r="V41" s="31">
        <f>T41+U41</f>
        <v>269727</v>
      </c>
      <c r="W41" s="32">
        <f t="shared" si="15"/>
        <v>-26.940474771661048</v>
      </c>
    </row>
    <row r="42" spans="2:23" ht="14.25" thickBot="1" thickTop="1">
      <c r="B42" s="44" t="s">
        <v>21</v>
      </c>
      <c r="C42" s="76">
        <f aca="true" t="shared" si="17" ref="C42:H42">C41+C40+C39</f>
        <v>5235</v>
      </c>
      <c r="D42" s="77">
        <f t="shared" si="17"/>
        <v>5238</v>
      </c>
      <c r="E42" s="78">
        <f t="shared" si="17"/>
        <v>10473</v>
      </c>
      <c r="F42" s="76">
        <f t="shared" si="17"/>
        <v>2143</v>
      </c>
      <c r="G42" s="77">
        <f t="shared" si="17"/>
        <v>2079</v>
      </c>
      <c r="H42" s="78">
        <f t="shared" si="17"/>
        <v>4222</v>
      </c>
      <c r="I42" s="257">
        <f>IF(E42=0,0,((H42/E42)-1)*100)</f>
        <v>-59.68681371144848</v>
      </c>
      <c r="L42" s="44" t="s">
        <v>21</v>
      </c>
      <c r="M42" s="40">
        <f aca="true" t="shared" si="18" ref="M42:V42">M41+M40+M39</f>
        <v>502024</v>
      </c>
      <c r="N42" s="41">
        <f t="shared" si="18"/>
        <v>478088</v>
      </c>
      <c r="O42" s="40">
        <f t="shared" si="18"/>
        <v>980112</v>
      </c>
      <c r="P42" s="40">
        <f t="shared" si="18"/>
        <v>152</v>
      </c>
      <c r="Q42" s="40">
        <f t="shared" si="18"/>
        <v>980264</v>
      </c>
      <c r="R42" s="40">
        <f t="shared" si="18"/>
        <v>136885</v>
      </c>
      <c r="S42" s="41">
        <f t="shared" si="18"/>
        <v>133104</v>
      </c>
      <c r="T42" s="40">
        <f t="shared" si="18"/>
        <v>269989</v>
      </c>
      <c r="U42" s="40">
        <f t="shared" si="18"/>
        <v>3</v>
      </c>
      <c r="V42" s="42">
        <f t="shared" si="18"/>
        <v>269992</v>
      </c>
      <c r="W42" s="54">
        <f>IF(Q42=0,0,((V42/Q42)-1)*100)</f>
        <v>-72.45721560722419</v>
      </c>
    </row>
    <row r="43" spans="2:23" ht="13.5" thickTop="1">
      <c r="B43" s="4" t="s">
        <v>35</v>
      </c>
      <c r="C43" s="29">
        <v>1978</v>
      </c>
      <c r="D43" s="30">
        <v>1976</v>
      </c>
      <c r="E43" s="81">
        <f>C43+D43</f>
        <v>3954</v>
      </c>
      <c r="F43" s="29">
        <v>1901</v>
      </c>
      <c r="G43" s="30">
        <v>1901</v>
      </c>
      <c r="H43" s="31">
        <f>F43+G43</f>
        <v>3802</v>
      </c>
      <c r="I43" s="32">
        <f t="shared" si="14"/>
        <v>-3.8442083965604446</v>
      </c>
      <c r="L43" s="4" t="s">
        <v>22</v>
      </c>
      <c r="M43" s="29">
        <v>184186</v>
      </c>
      <c r="N43" s="36">
        <v>183282</v>
      </c>
      <c r="O43" s="33">
        <f>M43+N43</f>
        <v>367468</v>
      </c>
      <c r="P43" s="34">
        <v>158</v>
      </c>
      <c r="Q43" s="35">
        <f>O43+P43</f>
        <v>367626</v>
      </c>
      <c r="R43" s="29">
        <v>158804</v>
      </c>
      <c r="S43" s="36">
        <v>160491</v>
      </c>
      <c r="T43" s="33">
        <f>R43+S43</f>
        <v>319295</v>
      </c>
      <c r="U43" s="34">
        <v>0</v>
      </c>
      <c r="V43" s="31">
        <f>T43+U43</f>
        <v>319295</v>
      </c>
      <c r="W43" s="32">
        <f t="shared" si="15"/>
        <v>-13.146785047847542</v>
      </c>
    </row>
    <row r="44" spans="2:23" ht="12.75">
      <c r="B44" s="4" t="s">
        <v>23</v>
      </c>
      <c r="C44" s="29">
        <v>1974</v>
      </c>
      <c r="D44" s="30">
        <v>1968</v>
      </c>
      <c r="E44" s="81">
        <f>C44+D44</f>
        <v>3942</v>
      </c>
      <c r="F44" s="29">
        <v>1970</v>
      </c>
      <c r="G44" s="30">
        <v>1969</v>
      </c>
      <c r="H44" s="31">
        <f>F44+G44</f>
        <v>3939</v>
      </c>
      <c r="I44" s="32">
        <f t="shared" si="14"/>
        <v>-0.07610350076103778</v>
      </c>
      <c r="L44" s="4" t="s">
        <v>23</v>
      </c>
      <c r="M44" s="29">
        <v>181711</v>
      </c>
      <c r="N44" s="36">
        <v>177086</v>
      </c>
      <c r="O44" s="33">
        <f>M44+N44</f>
        <v>358797</v>
      </c>
      <c r="P44" s="34">
        <v>22</v>
      </c>
      <c r="Q44" s="35">
        <f>O44+P44</f>
        <v>358819</v>
      </c>
      <c r="R44" s="29">
        <v>142641</v>
      </c>
      <c r="S44" s="36">
        <v>141524</v>
      </c>
      <c r="T44" s="33">
        <f>R44+S44</f>
        <v>284165</v>
      </c>
      <c r="U44" s="34">
        <v>0</v>
      </c>
      <c r="V44" s="31">
        <f>T44+U44</f>
        <v>284165</v>
      </c>
      <c r="W44" s="32">
        <f t="shared" si="15"/>
        <v>-20.805475741251158</v>
      </c>
    </row>
    <row r="45" spans="2:23" ht="13.5" thickBot="1">
      <c r="B45" s="4" t="s">
        <v>24</v>
      </c>
      <c r="C45" s="29">
        <v>2006</v>
      </c>
      <c r="D45" s="38">
        <v>2009</v>
      </c>
      <c r="E45" s="81">
        <f>C45+D45</f>
        <v>4015</v>
      </c>
      <c r="F45" s="29">
        <v>2131</v>
      </c>
      <c r="G45" s="38">
        <v>2120</v>
      </c>
      <c r="H45" s="31">
        <f>F45+G45</f>
        <v>4251</v>
      </c>
      <c r="I45" s="62">
        <f t="shared" si="14"/>
        <v>5.877957658779587</v>
      </c>
      <c r="L45" s="4" t="s">
        <v>24</v>
      </c>
      <c r="M45" s="29">
        <v>164756</v>
      </c>
      <c r="N45" s="36">
        <v>164271</v>
      </c>
      <c r="O45" s="51">
        <f>M45+N45</f>
        <v>329027</v>
      </c>
      <c r="P45" s="52">
        <v>96</v>
      </c>
      <c r="Q45" s="35">
        <f>O45+P45</f>
        <v>329123</v>
      </c>
      <c r="R45" s="29">
        <v>145167</v>
      </c>
      <c r="S45" s="36">
        <v>142735</v>
      </c>
      <c r="T45" s="51">
        <f>R45+S45</f>
        <v>287902</v>
      </c>
      <c r="U45" s="52">
        <v>96</v>
      </c>
      <c r="V45" s="31">
        <f>T45+U45</f>
        <v>287998</v>
      </c>
      <c r="W45" s="32">
        <f t="shared" si="15"/>
        <v>-12.495328494210368</v>
      </c>
    </row>
    <row r="46" spans="2:23" ht="17.25" thickBot="1" thickTop="1">
      <c r="B46" s="44" t="s">
        <v>25</v>
      </c>
      <c r="C46" s="40">
        <f aca="true" t="shared" si="19" ref="C46:H46">+C43+C44+C45</f>
        <v>5958</v>
      </c>
      <c r="D46" s="53">
        <f t="shared" si="19"/>
        <v>5953</v>
      </c>
      <c r="E46" s="49">
        <f t="shared" si="19"/>
        <v>11911</v>
      </c>
      <c r="F46" s="40">
        <f t="shared" si="19"/>
        <v>6002</v>
      </c>
      <c r="G46" s="53">
        <f t="shared" si="19"/>
        <v>5990</v>
      </c>
      <c r="H46" s="53">
        <f t="shared" si="19"/>
        <v>11992</v>
      </c>
      <c r="I46" s="54">
        <f t="shared" si="14"/>
        <v>0.6800436571236634</v>
      </c>
      <c r="J46" s="55"/>
      <c r="K46" s="56"/>
      <c r="L46" s="44" t="s">
        <v>25</v>
      </c>
      <c r="M46" s="45">
        <f aca="true" t="shared" si="20" ref="M46:V46">+M43+M44+M45</f>
        <v>530653</v>
      </c>
      <c r="N46" s="45">
        <f t="shared" si="20"/>
        <v>524639</v>
      </c>
      <c r="O46" s="47">
        <f t="shared" si="20"/>
        <v>1055292</v>
      </c>
      <c r="P46" s="47">
        <f t="shared" si="20"/>
        <v>276</v>
      </c>
      <c r="Q46" s="47">
        <f t="shared" si="20"/>
        <v>1055568</v>
      </c>
      <c r="R46" s="45">
        <f t="shared" si="20"/>
        <v>446612</v>
      </c>
      <c r="S46" s="45">
        <f t="shared" si="20"/>
        <v>444750</v>
      </c>
      <c r="T46" s="47">
        <f t="shared" si="20"/>
        <v>891362</v>
      </c>
      <c r="U46" s="47">
        <f t="shared" si="20"/>
        <v>96</v>
      </c>
      <c r="V46" s="47">
        <f t="shared" si="20"/>
        <v>891458</v>
      </c>
      <c r="W46" s="191">
        <f t="shared" si="15"/>
        <v>-15.547079866005786</v>
      </c>
    </row>
    <row r="47" spans="2:23" ht="13.5" thickTop="1">
      <c r="B47" s="4" t="s">
        <v>26</v>
      </c>
      <c r="C47" s="71">
        <v>2057</v>
      </c>
      <c r="D47" s="72">
        <v>2053</v>
      </c>
      <c r="E47" s="89">
        <f>C47+D47</f>
        <v>4110</v>
      </c>
      <c r="F47" s="71">
        <v>2549</v>
      </c>
      <c r="G47" s="72">
        <v>2547</v>
      </c>
      <c r="H47" s="31">
        <f>F47+G47</f>
        <v>5096</v>
      </c>
      <c r="I47" s="32">
        <f t="shared" si="14"/>
        <v>23.990267639902683</v>
      </c>
      <c r="L47" s="4" t="s">
        <v>27</v>
      </c>
      <c r="M47" s="29">
        <v>183907</v>
      </c>
      <c r="N47" s="36">
        <v>180353</v>
      </c>
      <c r="O47" s="51">
        <f>M47+N47</f>
        <v>364260</v>
      </c>
      <c r="P47" s="59">
        <v>0</v>
      </c>
      <c r="Q47" s="35">
        <f>O47+P47</f>
        <v>364260</v>
      </c>
      <c r="R47" s="29">
        <v>190178</v>
      </c>
      <c r="S47" s="36">
        <v>191268</v>
      </c>
      <c r="T47" s="51">
        <f>R47+S47</f>
        <v>381446</v>
      </c>
      <c r="U47" s="59">
        <v>263</v>
      </c>
      <c r="V47" s="31">
        <f>T47+U47</f>
        <v>381709</v>
      </c>
      <c r="W47" s="32">
        <f t="shared" si="15"/>
        <v>4.790259704606603</v>
      </c>
    </row>
    <row r="48" spans="2:23" ht="12.75">
      <c r="B48" s="4" t="s">
        <v>28</v>
      </c>
      <c r="C48" s="71">
        <v>2357</v>
      </c>
      <c r="D48" s="72">
        <v>2354</v>
      </c>
      <c r="E48" s="81">
        <f>C48+D48</f>
        <v>4711</v>
      </c>
      <c r="F48" s="71">
        <v>2480</v>
      </c>
      <c r="G48" s="72">
        <v>2478</v>
      </c>
      <c r="H48" s="31">
        <f>F48+G48</f>
        <v>4958</v>
      </c>
      <c r="I48" s="32">
        <f>IF(E48=0,0,((H48/E48)-1)*100)</f>
        <v>5.243048185098709</v>
      </c>
      <c r="L48" s="4" t="s">
        <v>28</v>
      </c>
      <c r="M48" s="29">
        <v>181265</v>
      </c>
      <c r="N48" s="36">
        <v>176596</v>
      </c>
      <c r="O48" s="51">
        <f>M48+N48</f>
        <v>357861</v>
      </c>
      <c r="P48" s="34">
        <v>293</v>
      </c>
      <c r="Q48" s="35">
        <f>O48+P48</f>
        <v>358154</v>
      </c>
      <c r="R48" s="29">
        <v>204034</v>
      </c>
      <c r="S48" s="36">
        <v>200496</v>
      </c>
      <c r="T48" s="51">
        <f>R48+S48</f>
        <v>404530</v>
      </c>
      <c r="U48" s="34">
        <v>0</v>
      </c>
      <c r="V48" s="31">
        <f>T48+U48</f>
        <v>404530</v>
      </c>
      <c r="W48" s="32">
        <f>IF(Q48=0,0,((V48/Q48)-1)*100)</f>
        <v>12.948619867431322</v>
      </c>
    </row>
    <row r="49" spans="2:23" ht="13.5" thickBot="1">
      <c r="B49" s="4" t="s">
        <v>29</v>
      </c>
      <c r="C49" s="71">
        <v>1999</v>
      </c>
      <c r="D49" s="90">
        <v>2000</v>
      </c>
      <c r="E49" s="81">
        <f>C49+D49</f>
        <v>3999</v>
      </c>
      <c r="F49" s="71">
        <v>2391</v>
      </c>
      <c r="G49" s="90">
        <v>2384</v>
      </c>
      <c r="H49" s="31">
        <f>F49+G49</f>
        <v>4775</v>
      </c>
      <c r="I49" s="32">
        <f t="shared" si="14"/>
        <v>19.404851212803198</v>
      </c>
      <c r="L49" s="4" t="s">
        <v>29</v>
      </c>
      <c r="M49" s="29">
        <v>176603</v>
      </c>
      <c r="N49" s="36">
        <v>175628</v>
      </c>
      <c r="O49" s="51">
        <f>M49+N49</f>
        <v>352231</v>
      </c>
      <c r="P49" s="52">
        <v>0</v>
      </c>
      <c r="Q49" s="35">
        <f>O49+P49</f>
        <v>352231</v>
      </c>
      <c r="R49" s="29">
        <v>192687</v>
      </c>
      <c r="S49" s="36">
        <v>191186</v>
      </c>
      <c r="T49" s="51">
        <f>R49+S49</f>
        <v>383873</v>
      </c>
      <c r="U49" s="52">
        <v>14</v>
      </c>
      <c r="V49" s="31">
        <f>T49+U49</f>
        <v>383887</v>
      </c>
      <c r="W49" s="32">
        <f t="shared" si="15"/>
        <v>8.987283913113831</v>
      </c>
    </row>
    <row r="50" spans="2:23" ht="14.25" thickBot="1" thickTop="1">
      <c r="B50" s="39" t="s">
        <v>30</v>
      </c>
      <c r="C50" s="40">
        <f aca="true" t="shared" si="21" ref="C50:H50">+C47+C48+C49</f>
        <v>6413</v>
      </c>
      <c r="D50" s="41">
        <f t="shared" si="21"/>
        <v>6407</v>
      </c>
      <c r="E50" s="40">
        <f t="shared" si="21"/>
        <v>12820</v>
      </c>
      <c r="F50" s="40">
        <f t="shared" si="21"/>
        <v>7420</v>
      </c>
      <c r="G50" s="41">
        <f t="shared" si="21"/>
        <v>7409</v>
      </c>
      <c r="H50" s="40">
        <f t="shared" si="21"/>
        <v>14829</v>
      </c>
      <c r="I50" s="54">
        <f t="shared" si="14"/>
        <v>15.670826833073326</v>
      </c>
      <c r="L50" s="39" t="s">
        <v>30</v>
      </c>
      <c r="M50" s="40">
        <f aca="true" t="shared" si="22" ref="M50:V50">+M47+M48+M49</f>
        <v>541775</v>
      </c>
      <c r="N50" s="41">
        <f t="shared" si="22"/>
        <v>532577</v>
      </c>
      <c r="O50" s="40">
        <f t="shared" si="22"/>
        <v>1074352</v>
      </c>
      <c r="P50" s="40">
        <f t="shared" si="22"/>
        <v>293</v>
      </c>
      <c r="Q50" s="40">
        <f t="shared" si="22"/>
        <v>1074645</v>
      </c>
      <c r="R50" s="40">
        <f t="shared" si="22"/>
        <v>586899</v>
      </c>
      <c r="S50" s="41">
        <f t="shared" si="22"/>
        <v>582950</v>
      </c>
      <c r="T50" s="40">
        <f t="shared" si="22"/>
        <v>1169849</v>
      </c>
      <c r="U50" s="40">
        <f t="shared" si="22"/>
        <v>277</v>
      </c>
      <c r="V50" s="40">
        <f t="shared" si="22"/>
        <v>1170126</v>
      </c>
      <c r="W50" s="54">
        <f t="shared" si="15"/>
        <v>8.884887567522304</v>
      </c>
    </row>
    <row r="51" spans="2:23" ht="14.25" thickBot="1" thickTop="1">
      <c r="B51" s="39" t="s">
        <v>66</v>
      </c>
      <c r="C51" s="76">
        <f aca="true" t="shared" si="23" ref="C51:H51">+C42+C46+C50</f>
        <v>17606</v>
      </c>
      <c r="D51" s="77">
        <f t="shared" si="23"/>
        <v>17598</v>
      </c>
      <c r="E51" s="78">
        <f t="shared" si="23"/>
        <v>35204</v>
      </c>
      <c r="F51" s="76">
        <f t="shared" si="23"/>
        <v>15565</v>
      </c>
      <c r="G51" s="77">
        <f t="shared" si="23"/>
        <v>15478</v>
      </c>
      <c r="H51" s="78">
        <f t="shared" si="23"/>
        <v>31043</v>
      </c>
      <c r="I51" s="257">
        <f t="shared" si="14"/>
        <v>-11.819679581865694</v>
      </c>
      <c r="L51" s="39" t="s">
        <v>66</v>
      </c>
      <c r="M51" s="40">
        <f aca="true" t="shared" si="24" ref="M51:V51">+M42+M46+M50</f>
        <v>1574452</v>
      </c>
      <c r="N51" s="41">
        <f t="shared" si="24"/>
        <v>1535304</v>
      </c>
      <c r="O51" s="40">
        <f t="shared" si="24"/>
        <v>3109756</v>
      </c>
      <c r="P51" s="40">
        <f t="shared" si="24"/>
        <v>721</v>
      </c>
      <c r="Q51" s="40">
        <f t="shared" si="24"/>
        <v>3110477</v>
      </c>
      <c r="R51" s="40">
        <f t="shared" si="24"/>
        <v>1170396</v>
      </c>
      <c r="S51" s="41">
        <f t="shared" si="24"/>
        <v>1160804</v>
      </c>
      <c r="T51" s="40">
        <f t="shared" si="24"/>
        <v>2331200</v>
      </c>
      <c r="U51" s="40">
        <f t="shared" si="24"/>
        <v>376</v>
      </c>
      <c r="V51" s="42">
        <f t="shared" si="24"/>
        <v>2331576</v>
      </c>
      <c r="W51" s="54">
        <f t="shared" si="15"/>
        <v>-25.041207506115626</v>
      </c>
    </row>
    <row r="52" spans="2:23" ht="14.25" thickBot="1" thickTop="1">
      <c r="B52" s="39" t="s">
        <v>9</v>
      </c>
      <c r="C52" s="40">
        <f aca="true" t="shared" si="25" ref="C52:H52">C42+C46+C50+C38</f>
        <v>22511</v>
      </c>
      <c r="D52" s="41">
        <f t="shared" si="25"/>
        <v>22490</v>
      </c>
      <c r="E52" s="40">
        <f t="shared" si="25"/>
        <v>45001</v>
      </c>
      <c r="F52" s="40">
        <f t="shared" si="25"/>
        <v>17329</v>
      </c>
      <c r="G52" s="41">
        <f t="shared" si="25"/>
        <v>17305</v>
      </c>
      <c r="H52" s="40">
        <f t="shared" si="25"/>
        <v>34634</v>
      </c>
      <c r="I52" s="54">
        <f t="shared" si="14"/>
        <v>-23.037265838536925</v>
      </c>
      <c r="L52" s="39" t="s">
        <v>9</v>
      </c>
      <c r="M52" s="40">
        <f aca="true" t="shared" si="26" ref="M52:V52">M42+M46+M50+M38</f>
        <v>1985941</v>
      </c>
      <c r="N52" s="41">
        <f t="shared" si="26"/>
        <v>1957322</v>
      </c>
      <c r="O52" s="40">
        <f t="shared" si="26"/>
        <v>3943263</v>
      </c>
      <c r="P52" s="40">
        <f t="shared" si="26"/>
        <v>815</v>
      </c>
      <c r="Q52" s="40">
        <f t="shared" si="26"/>
        <v>3944078</v>
      </c>
      <c r="R52" s="40">
        <f t="shared" si="26"/>
        <v>1305243</v>
      </c>
      <c r="S52" s="41">
        <f t="shared" si="26"/>
        <v>1309479</v>
      </c>
      <c r="T52" s="40">
        <f t="shared" si="26"/>
        <v>2614722</v>
      </c>
      <c r="U52" s="40">
        <f t="shared" si="26"/>
        <v>376</v>
      </c>
      <c r="V52" s="40">
        <f t="shared" si="26"/>
        <v>2615098</v>
      </c>
      <c r="W52" s="54">
        <f t="shared" si="15"/>
        <v>-33.69558107116543</v>
      </c>
    </row>
    <row r="53" spans="2:12" ht="13.5" thickTop="1">
      <c r="B53" s="63" t="s">
        <v>64</v>
      </c>
      <c r="L53" s="63" t="s">
        <v>64</v>
      </c>
    </row>
    <row r="54" spans="2:23" ht="12.75">
      <c r="B54" s="336" t="s">
        <v>36</v>
      </c>
      <c r="C54" s="336"/>
      <c r="D54" s="336"/>
      <c r="E54" s="336"/>
      <c r="F54" s="336"/>
      <c r="G54" s="336"/>
      <c r="H54" s="336"/>
      <c r="I54" s="336"/>
      <c r="L54" s="336" t="s">
        <v>37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</row>
    <row r="55" spans="2:23" ht="15.75">
      <c r="B55" s="337" t="s">
        <v>38</v>
      </c>
      <c r="C55" s="337"/>
      <c r="D55" s="337"/>
      <c r="E55" s="337"/>
      <c r="F55" s="337"/>
      <c r="G55" s="337"/>
      <c r="H55" s="337"/>
      <c r="I55" s="337"/>
      <c r="L55" s="337" t="s">
        <v>39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ht="13.5" thickBot="1"/>
    <row r="57" spans="2:23" ht="17.25" thickBot="1" thickTop="1">
      <c r="B57" s="3"/>
      <c r="C57" s="341" t="s">
        <v>67</v>
      </c>
      <c r="D57" s="342"/>
      <c r="E57" s="343"/>
      <c r="F57" s="344" t="s">
        <v>68</v>
      </c>
      <c r="G57" s="345"/>
      <c r="H57" s="346"/>
      <c r="I57" s="239" t="s">
        <v>4</v>
      </c>
      <c r="L57" s="3"/>
      <c r="M57" s="347" t="s">
        <v>67</v>
      </c>
      <c r="N57" s="348"/>
      <c r="O57" s="348"/>
      <c r="P57" s="348"/>
      <c r="Q57" s="349"/>
      <c r="R57" s="338" t="s">
        <v>68</v>
      </c>
      <c r="S57" s="339"/>
      <c r="T57" s="339"/>
      <c r="U57" s="339"/>
      <c r="V57" s="340"/>
      <c r="W57" s="239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0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0" t="s">
        <v>6</v>
      </c>
    </row>
    <row r="59" spans="2:23" ht="13.5" thickBot="1">
      <c r="B59" s="12" t="s">
        <v>40</v>
      </c>
      <c r="C59" s="13" t="s">
        <v>7</v>
      </c>
      <c r="D59" s="230" t="s">
        <v>8</v>
      </c>
      <c r="E59" s="14" t="s">
        <v>9</v>
      </c>
      <c r="F59" s="13" t="s">
        <v>7</v>
      </c>
      <c r="G59" s="230" t="s">
        <v>8</v>
      </c>
      <c r="H59" s="14" t="s">
        <v>9</v>
      </c>
      <c r="I59" s="241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1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4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07"/>
    </row>
    <row r="61" spans="2:23" ht="12.75">
      <c r="B61" s="4" t="s">
        <v>14</v>
      </c>
      <c r="C61" s="71">
        <f aca="true" t="shared" si="27" ref="C61:H63">+C9+C35</f>
        <v>1627</v>
      </c>
      <c r="D61" s="72">
        <f t="shared" si="27"/>
        <v>1623</v>
      </c>
      <c r="E61" s="81">
        <f t="shared" si="27"/>
        <v>3250</v>
      </c>
      <c r="F61" s="71">
        <f t="shared" si="27"/>
        <v>1838</v>
      </c>
      <c r="G61" s="72">
        <f t="shared" si="27"/>
        <v>1918</v>
      </c>
      <c r="H61" s="73">
        <f t="shared" si="27"/>
        <v>3756</v>
      </c>
      <c r="I61" s="32">
        <f aca="true" t="shared" si="28" ref="I61:I78">IF(E61=0,0,((H61/E61)-1)*100)</f>
        <v>15.56923076923078</v>
      </c>
      <c r="L61" s="4" t="s">
        <v>14</v>
      </c>
      <c r="M61" s="29">
        <f aca="true" t="shared" si="29" ref="M61:V61">+M9+M35</f>
        <v>140068</v>
      </c>
      <c r="N61" s="36">
        <f t="shared" si="29"/>
        <v>141457</v>
      </c>
      <c r="O61" s="33">
        <f t="shared" si="29"/>
        <v>281525</v>
      </c>
      <c r="P61" s="34">
        <f t="shared" si="29"/>
        <v>83</v>
      </c>
      <c r="Q61" s="35">
        <f t="shared" si="29"/>
        <v>281608</v>
      </c>
      <c r="R61" s="29">
        <f t="shared" si="29"/>
        <v>137085</v>
      </c>
      <c r="S61" s="36">
        <f t="shared" si="29"/>
        <v>151100</v>
      </c>
      <c r="T61" s="33">
        <f t="shared" si="29"/>
        <v>288185</v>
      </c>
      <c r="U61" s="34">
        <f t="shared" si="29"/>
        <v>175</v>
      </c>
      <c r="V61" s="31">
        <f t="shared" si="29"/>
        <v>288360</v>
      </c>
      <c r="W61" s="32">
        <f aca="true" t="shared" si="30" ref="W61:W78">IF(Q61=0,0,((V61/Q61)-1)*100)</f>
        <v>2.3976591574103034</v>
      </c>
    </row>
    <row r="62" spans="2:23" ht="12.75">
      <c r="B62" s="4" t="s">
        <v>15</v>
      </c>
      <c r="C62" s="71">
        <f t="shared" si="27"/>
        <v>1744</v>
      </c>
      <c r="D62" s="72">
        <f t="shared" si="27"/>
        <v>1751</v>
      </c>
      <c r="E62" s="81">
        <f t="shared" si="27"/>
        <v>3495</v>
      </c>
      <c r="F62" s="71">
        <f t="shared" si="27"/>
        <v>0</v>
      </c>
      <c r="G62" s="72">
        <f t="shared" si="27"/>
        <v>0</v>
      </c>
      <c r="H62" s="73">
        <f t="shared" si="27"/>
        <v>0</v>
      </c>
      <c r="I62" s="32">
        <f t="shared" si="28"/>
        <v>-100</v>
      </c>
      <c r="L62" s="4" t="s">
        <v>15</v>
      </c>
      <c r="M62" s="29">
        <f aca="true" t="shared" si="31" ref="M62:V62">+M10+M36</f>
        <v>131115</v>
      </c>
      <c r="N62" s="36">
        <f t="shared" si="31"/>
        <v>129461</v>
      </c>
      <c r="O62" s="33">
        <f t="shared" si="31"/>
        <v>260576</v>
      </c>
      <c r="P62" s="34">
        <f t="shared" si="31"/>
        <v>108</v>
      </c>
      <c r="Q62" s="35">
        <f t="shared" si="31"/>
        <v>260684</v>
      </c>
      <c r="R62" s="29">
        <f t="shared" si="31"/>
        <v>0</v>
      </c>
      <c r="S62" s="36">
        <f t="shared" si="31"/>
        <v>0</v>
      </c>
      <c r="T62" s="33">
        <f t="shared" si="31"/>
        <v>0</v>
      </c>
      <c r="U62" s="34">
        <f t="shared" si="31"/>
        <v>0</v>
      </c>
      <c r="V62" s="31">
        <f t="shared" si="31"/>
        <v>0</v>
      </c>
      <c r="W62" s="32">
        <f t="shared" si="30"/>
        <v>-100</v>
      </c>
    </row>
    <row r="63" spans="2:23" ht="13.5" thickBot="1">
      <c r="B63" s="12" t="s">
        <v>16</v>
      </c>
      <c r="C63" s="74">
        <f t="shared" si="27"/>
        <v>1814</v>
      </c>
      <c r="D63" s="75">
        <f t="shared" si="27"/>
        <v>1802</v>
      </c>
      <c r="E63" s="82">
        <f t="shared" si="27"/>
        <v>3616</v>
      </c>
      <c r="F63" s="74">
        <f t="shared" si="27"/>
        <v>21</v>
      </c>
      <c r="G63" s="75">
        <f t="shared" si="27"/>
        <v>16</v>
      </c>
      <c r="H63" s="73">
        <f t="shared" si="27"/>
        <v>37</v>
      </c>
      <c r="I63" s="32">
        <f t="shared" si="28"/>
        <v>-98.97676991150442</v>
      </c>
      <c r="L63" s="12" t="s">
        <v>16</v>
      </c>
      <c r="M63" s="29">
        <f aca="true" t="shared" si="32" ref="M63:V63">+M11+M37</f>
        <v>141423</v>
      </c>
      <c r="N63" s="36">
        <f t="shared" si="32"/>
        <v>152615</v>
      </c>
      <c r="O63" s="33">
        <f t="shared" si="32"/>
        <v>294038</v>
      </c>
      <c r="P63" s="34">
        <f t="shared" si="32"/>
        <v>6</v>
      </c>
      <c r="Q63" s="35">
        <f t="shared" si="32"/>
        <v>294044</v>
      </c>
      <c r="R63" s="29">
        <f t="shared" si="32"/>
        <v>2</v>
      </c>
      <c r="S63" s="36">
        <f t="shared" si="32"/>
        <v>13</v>
      </c>
      <c r="T63" s="33">
        <f t="shared" si="32"/>
        <v>15</v>
      </c>
      <c r="U63" s="34">
        <f t="shared" si="32"/>
        <v>0</v>
      </c>
      <c r="V63" s="31">
        <f t="shared" si="32"/>
        <v>15</v>
      </c>
      <c r="W63" s="32">
        <f t="shared" si="30"/>
        <v>-99.99489872264014</v>
      </c>
    </row>
    <row r="64" spans="2:23" ht="14.25" thickBot="1" thickTop="1">
      <c r="B64" s="39" t="s">
        <v>17</v>
      </c>
      <c r="C64" s="76">
        <f>C63+C61+C62</f>
        <v>5185</v>
      </c>
      <c r="D64" s="77">
        <f>D63+D61+D62</f>
        <v>5176</v>
      </c>
      <c r="E64" s="83">
        <f>+E61+E62+E63</f>
        <v>10361</v>
      </c>
      <c r="F64" s="76">
        <f>F63+F61+F62</f>
        <v>1859</v>
      </c>
      <c r="G64" s="77">
        <f>G63+G61+G62</f>
        <v>1934</v>
      </c>
      <c r="H64" s="83">
        <f>+H61+H62+H63</f>
        <v>3793</v>
      </c>
      <c r="I64" s="54">
        <f t="shared" si="28"/>
        <v>-63.39156452079915</v>
      </c>
      <c r="L64" s="39" t="s">
        <v>17</v>
      </c>
      <c r="M64" s="40">
        <f aca="true" t="shared" si="33" ref="M64:V64">+M61+M62+M63</f>
        <v>412606</v>
      </c>
      <c r="N64" s="41">
        <f t="shared" si="33"/>
        <v>423533</v>
      </c>
      <c r="O64" s="40">
        <f t="shared" si="33"/>
        <v>836139</v>
      </c>
      <c r="P64" s="40">
        <f t="shared" si="33"/>
        <v>197</v>
      </c>
      <c r="Q64" s="40">
        <f t="shared" si="33"/>
        <v>836336</v>
      </c>
      <c r="R64" s="40">
        <f t="shared" si="33"/>
        <v>137087</v>
      </c>
      <c r="S64" s="41">
        <f t="shared" si="33"/>
        <v>151113</v>
      </c>
      <c r="T64" s="40">
        <f t="shared" si="33"/>
        <v>288200</v>
      </c>
      <c r="U64" s="40">
        <f t="shared" si="33"/>
        <v>175</v>
      </c>
      <c r="V64" s="42">
        <f t="shared" si="33"/>
        <v>288375</v>
      </c>
      <c r="W64" s="54">
        <f t="shared" si="30"/>
        <v>-65.51924107057451</v>
      </c>
    </row>
    <row r="65" spans="2:23" ht="13.5" thickTop="1">
      <c r="B65" s="4" t="s">
        <v>18</v>
      </c>
      <c r="C65" s="71">
        <f aca="true" t="shared" si="34" ref="C65:H66">+C13+C39</f>
        <v>1696</v>
      </c>
      <c r="D65" s="72">
        <f t="shared" si="34"/>
        <v>1699</v>
      </c>
      <c r="E65" s="81">
        <f t="shared" si="34"/>
        <v>3395</v>
      </c>
      <c r="F65" s="71">
        <f t="shared" si="34"/>
        <v>122</v>
      </c>
      <c r="G65" s="72">
        <f t="shared" si="34"/>
        <v>101</v>
      </c>
      <c r="H65" s="73">
        <f t="shared" si="34"/>
        <v>223</v>
      </c>
      <c r="I65" s="32">
        <f t="shared" si="28"/>
        <v>-93.43151693667157</v>
      </c>
      <c r="L65" s="4" t="s">
        <v>18</v>
      </c>
      <c r="M65" s="29">
        <f aca="true" t="shared" si="35" ref="M65:V65">+M13+M39</f>
        <v>153064</v>
      </c>
      <c r="N65" s="36">
        <f t="shared" si="35"/>
        <v>141187</v>
      </c>
      <c r="O65" s="33">
        <f t="shared" si="35"/>
        <v>294251</v>
      </c>
      <c r="P65" s="34">
        <f t="shared" si="35"/>
        <v>29</v>
      </c>
      <c r="Q65" s="35">
        <f t="shared" si="35"/>
        <v>294280</v>
      </c>
      <c r="R65" s="29">
        <f t="shared" si="35"/>
        <v>58</v>
      </c>
      <c r="S65" s="36">
        <f t="shared" si="35"/>
        <v>36</v>
      </c>
      <c r="T65" s="33">
        <f t="shared" si="35"/>
        <v>94</v>
      </c>
      <c r="U65" s="34">
        <f t="shared" si="35"/>
        <v>1</v>
      </c>
      <c r="V65" s="31">
        <f t="shared" si="35"/>
        <v>95</v>
      </c>
      <c r="W65" s="32">
        <f t="shared" si="30"/>
        <v>-99.9677178197635</v>
      </c>
    </row>
    <row r="66" spans="2:23" ht="12.75">
      <c r="B66" s="4" t="s">
        <v>19</v>
      </c>
      <c r="C66" s="29">
        <f t="shared" si="34"/>
        <v>1789</v>
      </c>
      <c r="D66" s="30">
        <f t="shared" si="34"/>
        <v>1796</v>
      </c>
      <c r="E66" s="81">
        <f t="shared" si="34"/>
        <v>3585</v>
      </c>
      <c r="F66" s="29">
        <f t="shared" si="34"/>
        <v>270</v>
      </c>
      <c r="G66" s="30">
        <f t="shared" si="34"/>
        <v>264</v>
      </c>
      <c r="H66" s="31">
        <f t="shared" si="34"/>
        <v>534</v>
      </c>
      <c r="I66" s="32">
        <f t="shared" si="28"/>
        <v>-85.10460251046025</v>
      </c>
      <c r="L66" s="4" t="s">
        <v>19</v>
      </c>
      <c r="M66" s="29">
        <f aca="true" t="shared" si="36" ref="M66:V66">+M14+M40</f>
        <v>163553</v>
      </c>
      <c r="N66" s="36">
        <f t="shared" si="36"/>
        <v>155642</v>
      </c>
      <c r="O66" s="33">
        <f t="shared" si="36"/>
        <v>319195</v>
      </c>
      <c r="P66" s="34">
        <f t="shared" si="36"/>
        <v>69</v>
      </c>
      <c r="Q66" s="35">
        <f t="shared" si="36"/>
        <v>319264</v>
      </c>
      <c r="R66" s="29">
        <f t="shared" si="36"/>
        <v>164</v>
      </c>
      <c r="S66" s="36">
        <f t="shared" si="36"/>
        <v>145</v>
      </c>
      <c r="T66" s="33">
        <f t="shared" si="36"/>
        <v>309</v>
      </c>
      <c r="U66" s="34">
        <f t="shared" si="36"/>
        <v>2</v>
      </c>
      <c r="V66" s="31">
        <f t="shared" si="36"/>
        <v>311</v>
      </c>
      <c r="W66" s="32">
        <f t="shared" si="30"/>
        <v>-99.90258845344292</v>
      </c>
    </row>
    <row r="67" spans="2:23" ht="13.5" thickBot="1">
      <c r="B67" s="4" t="s">
        <v>20</v>
      </c>
      <c r="C67" s="29">
        <f>+C15+C41</f>
        <v>2088</v>
      </c>
      <c r="D67" s="30">
        <f>+D15+D41</f>
        <v>2088</v>
      </c>
      <c r="E67" s="91">
        <f>E15+E41</f>
        <v>4176</v>
      </c>
      <c r="F67" s="29">
        <f>+F15+F41</f>
        <v>1895</v>
      </c>
      <c r="G67" s="30">
        <f>+G15+G41</f>
        <v>1857</v>
      </c>
      <c r="H67" s="31">
        <f>+H15+H41</f>
        <v>3752</v>
      </c>
      <c r="I67" s="32">
        <f t="shared" si="28"/>
        <v>-10.15325670498084</v>
      </c>
      <c r="L67" s="4" t="s">
        <v>20</v>
      </c>
      <c r="M67" s="68">
        <f aca="true" t="shared" si="37" ref="M67:V67">+M15+M41</f>
        <v>187268</v>
      </c>
      <c r="N67" s="92">
        <f t="shared" si="37"/>
        <v>183420</v>
      </c>
      <c r="O67" s="33">
        <f t="shared" si="37"/>
        <v>370688</v>
      </c>
      <c r="P67" s="34">
        <f t="shared" si="37"/>
        <v>375</v>
      </c>
      <c r="Q67" s="35">
        <f t="shared" si="37"/>
        <v>371063</v>
      </c>
      <c r="R67" s="29">
        <f t="shared" si="37"/>
        <v>137469</v>
      </c>
      <c r="S67" s="36">
        <f t="shared" si="37"/>
        <v>134355</v>
      </c>
      <c r="T67" s="33">
        <f t="shared" si="37"/>
        <v>271824</v>
      </c>
      <c r="U67" s="34">
        <f t="shared" si="37"/>
        <v>11</v>
      </c>
      <c r="V67" s="31">
        <f t="shared" si="37"/>
        <v>271835</v>
      </c>
      <c r="W67" s="32">
        <f t="shared" si="30"/>
        <v>-26.741550626173993</v>
      </c>
    </row>
    <row r="68" spans="2:23" ht="14.25" thickBot="1" thickTop="1">
      <c r="B68" s="44" t="s">
        <v>21</v>
      </c>
      <c r="C68" s="76">
        <f aca="true" t="shared" si="38" ref="C68:H68">C67+C66+C65</f>
        <v>5573</v>
      </c>
      <c r="D68" s="77">
        <f t="shared" si="38"/>
        <v>5583</v>
      </c>
      <c r="E68" s="78">
        <f t="shared" si="38"/>
        <v>11156</v>
      </c>
      <c r="F68" s="76">
        <f t="shared" si="38"/>
        <v>2287</v>
      </c>
      <c r="G68" s="77">
        <f t="shared" si="38"/>
        <v>2222</v>
      </c>
      <c r="H68" s="78">
        <f t="shared" si="38"/>
        <v>4509</v>
      </c>
      <c r="I68" s="257">
        <f>IF(E68=0,0,((H68/E68)-1)*100)</f>
        <v>-59.58228755826461</v>
      </c>
      <c r="L68" s="44" t="s">
        <v>21</v>
      </c>
      <c r="M68" s="40">
        <f aca="true" t="shared" si="39" ref="M68:V68">M67+M66+M65</f>
        <v>503885</v>
      </c>
      <c r="N68" s="41">
        <f t="shared" si="39"/>
        <v>480249</v>
      </c>
      <c r="O68" s="40">
        <f t="shared" si="39"/>
        <v>984134</v>
      </c>
      <c r="P68" s="40">
        <f t="shared" si="39"/>
        <v>473</v>
      </c>
      <c r="Q68" s="40">
        <f t="shared" si="39"/>
        <v>984607</v>
      </c>
      <c r="R68" s="40">
        <f t="shared" si="39"/>
        <v>137691</v>
      </c>
      <c r="S68" s="41">
        <f t="shared" si="39"/>
        <v>134536</v>
      </c>
      <c r="T68" s="40">
        <f t="shared" si="39"/>
        <v>272227</v>
      </c>
      <c r="U68" s="40">
        <f t="shared" si="39"/>
        <v>14</v>
      </c>
      <c r="V68" s="42">
        <f t="shared" si="39"/>
        <v>272241</v>
      </c>
      <c r="W68" s="54">
        <f>IF(Q68=0,0,((V68/Q68)-1)*100)</f>
        <v>-72.3502879829211</v>
      </c>
    </row>
    <row r="69" spans="2:23" ht="13.5" thickTop="1">
      <c r="B69" s="4" t="s">
        <v>22</v>
      </c>
      <c r="C69" s="29">
        <f aca="true" t="shared" si="40" ref="C69:H71">+C17+C43</f>
        <v>2074</v>
      </c>
      <c r="D69" s="30">
        <f t="shared" si="40"/>
        <v>2068</v>
      </c>
      <c r="E69" s="81">
        <f t="shared" si="40"/>
        <v>4142</v>
      </c>
      <c r="F69" s="29">
        <f t="shared" si="40"/>
        <v>2019</v>
      </c>
      <c r="G69" s="30">
        <f t="shared" si="40"/>
        <v>2025</v>
      </c>
      <c r="H69" s="31">
        <f t="shared" si="40"/>
        <v>4044</v>
      </c>
      <c r="I69" s="32">
        <f t="shared" si="28"/>
        <v>-2.3660067600193124</v>
      </c>
      <c r="L69" s="4" t="s">
        <v>22</v>
      </c>
      <c r="M69" s="29">
        <f aca="true" t="shared" si="41" ref="M69:V69">+M17+M43</f>
        <v>184704</v>
      </c>
      <c r="N69" s="36">
        <f t="shared" si="41"/>
        <v>183704</v>
      </c>
      <c r="O69" s="33">
        <f t="shared" si="41"/>
        <v>368408</v>
      </c>
      <c r="P69" s="34">
        <f t="shared" si="41"/>
        <v>179</v>
      </c>
      <c r="Q69" s="35">
        <f t="shared" si="41"/>
        <v>368587</v>
      </c>
      <c r="R69" s="93">
        <f t="shared" si="41"/>
        <v>160905</v>
      </c>
      <c r="S69" s="92">
        <f t="shared" si="41"/>
        <v>162455</v>
      </c>
      <c r="T69" s="33">
        <f t="shared" si="41"/>
        <v>323360</v>
      </c>
      <c r="U69" s="34">
        <f t="shared" si="41"/>
        <v>26</v>
      </c>
      <c r="V69" s="31">
        <f t="shared" si="41"/>
        <v>323386</v>
      </c>
      <c r="W69" s="32">
        <f t="shared" si="30"/>
        <v>-12.263319107836146</v>
      </c>
    </row>
    <row r="70" spans="2:23" ht="12.75">
      <c r="B70" s="4" t="s">
        <v>23</v>
      </c>
      <c r="C70" s="29">
        <f t="shared" si="40"/>
        <v>2071</v>
      </c>
      <c r="D70" s="30">
        <f t="shared" si="40"/>
        <v>2061</v>
      </c>
      <c r="E70" s="81">
        <f t="shared" si="40"/>
        <v>4132</v>
      </c>
      <c r="F70" s="29">
        <f t="shared" si="40"/>
        <v>2105</v>
      </c>
      <c r="G70" s="30">
        <f t="shared" si="40"/>
        <v>2094</v>
      </c>
      <c r="H70" s="31">
        <f t="shared" si="40"/>
        <v>4199</v>
      </c>
      <c r="I70" s="32">
        <f t="shared" si="28"/>
        <v>1.6214908034849929</v>
      </c>
      <c r="L70" s="4" t="s">
        <v>23</v>
      </c>
      <c r="M70" s="29">
        <f aca="true" t="shared" si="42" ref="M70:V70">+M18+M44</f>
        <v>182706</v>
      </c>
      <c r="N70" s="36">
        <f t="shared" si="42"/>
        <v>177714</v>
      </c>
      <c r="O70" s="33">
        <f t="shared" si="42"/>
        <v>360420</v>
      </c>
      <c r="P70" s="34">
        <f t="shared" si="42"/>
        <v>106</v>
      </c>
      <c r="Q70" s="35">
        <f t="shared" si="42"/>
        <v>360526</v>
      </c>
      <c r="R70" s="29">
        <f t="shared" si="42"/>
        <v>145491</v>
      </c>
      <c r="S70" s="92">
        <f t="shared" si="42"/>
        <v>143538</v>
      </c>
      <c r="T70" s="33">
        <f t="shared" si="42"/>
        <v>289029</v>
      </c>
      <c r="U70" s="34">
        <f t="shared" si="42"/>
        <v>8</v>
      </c>
      <c r="V70" s="31">
        <f t="shared" si="42"/>
        <v>289037</v>
      </c>
      <c r="W70" s="32">
        <f t="shared" si="30"/>
        <v>-19.829083061970564</v>
      </c>
    </row>
    <row r="71" spans="2:23" ht="13.5" thickBot="1">
      <c r="B71" s="4" t="s">
        <v>24</v>
      </c>
      <c r="C71" s="29">
        <f t="shared" si="40"/>
        <v>2094</v>
      </c>
      <c r="D71" s="30">
        <f t="shared" si="40"/>
        <v>2101</v>
      </c>
      <c r="E71" s="81">
        <f t="shared" si="40"/>
        <v>4195</v>
      </c>
      <c r="F71" s="29">
        <f t="shared" si="40"/>
        <v>2291</v>
      </c>
      <c r="G71" s="30">
        <f t="shared" si="40"/>
        <v>2279</v>
      </c>
      <c r="H71" s="31">
        <f t="shared" si="40"/>
        <v>4570</v>
      </c>
      <c r="I71" s="32">
        <f t="shared" si="28"/>
        <v>8.939213349225273</v>
      </c>
      <c r="L71" s="4" t="s">
        <v>24</v>
      </c>
      <c r="M71" s="29">
        <f aca="true" t="shared" si="43" ref="M71:V71">+M19+M45</f>
        <v>165438</v>
      </c>
      <c r="N71" s="36">
        <f t="shared" si="43"/>
        <v>165031</v>
      </c>
      <c r="O71" s="33">
        <f t="shared" si="43"/>
        <v>330469</v>
      </c>
      <c r="P71" s="34">
        <f t="shared" si="43"/>
        <v>276</v>
      </c>
      <c r="Q71" s="35">
        <f t="shared" si="43"/>
        <v>330745</v>
      </c>
      <c r="R71" s="29">
        <f t="shared" si="43"/>
        <v>150206</v>
      </c>
      <c r="S71" s="36">
        <f t="shared" si="43"/>
        <v>147474</v>
      </c>
      <c r="T71" s="51">
        <f t="shared" si="43"/>
        <v>297680</v>
      </c>
      <c r="U71" s="52">
        <f t="shared" si="43"/>
        <v>339</v>
      </c>
      <c r="V71" s="31">
        <f t="shared" si="43"/>
        <v>298019</v>
      </c>
      <c r="W71" s="32">
        <f t="shared" si="30"/>
        <v>-9.894631816051636</v>
      </c>
    </row>
    <row r="72" spans="2:23" ht="17.25" thickBot="1" thickTop="1">
      <c r="B72" s="44" t="s">
        <v>25</v>
      </c>
      <c r="C72" s="40">
        <f aca="true" t="shared" si="44" ref="C72:H72">+C69+C70+C71</f>
        <v>6239</v>
      </c>
      <c r="D72" s="53">
        <f t="shared" si="44"/>
        <v>6230</v>
      </c>
      <c r="E72" s="49">
        <f t="shared" si="44"/>
        <v>12469</v>
      </c>
      <c r="F72" s="40">
        <f t="shared" si="44"/>
        <v>6415</v>
      </c>
      <c r="G72" s="53">
        <f t="shared" si="44"/>
        <v>6398</v>
      </c>
      <c r="H72" s="53">
        <f t="shared" si="44"/>
        <v>12813</v>
      </c>
      <c r="I72" s="54">
        <f t="shared" si="28"/>
        <v>2.7588419279813925</v>
      </c>
      <c r="J72" s="55"/>
      <c r="K72" s="56"/>
      <c r="L72" s="44" t="s">
        <v>25</v>
      </c>
      <c r="M72" s="45">
        <f aca="true" t="shared" si="45" ref="M72:V72">+M69+M70+M71</f>
        <v>532848</v>
      </c>
      <c r="N72" s="45">
        <f t="shared" si="45"/>
        <v>526449</v>
      </c>
      <c r="O72" s="47">
        <f t="shared" si="45"/>
        <v>1059297</v>
      </c>
      <c r="P72" s="47">
        <f t="shared" si="45"/>
        <v>561</v>
      </c>
      <c r="Q72" s="47">
        <f t="shared" si="45"/>
        <v>1059858</v>
      </c>
      <c r="R72" s="45">
        <f t="shared" si="45"/>
        <v>456602</v>
      </c>
      <c r="S72" s="45">
        <f t="shared" si="45"/>
        <v>453467</v>
      </c>
      <c r="T72" s="47">
        <f t="shared" si="45"/>
        <v>910069</v>
      </c>
      <c r="U72" s="47">
        <f t="shared" si="45"/>
        <v>373</v>
      </c>
      <c r="V72" s="47">
        <f t="shared" si="45"/>
        <v>910442</v>
      </c>
      <c r="W72" s="191">
        <f t="shared" si="30"/>
        <v>-14.097737621454954</v>
      </c>
    </row>
    <row r="73" spans="2:23" ht="13.5" thickTop="1">
      <c r="B73" s="4" t="s">
        <v>27</v>
      </c>
      <c r="C73" s="29">
        <f aca="true" t="shared" si="46" ref="C73:H75">+C21+C47</f>
        <v>2167</v>
      </c>
      <c r="D73" s="30">
        <f t="shared" si="46"/>
        <v>2158</v>
      </c>
      <c r="E73" s="89">
        <f t="shared" si="46"/>
        <v>4325</v>
      </c>
      <c r="F73" s="29">
        <f t="shared" si="46"/>
        <v>2764</v>
      </c>
      <c r="G73" s="30">
        <f t="shared" si="46"/>
        <v>2769</v>
      </c>
      <c r="H73" s="31">
        <f t="shared" si="46"/>
        <v>5533</v>
      </c>
      <c r="I73" s="32">
        <f t="shared" si="28"/>
        <v>27.930635838150298</v>
      </c>
      <c r="L73" s="4" t="s">
        <v>27</v>
      </c>
      <c r="M73" s="29">
        <f aca="true" t="shared" si="47" ref="M73:V73">+M21+M47</f>
        <v>185794</v>
      </c>
      <c r="N73" s="36">
        <f t="shared" si="47"/>
        <v>182423</v>
      </c>
      <c r="O73" s="33">
        <f t="shared" si="47"/>
        <v>368217</v>
      </c>
      <c r="P73" s="34">
        <f t="shared" si="47"/>
        <v>478</v>
      </c>
      <c r="Q73" s="35">
        <f t="shared" si="47"/>
        <v>368695</v>
      </c>
      <c r="R73" s="29">
        <f t="shared" si="47"/>
        <v>206253</v>
      </c>
      <c r="S73" s="36">
        <f t="shared" si="47"/>
        <v>206506</v>
      </c>
      <c r="T73" s="51">
        <f t="shared" si="47"/>
        <v>412759</v>
      </c>
      <c r="U73" s="59">
        <f t="shared" si="47"/>
        <v>1336</v>
      </c>
      <c r="V73" s="31">
        <f t="shared" si="47"/>
        <v>414095</v>
      </c>
      <c r="W73" s="32">
        <f t="shared" si="30"/>
        <v>12.313701026593794</v>
      </c>
    </row>
    <row r="74" spans="2:23" ht="12.75">
      <c r="B74" s="4" t="s">
        <v>28</v>
      </c>
      <c r="C74" s="29">
        <f t="shared" si="46"/>
        <v>2479</v>
      </c>
      <c r="D74" s="30">
        <f t="shared" si="46"/>
        <v>2478</v>
      </c>
      <c r="E74" s="81">
        <f t="shared" si="46"/>
        <v>4957</v>
      </c>
      <c r="F74" s="29">
        <f t="shared" si="46"/>
        <v>2687</v>
      </c>
      <c r="G74" s="30">
        <f t="shared" si="46"/>
        <v>2684</v>
      </c>
      <c r="H74" s="31">
        <f t="shared" si="46"/>
        <v>5371</v>
      </c>
      <c r="I74" s="32">
        <f>IF(E74=0,0,((H74/E74)-1)*100)</f>
        <v>8.351825701028858</v>
      </c>
      <c r="L74" s="4" t="s">
        <v>28</v>
      </c>
      <c r="M74" s="29">
        <f aca="true" t="shared" si="48" ref="M74:V74">+M22+M48</f>
        <v>185801</v>
      </c>
      <c r="N74" s="36">
        <f t="shared" si="48"/>
        <v>180962</v>
      </c>
      <c r="O74" s="33">
        <f t="shared" si="48"/>
        <v>366763</v>
      </c>
      <c r="P74" s="34">
        <f t="shared" si="48"/>
        <v>328</v>
      </c>
      <c r="Q74" s="35">
        <f t="shared" si="48"/>
        <v>367091</v>
      </c>
      <c r="R74" s="29">
        <f t="shared" si="48"/>
        <v>218019</v>
      </c>
      <c r="S74" s="36">
        <f t="shared" si="48"/>
        <v>214154</v>
      </c>
      <c r="T74" s="33">
        <f t="shared" si="48"/>
        <v>432173</v>
      </c>
      <c r="U74" s="34">
        <f t="shared" si="48"/>
        <v>42</v>
      </c>
      <c r="V74" s="31">
        <f t="shared" si="48"/>
        <v>432215</v>
      </c>
      <c r="W74" s="32">
        <f>IF(Q74=0,0,((V74/Q74)-1)*100)</f>
        <v>17.74056024255566</v>
      </c>
    </row>
    <row r="75" spans="2:23" ht="13.5" thickBot="1">
      <c r="B75" s="4" t="s">
        <v>29</v>
      </c>
      <c r="C75" s="29">
        <f t="shared" si="46"/>
        <v>2123</v>
      </c>
      <c r="D75" s="30">
        <f t="shared" si="46"/>
        <v>2117</v>
      </c>
      <c r="E75" s="81">
        <f t="shared" si="46"/>
        <v>4240</v>
      </c>
      <c r="F75" s="29">
        <f t="shared" si="46"/>
        <v>2567</v>
      </c>
      <c r="G75" s="30">
        <f t="shared" si="46"/>
        <v>2555</v>
      </c>
      <c r="H75" s="31">
        <f t="shared" si="46"/>
        <v>5122</v>
      </c>
      <c r="I75" s="32">
        <f t="shared" si="28"/>
        <v>20.801886792452827</v>
      </c>
      <c r="L75" s="4" t="s">
        <v>29</v>
      </c>
      <c r="M75" s="29">
        <f aca="true" t="shared" si="49" ref="M75:V75">+M23+M49</f>
        <v>178498</v>
      </c>
      <c r="N75" s="36">
        <f t="shared" si="49"/>
        <v>177539</v>
      </c>
      <c r="O75" s="33">
        <f t="shared" si="49"/>
        <v>356037</v>
      </c>
      <c r="P75" s="34">
        <f t="shared" si="49"/>
        <v>252</v>
      </c>
      <c r="Q75" s="35">
        <f t="shared" si="49"/>
        <v>356289</v>
      </c>
      <c r="R75" s="29">
        <f t="shared" si="49"/>
        <v>200729</v>
      </c>
      <c r="S75" s="36">
        <f t="shared" si="49"/>
        <v>199287</v>
      </c>
      <c r="T75" s="33">
        <f t="shared" si="49"/>
        <v>400016</v>
      </c>
      <c r="U75" s="34">
        <f t="shared" si="49"/>
        <v>29</v>
      </c>
      <c r="V75" s="31">
        <f t="shared" si="49"/>
        <v>400045</v>
      </c>
      <c r="W75" s="32">
        <f t="shared" si="30"/>
        <v>12.281041514051804</v>
      </c>
    </row>
    <row r="76" spans="2:23" ht="14.25" thickBot="1" thickTop="1">
      <c r="B76" s="39" t="s">
        <v>30</v>
      </c>
      <c r="C76" s="40">
        <f aca="true" t="shared" si="50" ref="C76:H76">+C73+C74+C75</f>
        <v>6769</v>
      </c>
      <c r="D76" s="41">
        <f t="shared" si="50"/>
        <v>6753</v>
      </c>
      <c r="E76" s="40">
        <f t="shared" si="50"/>
        <v>13522</v>
      </c>
      <c r="F76" s="40">
        <f t="shared" si="50"/>
        <v>8018</v>
      </c>
      <c r="G76" s="41">
        <f t="shared" si="50"/>
        <v>8008</v>
      </c>
      <c r="H76" s="40">
        <f t="shared" si="50"/>
        <v>16026</v>
      </c>
      <c r="I76" s="54">
        <f t="shared" si="28"/>
        <v>18.517970714391364</v>
      </c>
      <c r="L76" s="39" t="s">
        <v>30</v>
      </c>
      <c r="M76" s="40">
        <f aca="true" t="shared" si="51" ref="M76:V76">+M73+M74+M75</f>
        <v>550093</v>
      </c>
      <c r="N76" s="41">
        <f t="shared" si="51"/>
        <v>540924</v>
      </c>
      <c r="O76" s="40">
        <f t="shared" si="51"/>
        <v>1091017</v>
      </c>
      <c r="P76" s="40">
        <f t="shared" si="51"/>
        <v>1058</v>
      </c>
      <c r="Q76" s="40">
        <f t="shared" si="51"/>
        <v>1092075</v>
      </c>
      <c r="R76" s="40">
        <f t="shared" si="51"/>
        <v>625001</v>
      </c>
      <c r="S76" s="41">
        <f t="shared" si="51"/>
        <v>619947</v>
      </c>
      <c r="T76" s="40">
        <f t="shared" si="51"/>
        <v>1244948</v>
      </c>
      <c r="U76" s="40">
        <f t="shared" si="51"/>
        <v>1407</v>
      </c>
      <c r="V76" s="40">
        <f t="shared" si="51"/>
        <v>1246355</v>
      </c>
      <c r="W76" s="54">
        <f t="shared" si="30"/>
        <v>14.127234851086246</v>
      </c>
    </row>
    <row r="77" spans="2:23" ht="14.25" thickBot="1" thickTop="1">
      <c r="B77" s="39" t="s">
        <v>66</v>
      </c>
      <c r="C77" s="76">
        <f aca="true" t="shared" si="52" ref="C77:H77">+C68+C72+C76</f>
        <v>18581</v>
      </c>
      <c r="D77" s="77">
        <f t="shared" si="52"/>
        <v>18566</v>
      </c>
      <c r="E77" s="78">
        <f t="shared" si="52"/>
        <v>37147</v>
      </c>
      <c r="F77" s="76">
        <f t="shared" si="52"/>
        <v>16720</v>
      </c>
      <c r="G77" s="77">
        <f t="shared" si="52"/>
        <v>16628</v>
      </c>
      <c r="H77" s="78">
        <f t="shared" si="52"/>
        <v>33348</v>
      </c>
      <c r="I77" s="257">
        <f t="shared" si="28"/>
        <v>-10.226936226343986</v>
      </c>
      <c r="L77" s="39" t="s">
        <v>66</v>
      </c>
      <c r="M77" s="40">
        <f aca="true" t="shared" si="53" ref="M77:V77">+M68+M72+M76</f>
        <v>1586826</v>
      </c>
      <c r="N77" s="41">
        <f t="shared" si="53"/>
        <v>1547622</v>
      </c>
      <c r="O77" s="40">
        <f t="shared" si="53"/>
        <v>3134448</v>
      </c>
      <c r="P77" s="40">
        <f t="shared" si="53"/>
        <v>2092</v>
      </c>
      <c r="Q77" s="40">
        <f t="shared" si="53"/>
        <v>3136540</v>
      </c>
      <c r="R77" s="40">
        <f t="shared" si="53"/>
        <v>1219294</v>
      </c>
      <c r="S77" s="41">
        <f t="shared" si="53"/>
        <v>1207950</v>
      </c>
      <c r="T77" s="40">
        <f t="shared" si="53"/>
        <v>2427244</v>
      </c>
      <c r="U77" s="40">
        <f t="shared" si="53"/>
        <v>1794</v>
      </c>
      <c r="V77" s="42">
        <f t="shared" si="53"/>
        <v>2429038</v>
      </c>
      <c r="W77" s="54">
        <f t="shared" si="30"/>
        <v>-22.556766373137282</v>
      </c>
    </row>
    <row r="78" spans="2:23" ht="14.25" thickBot="1" thickTop="1">
      <c r="B78" s="39" t="s">
        <v>9</v>
      </c>
      <c r="C78" s="40">
        <f aca="true" t="shared" si="54" ref="C78:H78">C68+C72+C76+C64</f>
        <v>23766</v>
      </c>
      <c r="D78" s="41">
        <f t="shared" si="54"/>
        <v>23742</v>
      </c>
      <c r="E78" s="40">
        <f t="shared" si="54"/>
        <v>47508</v>
      </c>
      <c r="F78" s="40">
        <f t="shared" si="54"/>
        <v>18579</v>
      </c>
      <c r="G78" s="41">
        <f t="shared" si="54"/>
        <v>18562</v>
      </c>
      <c r="H78" s="40">
        <f t="shared" si="54"/>
        <v>37141</v>
      </c>
      <c r="I78" s="54">
        <f t="shared" si="28"/>
        <v>-21.821587943083266</v>
      </c>
      <c r="L78" s="39" t="s">
        <v>9</v>
      </c>
      <c r="M78" s="40">
        <f aca="true" t="shared" si="55" ref="M78:V78">M68+M72+M76+M64</f>
        <v>1999432</v>
      </c>
      <c r="N78" s="41">
        <f t="shared" si="55"/>
        <v>1971155</v>
      </c>
      <c r="O78" s="40">
        <f t="shared" si="55"/>
        <v>3970587</v>
      </c>
      <c r="P78" s="40">
        <f t="shared" si="55"/>
        <v>2289</v>
      </c>
      <c r="Q78" s="40">
        <f t="shared" si="55"/>
        <v>3972876</v>
      </c>
      <c r="R78" s="40">
        <f t="shared" si="55"/>
        <v>1356381</v>
      </c>
      <c r="S78" s="41">
        <f t="shared" si="55"/>
        <v>1359063</v>
      </c>
      <c r="T78" s="40">
        <f t="shared" si="55"/>
        <v>2715444</v>
      </c>
      <c r="U78" s="40">
        <f t="shared" si="55"/>
        <v>1969</v>
      </c>
      <c r="V78" s="40">
        <f t="shared" si="55"/>
        <v>2717413</v>
      </c>
      <c r="W78" s="54">
        <f t="shared" si="30"/>
        <v>-31.60086043460707</v>
      </c>
    </row>
    <row r="79" spans="2:12" ht="13.5" thickTop="1">
      <c r="B79" s="63" t="s">
        <v>64</v>
      </c>
      <c r="L79" s="63" t="s">
        <v>64</v>
      </c>
    </row>
    <row r="80" spans="12:23" ht="12.75">
      <c r="L80" s="336" t="s">
        <v>41</v>
      </c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</row>
    <row r="81" spans="12:23" ht="15.75">
      <c r="L81" s="337" t="s">
        <v>42</v>
      </c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ht="13.5" thickBot="1">
      <c r="W82" s="242" t="s">
        <v>43</v>
      </c>
    </row>
    <row r="83" spans="12:23" ht="17.25" thickBot="1" thickTop="1">
      <c r="L83" s="3"/>
      <c r="M83" s="347" t="s">
        <v>67</v>
      </c>
      <c r="N83" s="348"/>
      <c r="O83" s="348"/>
      <c r="P83" s="348"/>
      <c r="Q83" s="349"/>
      <c r="R83" s="338" t="s">
        <v>68</v>
      </c>
      <c r="S83" s="339"/>
      <c r="T83" s="339"/>
      <c r="U83" s="339"/>
      <c r="V83" s="340"/>
      <c r="W83" s="239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0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1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07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47"/>
      <c r="J87" s="70"/>
      <c r="L87" s="4" t="s">
        <v>14</v>
      </c>
      <c r="M87" s="29">
        <v>0</v>
      </c>
      <c r="N87" s="36">
        <v>0</v>
      </c>
      <c r="O87" s="33">
        <f>M87+N87</f>
        <v>0</v>
      </c>
      <c r="P87" s="34">
        <v>0</v>
      </c>
      <c r="Q87" s="35">
        <f>O87+P87</f>
        <v>0</v>
      </c>
      <c r="R87" s="29">
        <v>45</v>
      </c>
      <c r="S87" s="36">
        <v>0</v>
      </c>
      <c r="T87" s="33">
        <f>R87+S87</f>
        <v>45</v>
      </c>
      <c r="U87" s="34">
        <v>0</v>
      </c>
      <c r="V87" s="31">
        <f>+U87+T87</f>
        <v>45</v>
      </c>
      <c r="W87" s="32">
        <f aca="true" t="shared" si="56" ref="W87:W104">IF(Q87=0,0,((V87/Q87)-1)*100)</f>
        <v>0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47"/>
      <c r="J88" s="70"/>
      <c r="L88" s="4" t="s">
        <v>15</v>
      </c>
      <c r="M88" s="29">
        <v>0</v>
      </c>
      <c r="N88" s="36">
        <v>0</v>
      </c>
      <c r="O88" s="33">
        <f>M88+N88</f>
        <v>0</v>
      </c>
      <c r="P88" s="34">
        <v>0</v>
      </c>
      <c r="Q88" s="35">
        <f>P88+O88</f>
        <v>0</v>
      </c>
      <c r="R88" s="29">
        <v>0</v>
      </c>
      <c r="S88" s="36">
        <v>0</v>
      </c>
      <c r="T88" s="33">
        <f>R88+S88</f>
        <v>0</v>
      </c>
      <c r="U88" s="34">
        <v>0</v>
      </c>
      <c r="V88" s="31">
        <f>+U88+T88</f>
        <v>0</v>
      </c>
      <c r="W88" s="32">
        <f t="shared" si="56"/>
        <v>0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47"/>
      <c r="J89" s="70"/>
      <c r="L89" s="12" t="s">
        <v>16</v>
      </c>
      <c r="M89" s="29">
        <v>1</v>
      </c>
      <c r="N89" s="36">
        <v>0</v>
      </c>
      <c r="O89" s="33">
        <f>M89+N89</f>
        <v>1</v>
      </c>
      <c r="P89" s="34">
        <v>38</v>
      </c>
      <c r="Q89" s="35">
        <f>O89+P89</f>
        <v>39</v>
      </c>
      <c r="R89" s="29">
        <v>0</v>
      </c>
      <c r="S89" s="36">
        <v>0</v>
      </c>
      <c r="T89" s="33">
        <f>R89+S89</f>
        <v>0</v>
      </c>
      <c r="U89" s="34">
        <v>0</v>
      </c>
      <c r="V89" s="31">
        <f>+U89+T89</f>
        <v>0</v>
      </c>
      <c r="W89" s="32">
        <f t="shared" si="56"/>
        <v>-100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47"/>
      <c r="J90" s="70"/>
      <c r="L90" s="39" t="s">
        <v>17</v>
      </c>
      <c r="M90" s="40">
        <f aca="true" t="shared" si="57" ref="M90:V90">+M87+M88+M89</f>
        <v>1</v>
      </c>
      <c r="N90" s="41">
        <f t="shared" si="57"/>
        <v>0</v>
      </c>
      <c r="O90" s="40">
        <f t="shared" si="57"/>
        <v>1</v>
      </c>
      <c r="P90" s="40">
        <f t="shared" si="57"/>
        <v>38</v>
      </c>
      <c r="Q90" s="40">
        <f t="shared" si="57"/>
        <v>39</v>
      </c>
      <c r="R90" s="40">
        <f t="shared" si="57"/>
        <v>45</v>
      </c>
      <c r="S90" s="41">
        <f t="shared" si="57"/>
        <v>0</v>
      </c>
      <c r="T90" s="40">
        <f t="shared" si="57"/>
        <v>45</v>
      </c>
      <c r="U90" s="40">
        <f t="shared" si="57"/>
        <v>0</v>
      </c>
      <c r="V90" s="42">
        <f t="shared" si="57"/>
        <v>45</v>
      </c>
      <c r="W90" s="54">
        <f t="shared" si="56"/>
        <v>15.384615384615374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47"/>
      <c r="J91" s="70"/>
      <c r="L91" s="4" t="s">
        <v>18</v>
      </c>
      <c r="M91" s="29">
        <v>0</v>
      </c>
      <c r="N91" s="36">
        <v>0</v>
      </c>
      <c r="O91" s="33">
        <f>M91+N91</f>
        <v>0</v>
      </c>
      <c r="P91" s="34">
        <v>0</v>
      </c>
      <c r="Q91" s="35">
        <f>P91+O91</f>
        <v>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+U91+T91</f>
        <v>0</v>
      </c>
      <c r="W91" s="32">
        <f t="shared" si="56"/>
        <v>0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47"/>
      <c r="J92" s="70"/>
      <c r="L92" s="4" t="s">
        <v>19</v>
      </c>
      <c r="M92" s="29">
        <v>0</v>
      </c>
      <c r="N92" s="36">
        <v>6</v>
      </c>
      <c r="O92" s="33">
        <f>M92+N92</f>
        <v>6</v>
      </c>
      <c r="P92" s="34">
        <v>0</v>
      </c>
      <c r="Q92" s="35">
        <f>P92+O92</f>
        <v>6</v>
      </c>
      <c r="R92" s="29">
        <v>0</v>
      </c>
      <c r="S92" s="36">
        <v>0</v>
      </c>
      <c r="T92" s="33">
        <f>R92+S92</f>
        <v>0</v>
      </c>
      <c r="U92" s="34">
        <v>0</v>
      </c>
      <c r="V92" s="31">
        <f>+U92+T92</f>
        <v>0</v>
      </c>
      <c r="W92" s="32">
        <f>IF(Q92=0,0,((V92/Q92)-1)*100)</f>
        <v>-100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47"/>
      <c r="J93" s="70"/>
      <c r="L93" s="4" t="s">
        <v>20</v>
      </c>
      <c r="M93" s="29">
        <v>0</v>
      </c>
      <c r="N93" s="36">
        <v>0</v>
      </c>
      <c r="O93" s="33">
        <f>M93+N93</f>
        <v>0</v>
      </c>
      <c r="P93" s="34">
        <v>3</v>
      </c>
      <c r="Q93" s="35">
        <f>P93+O93</f>
        <v>3</v>
      </c>
      <c r="R93" s="29">
        <v>0</v>
      </c>
      <c r="S93" s="36">
        <v>15</v>
      </c>
      <c r="T93" s="33">
        <f>R93+S93</f>
        <v>15</v>
      </c>
      <c r="U93" s="34">
        <v>0</v>
      </c>
      <c r="V93" s="31">
        <f>+U93+T93</f>
        <v>15</v>
      </c>
      <c r="W93" s="32">
        <f t="shared" si="56"/>
        <v>400</v>
      </c>
    </row>
    <row r="94" spans="1:26" ht="14.25" thickBot="1" thickTop="1">
      <c r="A94" s="70"/>
      <c r="B94" s="232"/>
      <c r="C94" s="233"/>
      <c r="D94" s="233"/>
      <c r="E94" s="233"/>
      <c r="F94" s="233"/>
      <c r="G94" s="233"/>
      <c r="H94" s="233"/>
      <c r="I94" s="276"/>
      <c r="J94" s="70"/>
      <c r="L94" s="44" t="s">
        <v>21</v>
      </c>
      <c r="M94" s="40">
        <f aca="true" t="shared" si="58" ref="M94:V94">M93+M92+M91</f>
        <v>0</v>
      </c>
      <c r="N94" s="41">
        <f t="shared" si="58"/>
        <v>6</v>
      </c>
      <c r="O94" s="40">
        <f t="shared" si="58"/>
        <v>6</v>
      </c>
      <c r="P94" s="40">
        <f t="shared" si="58"/>
        <v>3</v>
      </c>
      <c r="Q94" s="40">
        <f t="shared" si="58"/>
        <v>9</v>
      </c>
      <c r="R94" s="40">
        <f t="shared" si="58"/>
        <v>0</v>
      </c>
      <c r="S94" s="41">
        <f t="shared" si="58"/>
        <v>15</v>
      </c>
      <c r="T94" s="40">
        <f t="shared" si="58"/>
        <v>15</v>
      </c>
      <c r="U94" s="40">
        <f t="shared" si="58"/>
        <v>0</v>
      </c>
      <c r="V94" s="42">
        <f t="shared" si="58"/>
        <v>15</v>
      </c>
      <c r="W94" s="54">
        <f t="shared" si="56"/>
        <v>66.66666666666667</v>
      </c>
      <c r="Y94" s="99"/>
      <c r="Z94" s="99"/>
    </row>
    <row r="95" spans="1:26" ht="13.5" thickTop="1">
      <c r="A95" s="70"/>
      <c r="B95" s="70"/>
      <c r="C95" s="70"/>
      <c r="D95" s="70"/>
      <c r="E95" s="70"/>
      <c r="F95" s="70"/>
      <c r="G95" s="70"/>
      <c r="H95" s="70"/>
      <c r="I95" s="247"/>
      <c r="J95" s="70"/>
      <c r="L95" s="4" t="s">
        <v>22</v>
      </c>
      <c r="M95" s="29">
        <v>0</v>
      </c>
      <c r="N95" s="36">
        <v>0</v>
      </c>
      <c r="O95" s="33">
        <f>M95+N95</f>
        <v>0</v>
      </c>
      <c r="P95" s="34">
        <v>0</v>
      </c>
      <c r="Q95" s="35">
        <f>P95+O95</f>
        <v>0</v>
      </c>
      <c r="R95" s="29">
        <v>0</v>
      </c>
      <c r="S95" s="36">
        <v>0</v>
      </c>
      <c r="T95" s="33">
        <f>R95+S95</f>
        <v>0</v>
      </c>
      <c r="U95" s="34">
        <v>0</v>
      </c>
      <c r="V95" s="31">
        <f>+U95+T95</f>
        <v>0</v>
      </c>
      <c r="W95" s="32">
        <f t="shared" si="56"/>
        <v>0</v>
      </c>
      <c r="Y95" s="99"/>
      <c r="Z95" s="99"/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47"/>
      <c r="J96" s="70"/>
      <c r="L96" s="4" t="s">
        <v>23</v>
      </c>
      <c r="M96" s="29">
        <v>0</v>
      </c>
      <c r="N96" s="36">
        <v>1</v>
      </c>
      <c r="O96" s="33">
        <f>M96+N96</f>
        <v>1</v>
      </c>
      <c r="P96" s="34">
        <v>0</v>
      </c>
      <c r="Q96" s="35">
        <f>P96+O96</f>
        <v>1</v>
      </c>
      <c r="R96" s="29">
        <v>0</v>
      </c>
      <c r="S96" s="36">
        <v>0</v>
      </c>
      <c r="T96" s="33">
        <f>R96+S96</f>
        <v>0</v>
      </c>
      <c r="U96" s="34">
        <v>0</v>
      </c>
      <c r="V96" s="31">
        <f>T96+U96</f>
        <v>0</v>
      </c>
      <c r="W96" s="32">
        <f t="shared" si="56"/>
        <v>-100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47"/>
      <c r="J97" s="70"/>
      <c r="L97" s="4" t="s">
        <v>24</v>
      </c>
      <c r="M97" s="29">
        <v>0</v>
      </c>
      <c r="N97" s="36">
        <v>0</v>
      </c>
      <c r="O97" s="51">
        <f>M97+N97</f>
        <v>0</v>
      </c>
      <c r="P97" s="52">
        <v>0</v>
      </c>
      <c r="Q97" s="35">
        <f>P97+O97</f>
        <v>0</v>
      </c>
      <c r="R97" s="29">
        <v>0</v>
      </c>
      <c r="S97" s="36">
        <v>0</v>
      </c>
      <c r="T97" s="51">
        <f>R97+S97</f>
        <v>0</v>
      </c>
      <c r="U97" s="52">
        <v>0</v>
      </c>
      <c r="V97" s="31">
        <f>T97+U97</f>
        <v>0</v>
      </c>
      <c r="W97" s="32">
        <f t="shared" si="56"/>
        <v>0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47"/>
      <c r="J98" s="70"/>
      <c r="L98" s="44" t="s">
        <v>25</v>
      </c>
      <c r="M98" s="45">
        <f aca="true" t="shared" si="59" ref="M98:V98">+M95+M96+M97</f>
        <v>0</v>
      </c>
      <c r="N98" s="45">
        <f t="shared" si="59"/>
        <v>1</v>
      </c>
      <c r="O98" s="47">
        <f t="shared" si="59"/>
        <v>1</v>
      </c>
      <c r="P98" s="47">
        <f t="shared" si="59"/>
        <v>0</v>
      </c>
      <c r="Q98" s="47">
        <f t="shared" si="59"/>
        <v>1</v>
      </c>
      <c r="R98" s="45">
        <f t="shared" si="59"/>
        <v>0</v>
      </c>
      <c r="S98" s="45">
        <f t="shared" si="59"/>
        <v>0</v>
      </c>
      <c r="T98" s="47">
        <f t="shared" si="59"/>
        <v>0</v>
      </c>
      <c r="U98" s="47">
        <f t="shared" si="59"/>
        <v>0</v>
      </c>
      <c r="V98" s="47">
        <f t="shared" si="59"/>
        <v>0</v>
      </c>
      <c r="W98" s="191">
        <f t="shared" si="56"/>
        <v>-100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47"/>
      <c r="J99" s="70"/>
      <c r="L99" s="4" t="s">
        <v>27</v>
      </c>
      <c r="M99" s="29">
        <v>0</v>
      </c>
      <c r="N99" s="36">
        <v>0</v>
      </c>
      <c r="O99" s="51">
        <f>M99+N99</f>
        <v>0</v>
      </c>
      <c r="P99" s="59">
        <v>0</v>
      </c>
      <c r="Q99" s="35">
        <f>P99+O99</f>
        <v>0</v>
      </c>
      <c r="R99" s="29">
        <v>0</v>
      </c>
      <c r="S99" s="36">
        <v>0</v>
      </c>
      <c r="T99" s="51">
        <f>R99+S99</f>
        <v>0</v>
      </c>
      <c r="U99" s="59">
        <v>0</v>
      </c>
      <c r="V99" s="31">
        <f>T99+U99</f>
        <v>0</v>
      </c>
      <c r="W99" s="32">
        <f t="shared" si="56"/>
        <v>0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47"/>
      <c r="J100" s="70"/>
      <c r="L100" s="4" t="s">
        <v>28</v>
      </c>
      <c r="M100" s="29">
        <v>6</v>
      </c>
      <c r="N100" s="36">
        <v>10</v>
      </c>
      <c r="O100" s="51">
        <f>M100+N100</f>
        <v>16</v>
      </c>
      <c r="P100" s="34">
        <v>0</v>
      </c>
      <c r="Q100" s="35">
        <f>P100+O100</f>
        <v>16</v>
      </c>
      <c r="R100" s="29">
        <v>0</v>
      </c>
      <c r="S100" s="36">
        <v>0</v>
      </c>
      <c r="T100" s="51">
        <f>R100+S100</f>
        <v>0</v>
      </c>
      <c r="U100" s="34">
        <v>0</v>
      </c>
      <c r="V100" s="31">
        <f>T100+U100</f>
        <v>0</v>
      </c>
      <c r="W100" s="32">
        <f>IF(Q100=0,0,((V100/Q100)-1)*100)</f>
        <v>-100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47"/>
      <c r="J101" s="8"/>
      <c r="L101" s="4" t="s">
        <v>29</v>
      </c>
      <c r="M101" s="29">
        <v>0</v>
      </c>
      <c r="N101" s="36">
        <v>0</v>
      </c>
      <c r="O101" s="51">
        <f>M101+N101</f>
        <v>0</v>
      </c>
      <c r="P101" s="34">
        <v>0</v>
      </c>
      <c r="Q101" s="35">
        <f>P101+O101</f>
        <v>0</v>
      </c>
      <c r="R101" s="29">
        <v>0</v>
      </c>
      <c r="S101" s="36">
        <v>0</v>
      </c>
      <c r="T101" s="51">
        <f>R101+S101</f>
        <v>0</v>
      </c>
      <c r="U101" s="34">
        <v>0</v>
      </c>
      <c r="V101" s="31">
        <f>T101+U101</f>
        <v>0</v>
      </c>
      <c r="W101" s="32">
        <f t="shared" si="56"/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47"/>
      <c r="J102" s="70"/>
      <c r="L102" s="39" t="s">
        <v>30</v>
      </c>
      <c r="M102" s="40">
        <f aca="true" t="shared" si="60" ref="M102:V102">+M99+M100+M101</f>
        <v>6</v>
      </c>
      <c r="N102" s="41">
        <f t="shared" si="60"/>
        <v>10</v>
      </c>
      <c r="O102" s="40">
        <f t="shared" si="60"/>
        <v>16</v>
      </c>
      <c r="P102" s="40">
        <f t="shared" si="60"/>
        <v>0</v>
      </c>
      <c r="Q102" s="40">
        <f t="shared" si="60"/>
        <v>16</v>
      </c>
      <c r="R102" s="40">
        <f t="shared" si="60"/>
        <v>0</v>
      </c>
      <c r="S102" s="41">
        <f t="shared" si="60"/>
        <v>0</v>
      </c>
      <c r="T102" s="40">
        <f t="shared" si="60"/>
        <v>0</v>
      </c>
      <c r="U102" s="40">
        <f t="shared" si="60"/>
        <v>0</v>
      </c>
      <c r="V102" s="40">
        <f t="shared" si="60"/>
        <v>0</v>
      </c>
      <c r="W102" s="54">
        <f t="shared" si="56"/>
        <v>-100</v>
      </c>
    </row>
    <row r="103" spans="1:26" ht="14.25" thickBot="1" thickTop="1">
      <c r="A103" s="220"/>
      <c r="B103" s="232"/>
      <c r="C103" s="233"/>
      <c r="D103" s="233"/>
      <c r="E103" s="233"/>
      <c r="F103" s="233"/>
      <c r="G103" s="233"/>
      <c r="H103" s="233"/>
      <c r="I103" s="276"/>
      <c r="J103" s="70"/>
      <c r="L103" s="39" t="s">
        <v>66</v>
      </c>
      <c r="M103" s="40">
        <f aca="true" t="shared" si="61" ref="M103:V103">+M94+M98+M102</f>
        <v>6</v>
      </c>
      <c r="N103" s="41">
        <f t="shared" si="61"/>
        <v>17</v>
      </c>
      <c r="O103" s="40">
        <f t="shared" si="61"/>
        <v>23</v>
      </c>
      <c r="P103" s="40">
        <f t="shared" si="61"/>
        <v>3</v>
      </c>
      <c r="Q103" s="40">
        <f t="shared" si="61"/>
        <v>26</v>
      </c>
      <c r="R103" s="40">
        <f t="shared" si="61"/>
        <v>0</v>
      </c>
      <c r="S103" s="41">
        <f t="shared" si="61"/>
        <v>15</v>
      </c>
      <c r="T103" s="40">
        <f t="shared" si="61"/>
        <v>15</v>
      </c>
      <c r="U103" s="40">
        <f t="shared" si="61"/>
        <v>0</v>
      </c>
      <c r="V103" s="42">
        <f t="shared" si="61"/>
        <v>15</v>
      </c>
      <c r="W103" s="54">
        <f t="shared" si="56"/>
        <v>-42.307692307692314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47"/>
      <c r="J104" s="70"/>
      <c r="L104" s="39" t="s">
        <v>9</v>
      </c>
      <c r="M104" s="40">
        <f aca="true" t="shared" si="62" ref="M104:V104">M94+M98+M102+M90</f>
        <v>7</v>
      </c>
      <c r="N104" s="41">
        <f t="shared" si="62"/>
        <v>17</v>
      </c>
      <c r="O104" s="40">
        <f t="shared" si="62"/>
        <v>24</v>
      </c>
      <c r="P104" s="40">
        <f t="shared" si="62"/>
        <v>41</v>
      </c>
      <c r="Q104" s="40">
        <f t="shared" si="62"/>
        <v>65</v>
      </c>
      <c r="R104" s="40">
        <f t="shared" si="62"/>
        <v>45</v>
      </c>
      <c r="S104" s="41">
        <f t="shared" si="62"/>
        <v>15</v>
      </c>
      <c r="T104" s="40">
        <f t="shared" si="62"/>
        <v>60</v>
      </c>
      <c r="U104" s="40">
        <f t="shared" si="62"/>
        <v>0</v>
      </c>
      <c r="V104" s="40">
        <f t="shared" si="62"/>
        <v>60</v>
      </c>
      <c r="W104" s="54">
        <f t="shared" si="56"/>
        <v>-7.692307692307687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47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47"/>
      <c r="L106" s="336" t="s">
        <v>47</v>
      </c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</row>
    <row r="107" spans="2:23" ht="15.75">
      <c r="B107" s="70"/>
      <c r="C107" s="70"/>
      <c r="D107" s="70"/>
      <c r="E107" s="70"/>
      <c r="F107" s="70"/>
      <c r="G107" s="70"/>
      <c r="H107" s="70"/>
      <c r="I107" s="247"/>
      <c r="L107" s="337" t="s">
        <v>48</v>
      </c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47"/>
      <c r="W108" s="242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47"/>
      <c r="L109" s="3"/>
      <c r="M109" s="347" t="s">
        <v>67</v>
      </c>
      <c r="N109" s="348"/>
      <c r="O109" s="348"/>
      <c r="P109" s="348"/>
      <c r="Q109" s="349"/>
      <c r="R109" s="338" t="s">
        <v>68</v>
      </c>
      <c r="S109" s="339"/>
      <c r="T109" s="339"/>
      <c r="U109" s="339"/>
      <c r="V109" s="340"/>
      <c r="W109" s="239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47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0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47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1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47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07"/>
    </row>
    <row r="113" spans="2:23" ht="12.75">
      <c r="B113" s="70"/>
      <c r="C113" s="70"/>
      <c r="D113" s="70"/>
      <c r="E113" s="70"/>
      <c r="F113" s="70"/>
      <c r="G113" s="70"/>
      <c r="H113" s="70"/>
      <c r="I113" s="247"/>
      <c r="L113" s="4" t="s">
        <v>14</v>
      </c>
      <c r="M113" s="29">
        <v>326</v>
      </c>
      <c r="N113" s="36">
        <v>307</v>
      </c>
      <c r="O113" s="33">
        <f>M113+N113</f>
        <v>633</v>
      </c>
      <c r="P113" s="34">
        <v>0</v>
      </c>
      <c r="Q113" s="35">
        <f>O113+P113</f>
        <v>633</v>
      </c>
      <c r="R113" s="29">
        <v>137</v>
      </c>
      <c r="S113" s="36">
        <v>253</v>
      </c>
      <c r="T113" s="33">
        <f>R113+S113</f>
        <v>390</v>
      </c>
      <c r="U113" s="34">
        <v>0</v>
      </c>
      <c r="V113" s="31">
        <f>T113+U113</f>
        <v>390</v>
      </c>
      <c r="W113" s="32">
        <f aca="true" t="shared" si="63" ref="W113:W130">IF(Q113=0,0,((V113/Q113)-1)*100)</f>
        <v>-38.38862559241706</v>
      </c>
    </row>
    <row r="114" spans="2:25" ht="12.75">
      <c r="B114" s="70"/>
      <c r="C114" s="70"/>
      <c r="D114" s="70"/>
      <c r="E114" s="70"/>
      <c r="F114" s="70"/>
      <c r="G114" s="70"/>
      <c r="H114" s="70"/>
      <c r="I114" s="247"/>
      <c r="L114" s="4" t="s">
        <v>15</v>
      </c>
      <c r="M114" s="29">
        <v>437</v>
      </c>
      <c r="N114" s="36">
        <v>322</v>
      </c>
      <c r="O114" s="33">
        <f>M114+N114</f>
        <v>759</v>
      </c>
      <c r="P114" s="34">
        <v>0</v>
      </c>
      <c r="Q114" s="35">
        <f>O114+P114</f>
        <v>759</v>
      </c>
      <c r="R114" s="29">
        <v>0</v>
      </c>
      <c r="S114" s="36">
        <v>0</v>
      </c>
      <c r="T114" s="33">
        <f>R114+S114</f>
        <v>0</v>
      </c>
      <c r="U114" s="34">
        <v>0</v>
      </c>
      <c r="V114" s="31">
        <f>T114+U114</f>
        <v>0</v>
      </c>
      <c r="W114" s="32">
        <f t="shared" si="63"/>
        <v>-100</v>
      </c>
      <c r="Y114" s="99"/>
    </row>
    <row r="115" spans="2:25" ht="13.5" thickBot="1">
      <c r="B115" s="70"/>
      <c r="C115" s="70"/>
      <c r="D115" s="70"/>
      <c r="E115" s="70"/>
      <c r="F115" s="70"/>
      <c r="G115" s="70"/>
      <c r="H115" s="70"/>
      <c r="I115" s="247"/>
      <c r="L115" s="12" t="s">
        <v>16</v>
      </c>
      <c r="M115" s="29">
        <v>392</v>
      </c>
      <c r="N115" s="36">
        <v>350</v>
      </c>
      <c r="O115" s="33">
        <f>M115+N115</f>
        <v>742</v>
      </c>
      <c r="P115" s="34">
        <v>0</v>
      </c>
      <c r="Q115" s="35">
        <f>O115+P115</f>
        <v>742</v>
      </c>
      <c r="R115" s="29">
        <v>0</v>
      </c>
      <c r="S115" s="36">
        <v>0</v>
      </c>
      <c r="T115" s="33">
        <f>R115+S115</f>
        <v>0</v>
      </c>
      <c r="U115" s="34">
        <v>0</v>
      </c>
      <c r="V115" s="31">
        <f>T115+U115</f>
        <v>0</v>
      </c>
      <c r="W115" s="32">
        <f t="shared" si="63"/>
        <v>-100</v>
      </c>
      <c r="Y115" s="99"/>
    </row>
    <row r="116" spans="2:25" ht="14.25" thickBot="1" thickTop="1">
      <c r="B116" s="70"/>
      <c r="C116" s="70"/>
      <c r="D116" s="70"/>
      <c r="E116" s="70"/>
      <c r="F116" s="70"/>
      <c r="G116" s="70"/>
      <c r="H116" s="70"/>
      <c r="I116" s="247"/>
      <c r="L116" s="39" t="s">
        <v>17</v>
      </c>
      <c r="M116" s="40">
        <f>+M113+M114+M115</f>
        <v>1155</v>
      </c>
      <c r="N116" s="41">
        <f>+N113+N114+N115</f>
        <v>979</v>
      </c>
      <c r="O116" s="40">
        <f>+O113+O114+O115</f>
        <v>2134</v>
      </c>
      <c r="P116" s="40">
        <f>+P113+P114+P115</f>
        <v>0</v>
      </c>
      <c r="Q116" s="40">
        <f>Q115+Q113+Q114</f>
        <v>2134</v>
      </c>
      <c r="R116" s="40">
        <f>+R113+R114+R115</f>
        <v>137</v>
      </c>
      <c r="S116" s="41">
        <f>+S113+S114+S115</f>
        <v>253</v>
      </c>
      <c r="T116" s="40">
        <f>+T113+T114+T115</f>
        <v>390</v>
      </c>
      <c r="U116" s="40">
        <f>+U113+U114+U115</f>
        <v>0</v>
      </c>
      <c r="V116" s="42">
        <f>V115+V113+V114</f>
        <v>390</v>
      </c>
      <c r="W116" s="54">
        <f t="shared" si="63"/>
        <v>-81.72446110590441</v>
      </c>
      <c r="Y116" s="99"/>
    </row>
    <row r="117" spans="2:25" ht="13.5" thickTop="1">
      <c r="B117" s="70"/>
      <c r="C117" s="70"/>
      <c r="D117" s="70"/>
      <c r="E117" s="70"/>
      <c r="F117" s="70"/>
      <c r="G117" s="70"/>
      <c r="H117" s="70"/>
      <c r="I117" s="247"/>
      <c r="L117" s="4" t="s">
        <v>18</v>
      </c>
      <c r="M117" s="29">
        <v>264</v>
      </c>
      <c r="N117" s="36">
        <v>319</v>
      </c>
      <c r="O117" s="33">
        <f>M117+N117</f>
        <v>583</v>
      </c>
      <c r="P117" s="34">
        <v>0</v>
      </c>
      <c r="Q117" s="35">
        <f>O117+P117</f>
        <v>583</v>
      </c>
      <c r="R117" s="29">
        <v>0</v>
      </c>
      <c r="S117" s="36">
        <v>0</v>
      </c>
      <c r="T117" s="33">
        <f>R117+S117</f>
        <v>0</v>
      </c>
      <c r="U117" s="34">
        <v>0</v>
      </c>
      <c r="V117" s="31">
        <f>T117+U117</f>
        <v>0</v>
      </c>
      <c r="W117" s="32">
        <f t="shared" si="63"/>
        <v>-100</v>
      </c>
      <c r="Y117" s="99"/>
    </row>
    <row r="118" spans="2:25" ht="12.75">
      <c r="B118" s="70"/>
      <c r="C118" s="70"/>
      <c r="D118" s="70"/>
      <c r="E118" s="70"/>
      <c r="F118" s="70"/>
      <c r="G118" s="70"/>
      <c r="H118" s="70"/>
      <c r="I118" s="247"/>
      <c r="L118" s="4" t="s">
        <v>19</v>
      </c>
      <c r="M118" s="29">
        <v>186</v>
      </c>
      <c r="N118" s="36">
        <v>286</v>
      </c>
      <c r="O118" s="33">
        <f>M118+N118</f>
        <v>472</v>
      </c>
      <c r="P118" s="34">
        <v>0</v>
      </c>
      <c r="Q118" s="35">
        <f>O118+P118</f>
        <v>472</v>
      </c>
      <c r="R118" s="29">
        <v>0</v>
      </c>
      <c r="S118" s="36">
        <v>0</v>
      </c>
      <c r="T118" s="33">
        <f>R118+S118</f>
        <v>0</v>
      </c>
      <c r="U118" s="34">
        <v>0</v>
      </c>
      <c r="V118" s="31">
        <f>T118+U118</f>
        <v>0</v>
      </c>
      <c r="W118" s="32">
        <f>IF(Q118=0,0,((V118/Q118)-1)*100)</f>
        <v>-100</v>
      </c>
      <c r="Y118" s="99"/>
    </row>
    <row r="119" spans="2:26" ht="13.5" thickBot="1">
      <c r="B119" s="70"/>
      <c r="C119" s="70"/>
      <c r="D119" s="70"/>
      <c r="E119" s="70"/>
      <c r="F119" s="70"/>
      <c r="G119" s="70"/>
      <c r="H119" s="70"/>
      <c r="I119" s="247"/>
      <c r="L119" s="4" t="s">
        <v>20</v>
      </c>
      <c r="M119" s="29">
        <v>197</v>
      </c>
      <c r="N119" s="36">
        <v>342</v>
      </c>
      <c r="O119" s="33">
        <f>M119+N119</f>
        <v>539</v>
      </c>
      <c r="P119" s="34">
        <v>0</v>
      </c>
      <c r="Q119" s="35">
        <f>O119+P119</f>
        <v>539</v>
      </c>
      <c r="R119" s="29">
        <v>120</v>
      </c>
      <c r="S119" s="36">
        <v>237</v>
      </c>
      <c r="T119" s="33">
        <f>R119+S119</f>
        <v>357</v>
      </c>
      <c r="U119" s="34">
        <v>0</v>
      </c>
      <c r="V119" s="31">
        <f>T119+U119</f>
        <v>357</v>
      </c>
      <c r="W119" s="32">
        <f t="shared" si="63"/>
        <v>-33.76623376623377</v>
      </c>
      <c r="Y119" s="99"/>
      <c r="Z119" s="99"/>
    </row>
    <row r="120" spans="1:26" ht="14.25" thickBot="1" thickTop="1">
      <c r="A120" s="70"/>
      <c r="B120" s="232"/>
      <c r="C120" s="233"/>
      <c r="D120" s="233"/>
      <c r="E120" s="233"/>
      <c r="F120" s="233"/>
      <c r="G120" s="233"/>
      <c r="H120" s="233"/>
      <c r="I120" s="276"/>
      <c r="J120" s="70"/>
      <c r="L120" s="44" t="s">
        <v>21</v>
      </c>
      <c r="M120" s="40">
        <f aca="true" t="shared" si="64" ref="M120:V120">M119+M118+M117</f>
        <v>647</v>
      </c>
      <c r="N120" s="41">
        <f t="shared" si="64"/>
        <v>947</v>
      </c>
      <c r="O120" s="40">
        <f t="shared" si="64"/>
        <v>1594</v>
      </c>
      <c r="P120" s="40">
        <f t="shared" si="64"/>
        <v>0</v>
      </c>
      <c r="Q120" s="40">
        <f t="shared" si="64"/>
        <v>1594</v>
      </c>
      <c r="R120" s="40">
        <f t="shared" si="64"/>
        <v>120</v>
      </c>
      <c r="S120" s="41">
        <f t="shared" si="64"/>
        <v>237</v>
      </c>
      <c r="T120" s="40">
        <f t="shared" si="64"/>
        <v>357</v>
      </c>
      <c r="U120" s="40">
        <f t="shared" si="64"/>
        <v>0</v>
      </c>
      <c r="V120" s="42">
        <f t="shared" si="64"/>
        <v>357</v>
      </c>
      <c r="W120" s="54">
        <f t="shared" si="63"/>
        <v>-77.60351317440401</v>
      </c>
      <c r="Y120" s="99"/>
      <c r="Z120" s="99"/>
    </row>
    <row r="121" spans="2:26" ht="13.5" thickTop="1">
      <c r="B121" s="70"/>
      <c r="C121" s="70"/>
      <c r="D121" s="70"/>
      <c r="E121" s="70"/>
      <c r="F121" s="70"/>
      <c r="G121" s="70"/>
      <c r="H121" s="70"/>
      <c r="I121" s="247"/>
      <c r="L121" s="4" t="s">
        <v>22</v>
      </c>
      <c r="M121" s="29">
        <v>155</v>
      </c>
      <c r="N121" s="36">
        <v>327</v>
      </c>
      <c r="O121" s="33">
        <f>M121+N121</f>
        <v>482</v>
      </c>
      <c r="P121" s="34">
        <v>0</v>
      </c>
      <c r="Q121" s="35">
        <f>O121+P121</f>
        <v>482</v>
      </c>
      <c r="R121" s="29">
        <v>131</v>
      </c>
      <c r="S121" s="36">
        <v>263</v>
      </c>
      <c r="T121" s="33">
        <f>R121+S121</f>
        <v>394</v>
      </c>
      <c r="U121" s="34">
        <v>0</v>
      </c>
      <c r="V121" s="31">
        <f>T121+U121</f>
        <v>394</v>
      </c>
      <c r="W121" s="32">
        <f t="shared" si="63"/>
        <v>-18.257261410788384</v>
      </c>
      <c r="Y121" s="99"/>
      <c r="Z121" s="99"/>
    </row>
    <row r="122" spans="2:25" ht="12.75">
      <c r="B122" s="70"/>
      <c r="C122" s="70"/>
      <c r="D122" s="70"/>
      <c r="E122" s="70"/>
      <c r="F122" s="70"/>
      <c r="G122" s="70"/>
      <c r="H122" s="70"/>
      <c r="I122" s="247"/>
      <c r="L122" s="4" t="s">
        <v>23</v>
      </c>
      <c r="M122" s="29">
        <v>197</v>
      </c>
      <c r="N122" s="36">
        <v>360</v>
      </c>
      <c r="O122" s="33">
        <f>M122+N122</f>
        <v>557</v>
      </c>
      <c r="P122" s="34">
        <v>0</v>
      </c>
      <c r="Q122" s="35">
        <f>O122+P122</f>
        <v>557</v>
      </c>
      <c r="R122" s="29">
        <v>125</v>
      </c>
      <c r="S122" s="36">
        <v>330</v>
      </c>
      <c r="T122" s="33">
        <f>R122+S122</f>
        <v>455</v>
      </c>
      <c r="U122" s="34">
        <v>0</v>
      </c>
      <c r="V122" s="31">
        <f>T122+U122</f>
        <v>455</v>
      </c>
      <c r="W122" s="32">
        <f t="shared" si="63"/>
        <v>-18.312387791741468</v>
      </c>
      <c r="Y122" s="99"/>
    </row>
    <row r="123" spans="2:25" ht="13.5" thickBot="1">
      <c r="B123" s="70"/>
      <c r="C123" s="70"/>
      <c r="D123" s="70"/>
      <c r="E123" s="70"/>
      <c r="F123" s="70"/>
      <c r="G123" s="70"/>
      <c r="H123" s="70"/>
      <c r="I123" s="247"/>
      <c r="L123" s="4" t="s">
        <v>24</v>
      </c>
      <c r="M123" s="29">
        <v>194</v>
      </c>
      <c r="N123" s="36">
        <v>358</v>
      </c>
      <c r="O123" s="51">
        <f>M123+N123</f>
        <v>552</v>
      </c>
      <c r="P123" s="52">
        <v>0</v>
      </c>
      <c r="Q123" s="35">
        <f>O123+P123</f>
        <v>552</v>
      </c>
      <c r="R123" s="29">
        <v>130</v>
      </c>
      <c r="S123" s="36">
        <v>328</v>
      </c>
      <c r="T123" s="51">
        <f>R123+S123</f>
        <v>458</v>
      </c>
      <c r="U123" s="52">
        <v>0</v>
      </c>
      <c r="V123" s="31">
        <f>T123+U123</f>
        <v>458</v>
      </c>
      <c r="W123" s="32">
        <f t="shared" si="63"/>
        <v>-17.028985507246375</v>
      </c>
      <c r="Y123" s="99"/>
    </row>
    <row r="124" spans="2:25" ht="14.25" thickBot="1" thickTop="1">
      <c r="B124" s="70"/>
      <c r="C124" s="70"/>
      <c r="D124" s="70"/>
      <c r="E124" s="70"/>
      <c r="F124" s="70"/>
      <c r="G124" s="70"/>
      <c r="H124" s="70"/>
      <c r="I124" s="247"/>
      <c r="L124" s="44" t="s">
        <v>25</v>
      </c>
      <c r="M124" s="45">
        <f aca="true" t="shared" si="65" ref="M124:V124">+M121+M122+M123</f>
        <v>546</v>
      </c>
      <c r="N124" s="45">
        <f t="shared" si="65"/>
        <v>1045</v>
      </c>
      <c r="O124" s="47">
        <f t="shared" si="65"/>
        <v>1591</v>
      </c>
      <c r="P124" s="47">
        <f t="shared" si="65"/>
        <v>0</v>
      </c>
      <c r="Q124" s="47">
        <f t="shared" si="65"/>
        <v>1591</v>
      </c>
      <c r="R124" s="45">
        <f t="shared" si="65"/>
        <v>386</v>
      </c>
      <c r="S124" s="45">
        <f t="shared" si="65"/>
        <v>921</v>
      </c>
      <c r="T124" s="47">
        <f t="shared" si="65"/>
        <v>1307</v>
      </c>
      <c r="U124" s="47">
        <f t="shared" si="65"/>
        <v>0</v>
      </c>
      <c r="V124" s="47">
        <f t="shared" si="65"/>
        <v>1307</v>
      </c>
      <c r="W124" s="191">
        <f t="shared" si="63"/>
        <v>-17.850408548082964</v>
      </c>
      <c r="Y124" s="99"/>
    </row>
    <row r="125" spans="2:27" s="100" customFormat="1" ht="12.75" customHeight="1" thickTop="1">
      <c r="B125" s="229"/>
      <c r="C125" s="229"/>
      <c r="D125" s="229"/>
      <c r="E125" s="229"/>
      <c r="F125" s="229"/>
      <c r="G125" s="229"/>
      <c r="H125" s="229"/>
      <c r="I125" s="282"/>
      <c r="L125" s="101" t="s">
        <v>27</v>
      </c>
      <c r="M125" s="102">
        <v>190</v>
      </c>
      <c r="N125" s="103">
        <v>350</v>
      </c>
      <c r="O125" s="115">
        <f>M125+N125</f>
        <v>540</v>
      </c>
      <c r="P125" s="116">
        <v>0</v>
      </c>
      <c r="Q125" s="106">
        <f>O125+P125</f>
        <v>540</v>
      </c>
      <c r="R125" s="102">
        <v>128</v>
      </c>
      <c r="S125" s="103">
        <v>349</v>
      </c>
      <c r="T125" s="115">
        <f>R125+S125</f>
        <v>477</v>
      </c>
      <c r="U125" s="116">
        <v>0</v>
      </c>
      <c r="V125" s="107">
        <f>T125+U125</f>
        <v>477</v>
      </c>
      <c r="W125" s="108">
        <f t="shared" si="63"/>
        <v>-11.66666666666667</v>
      </c>
      <c r="X125" s="303"/>
      <c r="Y125" s="99"/>
      <c r="AA125" s="305"/>
    </row>
    <row r="126" spans="2:27" s="100" customFormat="1" ht="12.75" customHeight="1">
      <c r="B126" s="228"/>
      <c r="C126" s="228"/>
      <c r="D126" s="228"/>
      <c r="E126" s="228"/>
      <c r="F126" s="228"/>
      <c r="G126" s="228"/>
      <c r="H126" s="228"/>
      <c r="I126" s="248"/>
      <c r="L126" s="101" t="s">
        <v>28</v>
      </c>
      <c r="M126" s="102">
        <v>246</v>
      </c>
      <c r="N126" s="103">
        <v>389</v>
      </c>
      <c r="O126" s="115">
        <f>M126+N126</f>
        <v>635</v>
      </c>
      <c r="P126" s="105">
        <v>0</v>
      </c>
      <c r="Q126" s="106">
        <f>O126+P126</f>
        <v>635</v>
      </c>
      <c r="R126" s="102">
        <v>162</v>
      </c>
      <c r="S126" s="103">
        <v>406</v>
      </c>
      <c r="T126" s="115">
        <f>R126+S126</f>
        <v>568</v>
      </c>
      <c r="U126" s="105">
        <v>0</v>
      </c>
      <c r="V126" s="107">
        <f>T126+U126</f>
        <v>568</v>
      </c>
      <c r="W126" s="108">
        <f>IF(Q126=0,0,((V126/Q126)-1)*100)</f>
        <v>-10.551181102362206</v>
      </c>
      <c r="X126" s="303"/>
      <c r="Y126" s="99"/>
      <c r="AA126" s="305"/>
    </row>
    <row r="127" spans="2:27" s="100" customFormat="1" ht="12.75" customHeight="1" thickBot="1">
      <c r="B127" s="228"/>
      <c r="C127" s="228"/>
      <c r="D127" s="228"/>
      <c r="E127" s="228"/>
      <c r="F127" s="228"/>
      <c r="G127" s="228"/>
      <c r="H127" s="228"/>
      <c r="I127" s="248"/>
      <c r="L127" s="101" t="s">
        <v>29</v>
      </c>
      <c r="M127" s="102">
        <v>228</v>
      </c>
      <c r="N127" s="103">
        <v>388</v>
      </c>
      <c r="O127" s="115">
        <f>M127+N127</f>
        <v>616</v>
      </c>
      <c r="P127" s="105">
        <v>0</v>
      </c>
      <c r="Q127" s="106">
        <f>O127+P127</f>
        <v>616</v>
      </c>
      <c r="R127" s="102">
        <v>149</v>
      </c>
      <c r="S127" s="103">
        <v>404</v>
      </c>
      <c r="T127" s="115">
        <f>R127+S127</f>
        <v>553</v>
      </c>
      <c r="U127" s="105">
        <v>0</v>
      </c>
      <c r="V127" s="107">
        <f>T127+U127</f>
        <v>553</v>
      </c>
      <c r="W127" s="108">
        <f t="shared" si="63"/>
        <v>-10.22727272727273</v>
      </c>
      <c r="X127" s="303"/>
      <c r="Y127" s="99"/>
      <c r="AA127" s="305"/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47"/>
      <c r="L128" s="39" t="s">
        <v>30</v>
      </c>
      <c r="M128" s="40">
        <f aca="true" t="shared" si="66" ref="M128:V128">+M125+M126+M127</f>
        <v>664</v>
      </c>
      <c r="N128" s="41">
        <f t="shared" si="66"/>
        <v>1127</v>
      </c>
      <c r="O128" s="40">
        <f t="shared" si="66"/>
        <v>1791</v>
      </c>
      <c r="P128" s="40">
        <f t="shared" si="66"/>
        <v>0</v>
      </c>
      <c r="Q128" s="40">
        <f t="shared" si="66"/>
        <v>1791</v>
      </c>
      <c r="R128" s="40">
        <f t="shared" si="66"/>
        <v>439</v>
      </c>
      <c r="S128" s="41">
        <f t="shared" si="66"/>
        <v>1159</v>
      </c>
      <c r="T128" s="40">
        <f t="shared" si="66"/>
        <v>1598</v>
      </c>
      <c r="U128" s="40">
        <f t="shared" si="66"/>
        <v>0</v>
      </c>
      <c r="V128" s="40">
        <f t="shared" si="66"/>
        <v>1598</v>
      </c>
      <c r="W128" s="54">
        <f t="shared" si="63"/>
        <v>-10.776102735901727</v>
      </c>
    </row>
    <row r="129" spans="1:26" ht="14.25" thickBot="1" thickTop="1">
      <c r="A129" s="220"/>
      <c r="B129" s="232"/>
      <c r="C129" s="233"/>
      <c r="D129" s="233"/>
      <c r="E129" s="233"/>
      <c r="F129" s="233"/>
      <c r="G129" s="233"/>
      <c r="H129" s="233"/>
      <c r="I129" s="276"/>
      <c r="J129" s="220"/>
      <c r="L129" s="39" t="s">
        <v>66</v>
      </c>
      <c r="M129" s="40">
        <f aca="true" t="shared" si="67" ref="M129:V129">+M120+M124+M128</f>
        <v>1857</v>
      </c>
      <c r="N129" s="41">
        <f t="shared" si="67"/>
        <v>3119</v>
      </c>
      <c r="O129" s="40">
        <f t="shared" si="67"/>
        <v>4976</v>
      </c>
      <c r="P129" s="40">
        <f t="shared" si="67"/>
        <v>0</v>
      </c>
      <c r="Q129" s="40">
        <f t="shared" si="67"/>
        <v>4976</v>
      </c>
      <c r="R129" s="40">
        <f t="shared" si="67"/>
        <v>945</v>
      </c>
      <c r="S129" s="41">
        <f t="shared" si="67"/>
        <v>2317</v>
      </c>
      <c r="T129" s="40">
        <f t="shared" si="67"/>
        <v>3262</v>
      </c>
      <c r="U129" s="40">
        <f t="shared" si="67"/>
        <v>0</v>
      </c>
      <c r="V129" s="42">
        <f t="shared" si="67"/>
        <v>3262</v>
      </c>
      <c r="W129" s="54">
        <f t="shared" si="63"/>
        <v>-34.445337620578776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47"/>
      <c r="L130" s="39" t="s">
        <v>9</v>
      </c>
      <c r="M130" s="40">
        <f aca="true" t="shared" si="68" ref="M130:V130">M120+M124+M128+M116</f>
        <v>3012</v>
      </c>
      <c r="N130" s="41">
        <f t="shared" si="68"/>
        <v>4098</v>
      </c>
      <c r="O130" s="40">
        <f t="shared" si="68"/>
        <v>7110</v>
      </c>
      <c r="P130" s="40">
        <f t="shared" si="68"/>
        <v>0</v>
      </c>
      <c r="Q130" s="40">
        <f t="shared" si="68"/>
        <v>7110</v>
      </c>
      <c r="R130" s="40">
        <f t="shared" si="68"/>
        <v>1082</v>
      </c>
      <c r="S130" s="41">
        <f t="shared" si="68"/>
        <v>2570</v>
      </c>
      <c r="T130" s="40">
        <f t="shared" si="68"/>
        <v>3652</v>
      </c>
      <c r="U130" s="40">
        <f t="shared" si="68"/>
        <v>0</v>
      </c>
      <c r="V130" s="40">
        <f t="shared" si="68"/>
        <v>3652</v>
      </c>
      <c r="W130" s="54">
        <f t="shared" si="63"/>
        <v>-48.635724331926866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47"/>
      <c r="L131" s="63" t="s">
        <v>64</v>
      </c>
      <c r="W131" s="243"/>
    </row>
    <row r="132" spans="2:23" ht="12.75">
      <c r="B132" s="70"/>
      <c r="C132" s="70"/>
      <c r="D132" s="70"/>
      <c r="E132" s="70"/>
      <c r="F132" s="70"/>
      <c r="G132" s="70"/>
      <c r="H132" s="70"/>
      <c r="I132" s="247"/>
      <c r="L132" s="336" t="s">
        <v>49</v>
      </c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</row>
    <row r="133" spans="2:23" ht="15.75">
      <c r="B133" s="70"/>
      <c r="C133" s="70"/>
      <c r="D133" s="70"/>
      <c r="E133" s="70"/>
      <c r="F133" s="70"/>
      <c r="G133" s="70"/>
      <c r="H133" s="70"/>
      <c r="I133" s="247"/>
      <c r="L133" s="337" t="s">
        <v>50</v>
      </c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47"/>
      <c r="W134" s="242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47"/>
      <c r="L135" s="3"/>
      <c r="M135" s="347" t="s">
        <v>67</v>
      </c>
      <c r="N135" s="348"/>
      <c r="O135" s="348"/>
      <c r="P135" s="348"/>
      <c r="Q135" s="349"/>
      <c r="R135" s="338" t="s">
        <v>68</v>
      </c>
      <c r="S135" s="339"/>
      <c r="T135" s="339"/>
      <c r="U135" s="339"/>
      <c r="V135" s="340"/>
      <c r="W135" s="239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47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0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47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1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47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07"/>
    </row>
    <row r="139" spans="2:23" ht="12.75">
      <c r="B139" s="70"/>
      <c r="C139" s="70"/>
      <c r="D139" s="70"/>
      <c r="E139" s="70"/>
      <c r="F139" s="70"/>
      <c r="G139" s="70"/>
      <c r="H139" s="70"/>
      <c r="I139" s="247"/>
      <c r="L139" s="4" t="s">
        <v>14</v>
      </c>
      <c r="M139" s="29">
        <f aca="true" t="shared" si="69" ref="M139:V139">+M87+M113</f>
        <v>326</v>
      </c>
      <c r="N139" s="36">
        <f t="shared" si="69"/>
        <v>307</v>
      </c>
      <c r="O139" s="33">
        <f t="shared" si="69"/>
        <v>633</v>
      </c>
      <c r="P139" s="34">
        <f t="shared" si="69"/>
        <v>0</v>
      </c>
      <c r="Q139" s="35">
        <f t="shared" si="69"/>
        <v>633</v>
      </c>
      <c r="R139" s="29">
        <f t="shared" si="69"/>
        <v>182</v>
      </c>
      <c r="S139" s="36">
        <f t="shared" si="69"/>
        <v>253</v>
      </c>
      <c r="T139" s="33">
        <f t="shared" si="69"/>
        <v>435</v>
      </c>
      <c r="U139" s="34">
        <f t="shared" si="69"/>
        <v>0</v>
      </c>
      <c r="V139" s="31">
        <f t="shared" si="69"/>
        <v>435</v>
      </c>
      <c r="W139" s="32">
        <f aca="true" t="shared" si="70" ref="W139:W156">IF(Q139=0,0,((V139/Q139)-1)*100)</f>
        <v>-31.27962085308057</v>
      </c>
    </row>
    <row r="140" spans="2:25" ht="12.75">
      <c r="B140" s="70"/>
      <c r="C140" s="70"/>
      <c r="D140" s="70"/>
      <c r="E140" s="70"/>
      <c r="F140" s="70"/>
      <c r="G140" s="70"/>
      <c r="H140" s="70"/>
      <c r="I140" s="247"/>
      <c r="L140" s="4" t="s">
        <v>15</v>
      </c>
      <c r="M140" s="29">
        <f aca="true" t="shared" si="71" ref="M140:V140">+M88+M114</f>
        <v>437</v>
      </c>
      <c r="N140" s="36">
        <f t="shared" si="71"/>
        <v>322</v>
      </c>
      <c r="O140" s="33">
        <f t="shared" si="71"/>
        <v>759</v>
      </c>
      <c r="P140" s="34">
        <f t="shared" si="71"/>
        <v>0</v>
      </c>
      <c r="Q140" s="35">
        <f t="shared" si="71"/>
        <v>759</v>
      </c>
      <c r="R140" s="29">
        <f t="shared" si="71"/>
        <v>0</v>
      </c>
      <c r="S140" s="36">
        <f t="shared" si="71"/>
        <v>0</v>
      </c>
      <c r="T140" s="33">
        <f t="shared" si="71"/>
        <v>0</v>
      </c>
      <c r="U140" s="34">
        <f t="shared" si="71"/>
        <v>0</v>
      </c>
      <c r="V140" s="31">
        <f t="shared" si="71"/>
        <v>0</v>
      </c>
      <c r="W140" s="32">
        <f t="shared" si="70"/>
        <v>-100</v>
      </c>
      <c r="Y140" s="99"/>
    </row>
    <row r="141" spans="2:25" ht="13.5" thickBot="1">
      <c r="B141" s="70"/>
      <c r="C141" s="70"/>
      <c r="D141" s="70"/>
      <c r="E141" s="70"/>
      <c r="F141" s="70"/>
      <c r="G141" s="70"/>
      <c r="H141" s="70"/>
      <c r="I141" s="247"/>
      <c r="L141" s="12" t="s">
        <v>16</v>
      </c>
      <c r="M141" s="29">
        <f aca="true" t="shared" si="72" ref="M141:V141">+M89+M115</f>
        <v>393</v>
      </c>
      <c r="N141" s="36">
        <f t="shared" si="72"/>
        <v>350</v>
      </c>
      <c r="O141" s="33">
        <f t="shared" si="72"/>
        <v>743</v>
      </c>
      <c r="P141" s="34">
        <f t="shared" si="72"/>
        <v>38</v>
      </c>
      <c r="Q141" s="35">
        <f t="shared" si="72"/>
        <v>781</v>
      </c>
      <c r="R141" s="29">
        <f t="shared" si="72"/>
        <v>0</v>
      </c>
      <c r="S141" s="36">
        <f t="shared" si="72"/>
        <v>0</v>
      </c>
      <c r="T141" s="33">
        <f t="shared" si="72"/>
        <v>0</v>
      </c>
      <c r="U141" s="34">
        <f t="shared" si="72"/>
        <v>0</v>
      </c>
      <c r="V141" s="31">
        <f t="shared" si="72"/>
        <v>0</v>
      </c>
      <c r="W141" s="32">
        <f t="shared" si="70"/>
        <v>-100</v>
      </c>
      <c r="Y141" s="99"/>
    </row>
    <row r="142" spans="2:25" ht="14.25" thickBot="1" thickTop="1">
      <c r="B142" s="70"/>
      <c r="C142" s="70"/>
      <c r="D142" s="70"/>
      <c r="E142" s="70"/>
      <c r="F142" s="70"/>
      <c r="G142" s="70"/>
      <c r="H142" s="70"/>
      <c r="I142" s="247"/>
      <c r="L142" s="39" t="s">
        <v>17</v>
      </c>
      <c r="M142" s="40">
        <f aca="true" t="shared" si="73" ref="M142:V142">M141+M139+M140</f>
        <v>1156</v>
      </c>
      <c r="N142" s="41">
        <f t="shared" si="73"/>
        <v>979</v>
      </c>
      <c r="O142" s="40">
        <f t="shared" si="73"/>
        <v>2135</v>
      </c>
      <c r="P142" s="40">
        <f t="shared" si="73"/>
        <v>38</v>
      </c>
      <c r="Q142" s="40">
        <f t="shared" si="73"/>
        <v>2173</v>
      </c>
      <c r="R142" s="40">
        <f t="shared" si="73"/>
        <v>182</v>
      </c>
      <c r="S142" s="41">
        <f t="shared" si="73"/>
        <v>253</v>
      </c>
      <c r="T142" s="40">
        <f t="shared" si="73"/>
        <v>435</v>
      </c>
      <c r="U142" s="40">
        <f t="shared" si="73"/>
        <v>0</v>
      </c>
      <c r="V142" s="42">
        <f t="shared" si="73"/>
        <v>435</v>
      </c>
      <c r="W142" s="54">
        <f t="shared" si="70"/>
        <v>-79.98159226875288</v>
      </c>
      <c r="Y142" s="99"/>
    </row>
    <row r="143" spans="2:25" ht="13.5" thickTop="1">
      <c r="B143" s="70"/>
      <c r="C143" s="70"/>
      <c r="D143" s="70"/>
      <c r="E143" s="70"/>
      <c r="F143" s="70"/>
      <c r="G143" s="70"/>
      <c r="H143" s="70"/>
      <c r="I143" s="247"/>
      <c r="L143" s="4" t="s">
        <v>18</v>
      </c>
      <c r="M143" s="29">
        <f aca="true" t="shared" si="74" ref="M143:V143">+M91+M117</f>
        <v>264</v>
      </c>
      <c r="N143" s="36">
        <f t="shared" si="74"/>
        <v>319</v>
      </c>
      <c r="O143" s="33">
        <f t="shared" si="74"/>
        <v>583</v>
      </c>
      <c r="P143" s="34">
        <f t="shared" si="74"/>
        <v>0</v>
      </c>
      <c r="Q143" s="35">
        <f t="shared" si="74"/>
        <v>583</v>
      </c>
      <c r="R143" s="29">
        <f t="shared" si="74"/>
        <v>0</v>
      </c>
      <c r="S143" s="36">
        <f t="shared" si="74"/>
        <v>0</v>
      </c>
      <c r="T143" s="33">
        <f t="shared" si="74"/>
        <v>0</v>
      </c>
      <c r="U143" s="34">
        <f t="shared" si="74"/>
        <v>0</v>
      </c>
      <c r="V143" s="31">
        <f t="shared" si="74"/>
        <v>0</v>
      </c>
      <c r="W143" s="32">
        <f t="shared" si="70"/>
        <v>-100</v>
      </c>
      <c r="Y143" s="99"/>
    </row>
    <row r="144" spans="2:25" ht="12.75">
      <c r="B144" s="70"/>
      <c r="C144" s="70"/>
      <c r="D144" s="70"/>
      <c r="E144" s="70"/>
      <c r="F144" s="70"/>
      <c r="G144" s="70"/>
      <c r="H144" s="70"/>
      <c r="I144" s="247"/>
      <c r="L144" s="4" t="s">
        <v>19</v>
      </c>
      <c r="M144" s="29">
        <f aca="true" t="shared" si="75" ref="M144:V144">+M92+M118</f>
        <v>186</v>
      </c>
      <c r="N144" s="36">
        <f t="shared" si="75"/>
        <v>292</v>
      </c>
      <c r="O144" s="33">
        <f t="shared" si="75"/>
        <v>478</v>
      </c>
      <c r="P144" s="34">
        <f t="shared" si="75"/>
        <v>0</v>
      </c>
      <c r="Q144" s="35">
        <f t="shared" si="75"/>
        <v>478</v>
      </c>
      <c r="R144" s="29">
        <f t="shared" si="75"/>
        <v>0</v>
      </c>
      <c r="S144" s="36">
        <f t="shared" si="75"/>
        <v>0</v>
      </c>
      <c r="T144" s="33">
        <f t="shared" si="75"/>
        <v>0</v>
      </c>
      <c r="U144" s="34">
        <f t="shared" si="75"/>
        <v>0</v>
      </c>
      <c r="V144" s="31">
        <f t="shared" si="75"/>
        <v>0</v>
      </c>
      <c r="W144" s="32">
        <f t="shared" si="70"/>
        <v>-100</v>
      </c>
      <c r="Y144" s="99"/>
    </row>
    <row r="145" spans="2:25" ht="13.5" thickBot="1">
      <c r="B145" s="70"/>
      <c r="C145" s="70"/>
      <c r="D145" s="70"/>
      <c r="E145" s="70"/>
      <c r="F145" s="70"/>
      <c r="G145" s="70"/>
      <c r="H145" s="70"/>
      <c r="I145" s="247"/>
      <c r="L145" s="4" t="s">
        <v>20</v>
      </c>
      <c r="M145" s="29">
        <f aca="true" t="shared" si="76" ref="M145:V145">+M93+M119</f>
        <v>197</v>
      </c>
      <c r="N145" s="36">
        <f t="shared" si="76"/>
        <v>342</v>
      </c>
      <c r="O145" s="33">
        <f t="shared" si="76"/>
        <v>539</v>
      </c>
      <c r="P145" s="34">
        <f t="shared" si="76"/>
        <v>3</v>
      </c>
      <c r="Q145" s="35">
        <f t="shared" si="76"/>
        <v>542</v>
      </c>
      <c r="R145" s="29">
        <f t="shared" si="76"/>
        <v>120</v>
      </c>
      <c r="S145" s="36">
        <f t="shared" si="76"/>
        <v>252</v>
      </c>
      <c r="T145" s="33">
        <f t="shared" si="76"/>
        <v>372</v>
      </c>
      <c r="U145" s="34">
        <f t="shared" si="76"/>
        <v>0</v>
      </c>
      <c r="V145" s="31">
        <f t="shared" si="76"/>
        <v>372</v>
      </c>
      <c r="W145" s="32">
        <f t="shared" si="70"/>
        <v>-31.36531365313653</v>
      </c>
      <c r="Y145" s="99"/>
    </row>
    <row r="146" spans="1:26" ht="14.25" thickBot="1" thickTop="1">
      <c r="A146" s="70"/>
      <c r="B146" s="232"/>
      <c r="C146" s="233"/>
      <c r="D146" s="233"/>
      <c r="E146" s="233"/>
      <c r="F146" s="233"/>
      <c r="G146" s="233"/>
      <c r="H146" s="233"/>
      <c r="I146" s="276"/>
      <c r="J146" s="70"/>
      <c r="L146" s="44" t="s">
        <v>21</v>
      </c>
      <c r="M146" s="40">
        <f aca="true" t="shared" si="77" ref="M146:V146">M145+M144+M143</f>
        <v>647</v>
      </c>
      <c r="N146" s="41">
        <f t="shared" si="77"/>
        <v>953</v>
      </c>
      <c r="O146" s="40">
        <f t="shared" si="77"/>
        <v>1600</v>
      </c>
      <c r="P146" s="40">
        <f t="shared" si="77"/>
        <v>3</v>
      </c>
      <c r="Q146" s="40">
        <f t="shared" si="77"/>
        <v>1603</v>
      </c>
      <c r="R146" s="40">
        <f t="shared" si="77"/>
        <v>120</v>
      </c>
      <c r="S146" s="41">
        <f t="shared" si="77"/>
        <v>252</v>
      </c>
      <c r="T146" s="40">
        <f t="shared" si="77"/>
        <v>372</v>
      </c>
      <c r="U146" s="40">
        <f t="shared" si="77"/>
        <v>0</v>
      </c>
      <c r="V146" s="42">
        <f t="shared" si="77"/>
        <v>372</v>
      </c>
      <c r="W146" s="54">
        <f t="shared" si="70"/>
        <v>-76.79351216469121</v>
      </c>
      <c r="Y146" s="99"/>
      <c r="Z146" s="99"/>
    </row>
    <row r="147" spans="2:26" ht="13.5" thickTop="1">
      <c r="B147" s="70"/>
      <c r="C147" s="70"/>
      <c r="D147" s="70"/>
      <c r="E147" s="70"/>
      <c r="F147" s="70"/>
      <c r="G147" s="70"/>
      <c r="H147" s="70"/>
      <c r="I147" s="247"/>
      <c r="L147" s="4" t="s">
        <v>22</v>
      </c>
      <c r="M147" s="29">
        <f aca="true" t="shared" si="78" ref="M147:V147">+M95+M121</f>
        <v>155</v>
      </c>
      <c r="N147" s="36">
        <f t="shared" si="78"/>
        <v>327</v>
      </c>
      <c r="O147" s="33">
        <f t="shared" si="78"/>
        <v>482</v>
      </c>
      <c r="P147" s="34">
        <f t="shared" si="78"/>
        <v>0</v>
      </c>
      <c r="Q147" s="35">
        <f t="shared" si="78"/>
        <v>482</v>
      </c>
      <c r="R147" s="93">
        <f t="shared" si="78"/>
        <v>131</v>
      </c>
      <c r="S147" s="92">
        <f t="shared" si="78"/>
        <v>263</v>
      </c>
      <c r="T147" s="33">
        <f t="shared" si="78"/>
        <v>394</v>
      </c>
      <c r="U147" s="34">
        <f t="shared" si="78"/>
        <v>0</v>
      </c>
      <c r="V147" s="31">
        <f t="shared" si="78"/>
        <v>394</v>
      </c>
      <c r="W147" s="32">
        <f t="shared" si="70"/>
        <v>-18.257261410788384</v>
      </c>
      <c r="Y147" s="99"/>
      <c r="Z147" s="99"/>
    </row>
    <row r="148" spans="2:25" ht="12.75">
      <c r="B148" s="70"/>
      <c r="C148" s="70"/>
      <c r="D148" s="70"/>
      <c r="E148" s="70"/>
      <c r="F148" s="70"/>
      <c r="G148" s="70"/>
      <c r="H148" s="70"/>
      <c r="I148" s="247"/>
      <c r="L148" s="4" t="s">
        <v>23</v>
      </c>
      <c r="M148" s="29">
        <f aca="true" t="shared" si="79" ref="M148:V148">+M96+M122</f>
        <v>197</v>
      </c>
      <c r="N148" s="36">
        <f t="shared" si="79"/>
        <v>361</v>
      </c>
      <c r="O148" s="33">
        <f t="shared" si="79"/>
        <v>558</v>
      </c>
      <c r="P148" s="34">
        <f t="shared" si="79"/>
        <v>0</v>
      </c>
      <c r="Q148" s="35">
        <f t="shared" si="79"/>
        <v>558</v>
      </c>
      <c r="R148" s="29">
        <f t="shared" si="79"/>
        <v>125</v>
      </c>
      <c r="S148" s="36">
        <f t="shared" si="79"/>
        <v>330</v>
      </c>
      <c r="T148" s="33">
        <f t="shared" si="79"/>
        <v>455</v>
      </c>
      <c r="U148" s="34">
        <f t="shared" si="79"/>
        <v>0</v>
      </c>
      <c r="V148" s="31">
        <f t="shared" si="79"/>
        <v>455</v>
      </c>
      <c r="W148" s="32">
        <f t="shared" si="70"/>
        <v>-18.45878136200717</v>
      </c>
      <c r="Y148" s="99"/>
    </row>
    <row r="149" spans="2:25" ht="13.5" thickBot="1">
      <c r="B149" s="70"/>
      <c r="C149" s="70"/>
      <c r="D149" s="70"/>
      <c r="E149" s="70"/>
      <c r="F149" s="70"/>
      <c r="G149" s="70"/>
      <c r="H149" s="70"/>
      <c r="I149" s="247"/>
      <c r="L149" s="4" t="s">
        <v>24</v>
      </c>
      <c r="M149" s="29">
        <f aca="true" t="shared" si="80" ref="M149:V149">+M97+M123</f>
        <v>194</v>
      </c>
      <c r="N149" s="36">
        <f t="shared" si="80"/>
        <v>358</v>
      </c>
      <c r="O149" s="33">
        <f t="shared" si="80"/>
        <v>552</v>
      </c>
      <c r="P149" s="34">
        <f t="shared" si="80"/>
        <v>0</v>
      </c>
      <c r="Q149" s="35">
        <f t="shared" si="80"/>
        <v>552</v>
      </c>
      <c r="R149" s="29">
        <f t="shared" si="80"/>
        <v>130</v>
      </c>
      <c r="S149" s="36">
        <f t="shared" si="80"/>
        <v>328</v>
      </c>
      <c r="T149" s="33">
        <f t="shared" si="80"/>
        <v>458</v>
      </c>
      <c r="U149" s="34">
        <f t="shared" si="80"/>
        <v>0</v>
      </c>
      <c r="V149" s="31">
        <f t="shared" si="80"/>
        <v>458</v>
      </c>
      <c r="W149" s="32">
        <f t="shared" si="70"/>
        <v>-17.028985507246375</v>
      </c>
      <c r="Y149" s="99"/>
    </row>
    <row r="150" spans="2:25" ht="14.25" thickBot="1" thickTop="1">
      <c r="B150" s="70"/>
      <c r="C150" s="70"/>
      <c r="D150" s="70"/>
      <c r="E150" s="70"/>
      <c r="F150" s="70"/>
      <c r="G150" s="70"/>
      <c r="H150" s="70"/>
      <c r="I150" s="247"/>
      <c r="J150" s="70"/>
      <c r="L150" s="44" t="s">
        <v>25</v>
      </c>
      <c r="M150" s="45">
        <f aca="true" t="shared" si="81" ref="M150:V150">+M147+M148+M149</f>
        <v>546</v>
      </c>
      <c r="N150" s="45">
        <f t="shared" si="81"/>
        <v>1046</v>
      </c>
      <c r="O150" s="47">
        <f t="shared" si="81"/>
        <v>1592</v>
      </c>
      <c r="P150" s="47">
        <f t="shared" si="81"/>
        <v>0</v>
      </c>
      <c r="Q150" s="47">
        <f t="shared" si="81"/>
        <v>1592</v>
      </c>
      <c r="R150" s="45">
        <f t="shared" si="81"/>
        <v>386</v>
      </c>
      <c r="S150" s="45">
        <f t="shared" si="81"/>
        <v>921</v>
      </c>
      <c r="T150" s="47">
        <f t="shared" si="81"/>
        <v>1307</v>
      </c>
      <c r="U150" s="47">
        <f t="shared" si="81"/>
        <v>0</v>
      </c>
      <c r="V150" s="47">
        <f t="shared" si="81"/>
        <v>1307</v>
      </c>
      <c r="W150" s="191">
        <f t="shared" si="70"/>
        <v>-17.90201005025126</v>
      </c>
      <c r="Y150" s="99"/>
    </row>
    <row r="151" spans="2:25" ht="13.5" thickTop="1">
      <c r="B151" s="70"/>
      <c r="C151" s="70"/>
      <c r="D151" s="70"/>
      <c r="E151" s="70"/>
      <c r="F151" s="70"/>
      <c r="G151" s="70"/>
      <c r="H151" s="70"/>
      <c r="I151" s="247"/>
      <c r="J151" s="70"/>
      <c r="L151" s="4" t="s">
        <v>27</v>
      </c>
      <c r="M151" s="29">
        <f aca="true" t="shared" si="82" ref="M151:V151">+M99+M125</f>
        <v>190</v>
      </c>
      <c r="N151" s="36">
        <f t="shared" si="82"/>
        <v>350</v>
      </c>
      <c r="O151" s="33">
        <f t="shared" si="82"/>
        <v>540</v>
      </c>
      <c r="P151" s="34">
        <f t="shared" si="82"/>
        <v>0</v>
      </c>
      <c r="Q151" s="35">
        <f t="shared" si="82"/>
        <v>540</v>
      </c>
      <c r="R151" s="29">
        <f t="shared" si="82"/>
        <v>128</v>
      </c>
      <c r="S151" s="36">
        <f t="shared" si="82"/>
        <v>349</v>
      </c>
      <c r="T151" s="51">
        <f t="shared" si="82"/>
        <v>477</v>
      </c>
      <c r="U151" s="59">
        <f t="shared" si="82"/>
        <v>0</v>
      </c>
      <c r="V151" s="31">
        <f t="shared" si="82"/>
        <v>477</v>
      </c>
      <c r="W151" s="32">
        <f t="shared" si="70"/>
        <v>-11.66666666666667</v>
      </c>
      <c r="Y151" s="99"/>
    </row>
    <row r="152" spans="2:23" ht="12.75">
      <c r="B152" s="298"/>
      <c r="C152" s="299"/>
      <c r="D152" s="299"/>
      <c r="E152" s="233"/>
      <c r="F152" s="146"/>
      <c r="G152" s="146"/>
      <c r="H152" s="234"/>
      <c r="I152" s="247"/>
      <c r="J152" s="70"/>
      <c r="L152" s="4" t="s">
        <v>28</v>
      </c>
      <c r="M152" s="29">
        <f aca="true" t="shared" si="83" ref="M152:V152">+M100+M126</f>
        <v>252</v>
      </c>
      <c r="N152" s="36">
        <f t="shared" si="83"/>
        <v>399</v>
      </c>
      <c r="O152" s="33">
        <f t="shared" si="83"/>
        <v>651</v>
      </c>
      <c r="P152" s="34">
        <f t="shared" si="83"/>
        <v>0</v>
      </c>
      <c r="Q152" s="35">
        <f t="shared" si="83"/>
        <v>651</v>
      </c>
      <c r="R152" s="29">
        <f t="shared" si="83"/>
        <v>162</v>
      </c>
      <c r="S152" s="36">
        <f t="shared" si="83"/>
        <v>406</v>
      </c>
      <c r="T152" s="33">
        <f t="shared" si="83"/>
        <v>568</v>
      </c>
      <c r="U152" s="34">
        <f t="shared" si="83"/>
        <v>0</v>
      </c>
      <c r="V152" s="31">
        <f t="shared" si="83"/>
        <v>568</v>
      </c>
      <c r="W152" s="32">
        <f>IF(Q152=0,0,((V152/Q152)-1)*100)</f>
        <v>-12.749615975422424</v>
      </c>
    </row>
    <row r="153" spans="2:27" s="100" customFormat="1" ht="12.75" customHeight="1" thickBot="1">
      <c r="B153" s="228"/>
      <c r="C153" s="228"/>
      <c r="D153" s="228"/>
      <c r="E153" s="228"/>
      <c r="F153" s="228"/>
      <c r="G153" s="228"/>
      <c r="H153" s="228"/>
      <c r="I153" s="248"/>
      <c r="L153" s="101" t="s">
        <v>29</v>
      </c>
      <c r="M153" s="102">
        <f aca="true" t="shared" si="84" ref="M153:V153">+M101+M127</f>
        <v>228</v>
      </c>
      <c r="N153" s="103">
        <f t="shared" si="84"/>
        <v>388</v>
      </c>
      <c r="O153" s="104">
        <f t="shared" si="84"/>
        <v>616</v>
      </c>
      <c r="P153" s="117">
        <f t="shared" si="84"/>
        <v>0</v>
      </c>
      <c r="Q153" s="106">
        <f t="shared" si="84"/>
        <v>616</v>
      </c>
      <c r="R153" s="102">
        <f t="shared" si="84"/>
        <v>149</v>
      </c>
      <c r="S153" s="103">
        <f t="shared" si="84"/>
        <v>404</v>
      </c>
      <c r="T153" s="115">
        <f t="shared" si="84"/>
        <v>553</v>
      </c>
      <c r="U153" s="105">
        <f t="shared" si="84"/>
        <v>0</v>
      </c>
      <c r="V153" s="107">
        <f t="shared" si="84"/>
        <v>553</v>
      </c>
      <c r="W153" s="108">
        <f t="shared" si="70"/>
        <v>-10.22727272727273</v>
      </c>
      <c r="X153" s="303"/>
      <c r="Y153" s="99"/>
      <c r="AA153" s="305"/>
    </row>
    <row r="154" spans="2:27" s="100" customFormat="1" ht="12.75" customHeight="1" thickBot="1" thickTop="1">
      <c r="B154" s="228"/>
      <c r="C154" s="228"/>
      <c r="D154" s="228"/>
      <c r="E154" s="228"/>
      <c r="F154" s="228"/>
      <c r="G154" s="228"/>
      <c r="H154" s="228"/>
      <c r="I154" s="248"/>
      <c r="L154" s="110" t="s">
        <v>30</v>
      </c>
      <c r="M154" s="111">
        <f aca="true" t="shared" si="85" ref="M154:V154">+M151+M152+M153</f>
        <v>670</v>
      </c>
      <c r="N154" s="112">
        <f t="shared" si="85"/>
        <v>1137</v>
      </c>
      <c r="O154" s="111">
        <f t="shared" si="85"/>
        <v>1807</v>
      </c>
      <c r="P154" s="111">
        <f t="shared" si="85"/>
        <v>0</v>
      </c>
      <c r="Q154" s="114">
        <f t="shared" si="85"/>
        <v>1807</v>
      </c>
      <c r="R154" s="111">
        <f t="shared" si="85"/>
        <v>439</v>
      </c>
      <c r="S154" s="112">
        <f t="shared" si="85"/>
        <v>1159</v>
      </c>
      <c r="T154" s="111">
        <f t="shared" si="85"/>
        <v>1598</v>
      </c>
      <c r="U154" s="111">
        <f t="shared" si="85"/>
        <v>0</v>
      </c>
      <c r="V154" s="114">
        <f t="shared" si="85"/>
        <v>1598</v>
      </c>
      <c r="W154" s="246">
        <f t="shared" si="70"/>
        <v>-11.566131710016602</v>
      </c>
      <c r="X154" s="303"/>
      <c r="AA154" s="305"/>
    </row>
    <row r="155" spans="1:26" ht="14.25" thickBot="1" thickTop="1">
      <c r="A155" s="220"/>
      <c r="B155" s="232"/>
      <c r="C155" s="233"/>
      <c r="D155" s="233"/>
      <c r="E155" s="233"/>
      <c r="F155" s="233"/>
      <c r="G155" s="233"/>
      <c r="H155" s="233"/>
      <c r="I155" s="276"/>
      <c r="J155" s="220"/>
      <c r="L155" s="39" t="s">
        <v>66</v>
      </c>
      <c r="M155" s="40">
        <f aca="true" t="shared" si="86" ref="M155:V155">+M146+M150+M154</f>
        <v>1863</v>
      </c>
      <c r="N155" s="41">
        <f t="shared" si="86"/>
        <v>3136</v>
      </c>
      <c r="O155" s="40">
        <f t="shared" si="86"/>
        <v>4999</v>
      </c>
      <c r="P155" s="40">
        <f t="shared" si="86"/>
        <v>3</v>
      </c>
      <c r="Q155" s="40">
        <f t="shared" si="86"/>
        <v>5002</v>
      </c>
      <c r="R155" s="40">
        <f t="shared" si="86"/>
        <v>945</v>
      </c>
      <c r="S155" s="41">
        <f t="shared" si="86"/>
        <v>2332</v>
      </c>
      <c r="T155" s="40">
        <f t="shared" si="86"/>
        <v>3277</v>
      </c>
      <c r="U155" s="40">
        <f t="shared" si="86"/>
        <v>0</v>
      </c>
      <c r="V155" s="42">
        <f t="shared" si="86"/>
        <v>3277</v>
      </c>
      <c r="W155" s="54">
        <f t="shared" si="70"/>
        <v>-34.486205517792875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47"/>
      <c r="L156" s="39" t="s">
        <v>9</v>
      </c>
      <c r="M156" s="40">
        <f aca="true" t="shared" si="87" ref="M156:V156">M146+M150+M154+M142</f>
        <v>3019</v>
      </c>
      <c r="N156" s="41">
        <f t="shared" si="87"/>
        <v>4115</v>
      </c>
      <c r="O156" s="40">
        <f t="shared" si="87"/>
        <v>7134</v>
      </c>
      <c r="P156" s="40">
        <f t="shared" si="87"/>
        <v>41</v>
      </c>
      <c r="Q156" s="40">
        <f t="shared" si="87"/>
        <v>7175</v>
      </c>
      <c r="R156" s="40">
        <f t="shared" si="87"/>
        <v>1127</v>
      </c>
      <c r="S156" s="41">
        <f t="shared" si="87"/>
        <v>2585</v>
      </c>
      <c r="T156" s="40">
        <f t="shared" si="87"/>
        <v>3712</v>
      </c>
      <c r="U156" s="40">
        <f t="shared" si="87"/>
        <v>0</v>
      </c>
      <c r="V156" s="40">
        <f t="shared" si="87"/>
        <v>3712</v>
      </c>
      <c r="W156" s="54">
        <f t="shared" si="70"/>
        <v>-48.26480836236934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47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47"/>
      <c r="L158" s="336" t="s">
        <v>51</v>
      </c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</row>
    <row r="159" spans="2:23" ht="15.75">
      <c r="B159" s="70"/>
      <c r="C159" s="70"/>
      <c r="D159" s="70"/>
      <c r="E159" s="70"/>
      <c r="F159" s="70"/>
      <c r="G159" s="70"/>
      <c r="H159" s="70"/>
      <c r="I159" s="247"/>
      <c r="L159" s="337" t="s">
        <v>52</v>
      </c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47"/>
      <c r="W160" s="242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47"/>
      <c r="L161" s="3"/>
      <c r="M161" s="347" t="s">
        <v>67</v>
      </c>
      <c r="N161" s="348"/>
      <c r="O161" s="348"/>
      <c r="P161" s="348"/>
      <c r="Q161" s="349"/>
      <c r="R161" s="338" t="s">
        <v>68</v>
      </c>
      <c r="S161" s="339"/>
      <c r="T161" s="339"/>
      <c r="U161" s="339"/>
      <c r="V161" s="340"/>
      <c r="W161" s="239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47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0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47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1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47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07"/>
    </row>
    <row r="165" spans="2:23" ht="12.75">
      <c r="B165" s="70"/>
      <c r="C165" s="70"/>
      <c r="D165" s="70"/>
      <c r="E165" s="70"/>
      <c r="F165" s="70"/>
      <c r="G165" s="70"/>
      <c r="H165" s="70"/>
      <c r="I165" s="247"/>
      <c r="L165" s="4" t="s">
        <v>14</v>
      </c>
      <c r="M165" s="29">
        <v>0</v>
      </c>
      <c r="N165" s="36">
        <v>0</v>
      </c>
      <c r="O165" s="33">
        <f>M165+N165</f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f>R165+S165</f>
        <v>0</v>
      </c>
      <c r="U165" s="34">
        <v>0</v>
      </c>
      <c r="V165" s="31">
        <f>+U165+T165</f>
        <v>0</v>
      </c>
      <c r="W165" s="32">
        <f aca="true" t="shared" si="88" ref="W165:W18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47"/>
      <c r="L166" s="4" t="s">
        <v>15</v>
      </c>
      <c r="M166" s="29">
        <v>0</v>
      </c>
      <c r="N166" s="36">
        <v>0</v>
      </c>
      <c r="O166" s="33">
        <f>M166+N166</f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f>R166+S166</f>
        <v>0</v>
      </c>
      <c r="U166" s="34">
        <v>0</v>
      </c>
      <c r="V166" s="31">
        <f>+U166+T166</f>
        <v>0</v>
      </c>
      <c r="W166" s="32">
        <f t="shared" si="88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47"/>
      <c r="L167" s="12" t="s">
        <v>16</v>
      </c>
      <c r="M167" s="29">
        <v>0</v>
      </c>
      <c r="N167" s="36">
        <v>0</v>
      </c>
      <c r="O167" s="33">
        <f>M167+N167</f>
        <v>0</v>
      </c>
      <c r="P167" s="34">
        <v>0</v>
      </c>
      <c r="Q167" s="35">
        <f>O167+P167</f>
        <v>0</v>
      </c>
      <c r="R167" s="29">
        <v>0</v>
      </c>
      <c r="S167" s="36">
        <v>0</v>
      </c>
      <c r="T167" s="33">
        <f>R167+S167</f>
        <v>0</v>
      </c>
      <c r="U167" s="34">
        <v>0</v>
      </c>
      <c r="V167" s="31">
        <f>+U167+T167</f>
        <v>0</v>
      </c>
      <c r="W167" s="32">
        <f t="shared" si="88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47"/>
      <c r="L168" s="39" t="s">
        <v>17</v>
      </c>
      <c r="M168" s="40">
        <f>+M165+M166+M167</f>
        <v>0</v>
      </c>
      <c r="N168" s="41">
        <f>+N165+N166+N167</f>
        <v>0</v>
      </c>
      <c r="O168" s="40">
        <f>+O165+O166+O167</f>
        <v>0</v>
      </c>
      <c r="P168" s="40">
        <f>+P165+P166+P167</f>
        <v>0</v>
      </c>
      <c r="Q168" s="40">
        <f>Q167+Q165+Q166</f>
        <v>0</v>
      </c>
      <c r="R168" s="40">
        <f>+R165+R166+R167</f>
        <v>0</v>
      </c>
      <c r="S168" s="41">
        <f>+S165+S166+S167</f>
        <v>0</v>
      </c>
      <c r="T168" s="40">
        <f>+T165+T166+T167</f>
        <v>0</v>
      </c>
      <c r="U168" s="40">
        <f>+U165+U166+U167</f>
        <v>0</v>
      </c>
      <c r="V168" s="42">
        <f>V167+V165+V166</f>
        <v>0</v>
      </c>
      <c r="W168" s="54">
        <f t="shared" si="88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47"/>
      <c r="L169" s="4" t="s">
        <v>18</v>
      </c>
      <c r="M169" s="94">
        <v>0</v>
      </c>
      <c r="N169" s="95">
        <v>0</v>
      </c>
      <c r="O169" s="96">
        <f>M169+N169</f>
        <v>0</v>
      </c>
      <c r="P169" s="34">
        <v>0</v>
      </c>
      <c r="Q169" s="97">
        <f>O169+P169</f>
        <v>0</v>
      </c>
      <c r="R169" s="94">
        <v>0</v>
      </c>
      <c r="S169" s="95">
        <v>0</v>
      </c>
      <c r="T169" s="96">
        <f>R169+S169</f>
        <v>0</v>
      </c>
      <c r="U169" s="34">
        <v>0</v>
      </c>
      <c r="V169" s="31">
        <f>+U169+T169</f>
        <v>0</v>
      </c>
      <c r="W169" s="32">
        <f t="shared" si="88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47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+U170+T170</f>
        <v>0</v>
      </c>
      <c r="W170" s="32">
        <f t="shared" si="88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47"/>
      <c r="L171" s="4" t="s">
        <v>20</v>
      </c>
      <c r="M171" s="29">
        <v>0</v>
      </c>
      <c r="N171" s="36">
        <v>0</v>
      </c>
      <c r="O171" s="33">
        <f>M171+N171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R171+S171</f>
        <v>0</v>
      </c>
      <c r="U171" s="34">
        <v>0</v>
      </c>
      <c r="V171" s="31">
        <f>+U171+T171</f>
        <v>0</v>
      </c>
      <c r="W171" s="32">
        <f t="shared" si="88"/>
        <v>0</v>
      </c>
    </row>
    <row r="172" spans="1:23" ht="14.25" thickBot="1" thickTop="1">
      <c r="A172" s="70"/>
      <c r="B172" s="232"/>
      <c r="C172" s="233"/>
      <c r="D172" s="233"/>
      <c r="E172" s="233"/>
      <c r="F172" s="233"/>
      <c r="G172" s="233"/>
      <c r="H172" s="233"/>
      <c r="I172" s="276"/>
      <c r="J172" s="70"/>
      <c r="L172" s="44" t="s">
        <v>21</v>
      </c>
      <c r="M172" s="40">
        <f aca="true" t="shared" si="89" ref="M172:V172">M171+M170+M169</f>
        <v>0</v>
      </c>
      <c r="N172" s="41">
        <f t="shared" si="89"/>
        <v>0</v>
      </c>
      <c r="O172" s="40">
        <f t="shared" si="89"/>
        <v>0</v>
      </c>
      <c r="P172" s="40">
        <f t="shared" si="89"/>
        <v>0</v>
      </c>
      <c r="Q172" s="40">
        <f t="shared" si="89"/>
        <v>0</v>
      </c>
      <c r="R172" s="40">
        <f t="shared" si="89"/>
        <v>0</v>
      </c>
      <c r="S172" s="41">
        <f t="shared" si="89"/>
        <v>0</v>
      </c>
      <c r="T172" s="40">
        <f t="shared" si="89"/>
        <v>0</v>
      </c>
      <c r="U172" s="40">
        <f t="shared" si="89"/>
        <v>0</v>
      </c>
      <c r="V172" s="42">
        <f t="shared" si="89"/>
        <v>0</v>
      </c>
      <c r="W172" s="54">
        <f t="shared" si="88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47"/>
      <c r="L173" s="4" t="s">
        <v>22</v>
      </c>
      <c r="M173" s="29">
        <v>0</v>
      </c>
      <c r="N173" s="36">
        <v>0</v>
      </c>
      <c r="O173" s="33">
        <f>M173+N173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R173+S173</f>
        <v>0</v>
      </c>
      <c r="U173" s="34">
        <v>0</v>
      </c>
      <c r="V173" s="31">
        <f>+U173+T173</f>
        <v>0</v>
      </c>
      <c r="W173" s="32">
        <f t="shared" si="88"/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47"/>
      <c r="L174" s="4" t="s">
        <v>23</v>
      </c>
      <c r="M174" s="29">
        <v>0</v>
      </c>
      <c r="N174" s="36">
        <v>0</v>
      </c>
      <c r="O174" s="33">
        <f>M174+N174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f>R174+S174</f>
        <v>0</v>
      </c>
      <c r="U174" s="34">
        <v>0</v>
      </c>
      <c r="V174" s="31">
        <f>T174+U174</f>
        <v>0</v>
      </c>
      <c r="W174" s="32">
        <f t="shared" si="88"/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47"/>
      <c r="L175" s="4" t="s">
        <v>24</v>
      </c>
      <c r="M175" s="29">
        <v>0</v>
      </c>
      <c r="N175" s="36">
        <v>0</v>
      </c>
      <c r="O175" s="51">
        <f>M175+N175</f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f>R175+S175</f>
        <v>0</v>
      </c>
      <c r="U175" s="52">
        <v>0</v>
      </c>
      <c r="V175" s="31">
        <f>T175+U175</f>
        <v>0</v>
      </c>
      <c r="W175" s="32">
        <f t="shared" si="88"/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47"/>
      <c r="L176" s="44" t="s">
        <v>25</v>
      </c>
      <c r="M176" s="45">
        <f aca="true" t="shared" si="90" ref="M176:V176">+M173+M174+M175</f>
        <v>0</v>
      </c>
      <c r="N176" s="45">
        <f t="shared" si="90"/>
        <v>0</v>
      </c>
      <c r="O176" s="47">
        <f t="shared" si="90"/>
        <v>0</v>
      </c>
      <c r="P176" s="47">
        <f t="shared" si="90"/>
        <v>0</v>
      </c>
      <c r="Q176" s="49">
        <f t="shared" si="90"/>
        <v>0</v>
      </c>
      <c r="R176" s="45">
        <f t="shared" si="90"/>
        <v>0</v>
      </c>
      <c r="S176" s="45">
        <f t="shared" si="90"/>
        <v>0</v>
      </c>
      <c r="T176" s="47">
        <f t="shared" si="90"/>
        <v>0</v>
      </c>
      <c r="U176" s="47">
        <f t="shared" si="90"/>
        <v>0</v>
      </c>
      <c r="V176" s="47">
        <f t="shared" si="90"/>
        <v>0</v>
      </c>
      <c r="W176" s="191">
        <f t="shared" si="88"/>
        <v>0</v>
      </c>
    </row>
    <row r="177" spans="2:27" s="100" customFormat="1" ht="12.75" customHeight="1" thickTop="1">
      <c r="B177" s="229"/>
      <c r="C177" s="229"/>
      <c r="D177" s="229"/>
      <c r="E177" s="229"/>
      <c r="F177" s="229"/>
      <c r="G177" s="229"/>
      <c r="H177" s="229"/>
      <c r="I177" s="282"/>
      <c r="L177" s="101" t="s">
        <v>27</v>
      </c>
      <c r="M177" s="102">
        <v>0</v>
      </c>
      <c r="N177" s="103">
        <v>0</v>
      </c>
      <c r="O177" s="115">
        <f>M177+N177</f>
        <v>0</v>
      </c>
      <c r="P177" s="116">
        <v>0</v>
      </c>
      <c r="Q177" s="106">
        <f>O177+P177</f>
        <v>0</v>
      </c>
      <c r="R177" s="102">
        <v>0</v>
      </c>
      <c r="S177" s="103">
        <v>0</v>
      </c>
      <c r="T177" s="115">
        <f>R177+S177</f>
        <v>0</v>
      </c>
      <c r="U177" s="116">
        <v>0</v>
      </c>
      <c r="V177" s="107">
        <f>T177+U177</f>
        <v>0</v>
      </c>
      <c r="W177" s="108">
        <f t="shared" si="88"/>
        <v>0</v>
      </c>
      <c r="X177" s="303"/>
      <c r="AA177" s="305"/>
    </row>
    <row r="178" spans="2:27" s="100" customFormat="1" ht="12.75" customHeight="1">
      <c r="B178" s="228"/>
      <c r="C178" s="228"/>
      <c r="D178" s="228"/>
      <c r="E178" s="228"/>
      <c r="F178" s="228"/>
      <c r="G178" s="228"/>
      <c r="H178" s="228"/>
      <c r="I178" s="248"/>
      <c r="L178" s="101" t="s">
        <v>28</v>
      </c>
      <c r="M178" s="102">
        <v>0</v>
      </c>
      <c r="N178" s="103">
        <v>0</v>
      </c>
      <c r="O178" s="115">
        <f>M178+N178</f>
        <v>0</v>
      </c>
      <c r="P178" s="105">
        <v>0</v>
      </c>
      <c r="Q178" s="106">
        <f>O178+P178</f>
        <v>0</v>
      </c>
      <c r="R178" s="102">
        <v>0</v>
      </c>
      <c r="S178" s="103">
        <v>0</v>
      </c>
      <c r="T178" s="115">
        <f>R178+S178</f>
        <v>0</v>
      </c>
      <c r="U178" s="105">
        <v>0</v>
      </c>
      <c r="V178" s="115">
        <f>T178+U178</f>
        <v>0</v>
      </c>
      <c r="W178" s="108">
        <f>IF(Q178=0,0,((V178/Q178)-1)*100)</f>
        <v>0</v>
      </c>
      <c r="X178" s="303"/>
      <c r="AA178" s="305"/>
    </row>
    <row r="179" spans="2:27" s="100" customFormat="1" ht="12.75" customHeight="1" thickBot="1">
      <c r="B179" s="228"/>
      <c r="C179" s="228"/>
      <c r="D179" s="228"/>
      <c r="E179" s="228"/>
      <c r="F179" s="228"/>
      <c r="G179" s="228"/>
      <c r="H179" s="228"/>
      <c r="I179" s="248"/>
      <c r="L179" s="101" t="s">
        <v>29</v>
      </c>
      <c r="M179" s="102">
        <v>0</v>
      </c>
      <c r="N179" s="103">
        <v>0</v>
      </c>
      <c r="O179" s="115">
        <f>M179+N179</f>
        <v>0</v>
      </c>
      <c r="P179" s="117">
        <v>0</v>
      </c>
      <c r="Q179" s="106">
        <f>O179+P179</f>
        <v>0</v>
      </c>
      <c r="R179" s="102">
        <v>0</v>
      </c>
      <c r="S179" s="103">
        <v>0</v>
      </c>
      <c r="T179" s="115">
        <f>R179+S179</f>
        <v>0</v>
      </c>
      <c r="U179" s="117">
        <v>0</v>
      </c>
      <c r="V179" s="107">
        <f>T179+U179</f>
        <v>0</v>
      </c>
      <c r="W179" s="108">
        <f t="shared" si="88"/>
        <v>0</v>
      </c>
      <c r="X179" s="303"/>
      <c r="AA179" s="305"/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47"/>
      <c r="L180" s="39" t="s">
        <v>30</v>
      </c>
      <c r="M180" s="40">
        <f aca="true" t="shared" si="91" ref="M180:V180">+M177+M178+M179</f>
        <v>0</v>
      </c>
      <c r="N180" s="41">
        <f t="shared" si="91"/>
        <v>0</v>
      </c>
      <c r="O180" s="40">
        <f t="shared" si="91"/>
        <v>0</v>
      </c>
      <c r="P180" s="40">
        <f t="shared" si="91"/>
        <v>0</v>
      </c>
      <c r="Q180" s="43">
        <f t="shared" si="91"/>
        <v>0</v>
      </c>
      <c r="R180" s="40">
        <f t="shared" si="91"/>
        <v>0</v>
      </c>
      <c r="S180" s="41">
        <f t="shared" si="91"/>
        <v>0</v>
      </c>
      <c r="T180" s="40">
        <f t="shared" si="91"/>
        <v>0</v>
      </c>
      <c r="U180" s="40">
        <f t="shared" si="91"/>
        <v>0</v>
      </c>
      <c r="V180" s="43">
        <f t="shared" si="91"/>
        <v>0</v>
      </c>
      <c r="W180" s="54">
        <f t="shared" si="88"/>
        <v>0</v>
      </c>
    </row>
    <row r="181" spans="1:23" ht="14.25" thickBot="1" thickTop="1">
      <c r="A181" s="220"/>
      <c r="B181" s="232"/>
      <c r="C181" s="233"/>
      <c r="D181" s="233"/>
      <c r="E181" s="233"/>
      <c r="F181" s="233"/>
      <c r="G181" s="233"/>
      <c r="H181" s="233"/>
      <c r="I181" s="276"/>
      <c r="J181" s="220"/>
      <c r="L181" s="39" t="s">
        <v>66</v>
      </c>
      <c r="M181" s="40">
        <f aca="true" t="shared" si="92" ref="M181:V181">+M172+M176+M180</f>
        <v>0</v>
      </c>
      <c r="N181" s="41">
        <f t="shared" si="92"/>
        <v>0</v>
      </c>
      <c r="O181" s="40">
        <f t="shared" si="92"/>
        <v>0</v>
      </c>
      <c r="P181" s="40">
        <f t="shared" si="92"/>
        <v>0</v>
      </c>
      <c r="Q181" s="40">
        <f t="shared" si="92"/>
        <v>0</v>
      </c>
      <c r="R181" s="40">
        <f t="shared" si="92"/>
        <v>0</v>
      </c>
      <c r="S181" s="41">
        <f t="shared" si="92"/>
        <v>0</v>
      </c>
      <c r="T181" s="40">
        <f t="shared" si="92"/>
        <v>0</v>
      </c>
      <c r="U181" s="40">
        <f t="shared" si="92"/>
        <v>0</v>
      </c>
      <c r="V181" s="42">
        <f t="shared" si="92"/>
        <v>0</v>
      </c>
      <c r="W181" s="54">
        <f t="shared" si="88"/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47"/>
      <c r="L182" s="39" t="s">
        <v>9</v>
      </c>
      <c r="M182" s="40">
        <f aca="true" t="shared" si="93" ref="M182:V182">M172+M176+M180+M168</f>
        <v>0</v>
      </c>
      <c r="N182" s="41">
        <f t="shared" si="93"/>
        <v>0</v>
      </c>
      <c r="O182" s="40">
        <f t="shared" si="93"/>
        <v>0</v>
      </c>
      <c r="P182" s="40">
        <f t="shared" si="93"/>
        <v>0</v>
      </c>
      <c r="Q182" s="40">
        <f t="shared" si="93"/>
        <v>0</v>
      </c>
      <c r="R182" s="40">
        <f t="shared" si="93"/>
        <v>0</v>
      </c>
      <c r="S182" s="41">
        <f t="shared" si="93"/>
        <v>0</v>
      </c>
      <c r="T182" s="40">
        <f t="shared" si="93"/>
        <v>0</v>
      </c>
      <c r="U182" s="40">
        <f t="shared" si="93"/>
        <v>0</v>
      </c>
      <c r="V182" s="40">
        <f t="shared" si="93"/>
        <v>0</v>
      </c>
      <c r="W182" s="54">
        <f t="shared" si="88"/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47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47"/>
      <c r="L184" s="336" t="s">
        <v>53</v>
      </c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</row>
    <row r="185" spans="2:23" ht="15.75">
      <c r="B185" s="70"/>
      <c r="C185" s="70"/>
      <c r="D185" s="70"/>
      <c r="E185" s="70"/>
      <c r="F185" s="70"/>
      <c r="G185" s="70"/>
      <c r="H185" s="70"/>
      <c r="I185" s="247"/>
      <c r="L185" s="337" t="s">
        <v>54</v>
      </c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47"/>
      <c r="W186" s="242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47"/>
      <c r="L187" s="3"/>
      <c r="M187" s="347" t="s">
        <v>67</v>
      </c>
      <c r="N187" s="348"/>
      <c r="O187" s="348"/>
      <c r="P187" s="348"/>
      <c r="Q187" s="349"/>
      <c r="R187" s="338" t="s">
        <v>68</v>
      </c>
      <c r="S187" s="339"/>
      <c r="T187" s="339"/>
      <c r="U187" s="339"/>
      <c r="V187" s="340"/>
      <c r="W187" s="239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47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0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47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1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47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07"/>
    </row>
    <row r="191" spans="2:23" ht="12.75">
      <c r="B191" s="70"/>
      <c r="C191" s="70"/>
      <c r="D191" s="70"/>
      <c r="E191" s="70"/>
      <c r="F191" s="70"/>
      <c r="G191" s="70"/>
      <c r="H191" s="70"/>
      <c r="I191" s="247"/>
      <c r="L191" s="4" t="s">
        <v>14</v>
      </c>
      <c r="M191" s="29">
        <v>0</v>
      </c>
      <c r="N191" s="36">
        <v>0</v>
      </c>
      <c r="O191" s="33">
        <f>M191+N191</f>
        <v>0</v>
      </c>
      <c r="P191" s="34">
        <v>0</v>
      </c>
      <c r="Q191" s="35">
        <f>O191+P191</f>
        <v>0</v>
      </c>
      <c r="R191" s="29">
        <v>0</v>
      </c>
      <c r="S191" s="36">
        <v>0</v>
      </c>
      <c r="T191" s="33">
        <f>R191+S191</f>
        <v>0</v>
      </c>
      <c r="U191" s="34">
        <v>0</v>
      </c>
      <c r="V191" s="31">
        <f>T191+U191</f>
        <v>0</v>
      </c>
      <c r="W191" s="32">
        <f aca="true" t="shared" si="94" ref="W191:W20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47"/>
      <c r="L192" s="4" t="s">
        <v>15</v>
      </c>
      <c r="M192" s="29">
        <v>0</v>
      </c>
      <c r="N192" s="36">
        <v>0</v>
      </c>
      <c r="O192" s="33">
        <f>M192+N192</f>
        <v>0</v>
      </c>
      <c r="P192" s="34">
        <v>0</v>
      </c>
      <c r="Q192" s="35">
        <f>O192+P192</f>
        <v>0</v>
      </c>
      <c r="R192" s="29">
        <v>0</v>
      </c>
      <c r="S192" s="36">
        <v>0</v>
      </c>
      <c r="T192" s="33">
        <f>R192+S192</f>
        <v>0</v>
      </c>
      <c r="U192" s="34">
        <v>0</v>
      </c>
      <c r="V192" s="31">
        <f>T192+U192</f>
        <v>0</v>
      </c>
      <c r="W192" s="32">
        <f t="shared" si="94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47"/>
      <c r="L193" s="12" t="s">
        <v>16</v>
      </c>
      <c r="M193" s="29">
        <v>0</v>
      </c>
      <c r="N193" s="36">
        <v>0</v>
      </c>
      <c r="O193" s="33">
        <f>M193+N193</f>
        <v>0</v>
      </c>
      <c r="P193" s="34">
        <v>0</v>
      </c>
      <c r="Q193" s="35">
        <f>O193+P193</f>
        <v>0</v>
      </c>
      <c r="R193" s="29">
        <v>0</v>
      </c>
      <c r="S193" s="36">
        <v>0</v>
      </c>
      <c r="T193" s="33">
        <f>R193+S193</f>
        <v>0</v>
      </c>
      <c r="U193" s="34">
        <v>0</v>
      </c>
      <c r="V193" s="31">
        <f>T193+U193</f>
        <v>0</v>
      </c>
      <c r="W193" s="32">
        <f t="shared" si="94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47"/>
      <c r="L194" s="39" t="s">
        <v>17</v>
      </c>
      <c r="M194" s="40">
        <f>+M191+M192+M193</f>
        <v>0</v>
      </c>
      <c r="N194" s="41">
        <f>+N191+N192+N193</f>
        <v>0</v>
      </c>
      <c r="O194" s="40">
        <f>+O191+O192+O193</f>
        <v>0</v>
      </c>
      <c r="P194" s="40">
        <f>+P191+P192+P193</f>
        <v>0</v>
      </c>
      <c r="Q194" s="40">
        <f>Q193+Q191+Q192</f>
        <v>0</v>
      </c>
      <c r="R194" s="40">
        <f>+R191+R192+R193</f>
        <v>0</v>
      </c>
      <c r="S194" s="41">
        <f>+S191+S192+S193</f>
        <v>0</v>
      </c>
      <c r="T194" s="40">
        <f>+T191+T192+T193</f>
        <v>0</v>
      </c>
      <c r="U194" s="40">
        <f>+U191+U192+U193</f>
        <v>0</v>
      </c>
      <c r="V194" s="42">
        <f>V193+V191+V192</f>
        <v>0</v>
      </c>
      <c r="W194" s="54">
        <f t="shared" si="94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47"/>
      <c r="L195" s="4" t="s">
        <v>18</v>
      </c>
      <c r="M195" s="29">
        <v>0</v>
      </c>
      <c r="N195" s="36">
        <v>0</v>
      </c>
      <c r="O195" s="33">
        <f>M195+N195</f>
        <v>0</v>
      </c>
      <c r="P195" s="34">
        <v>0</v>
      </c>
      <c r="Q195" s="35">
        <f>O195+P195</f>
        <v>0</v>
      </c>
      <c r="R195" s="29">
        <v>0</v>
      </c>
      <c r="S195" s="36">
        <v>0</v>
      </c>
      <c r="T195" s="33">
        <f>R195+S195</f>
        <v>0</v>
      </c>
      <c r="U195" s="34">
        <v>0</v>
      </c>
      <c r="V195" s="31">
        <f>T195+U195</f>
        <v>0</v>
      </c>
      <c r="W195" s="32">
        <f t="shared" si="94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47"/>
      <c r="L196" s="4" t="s">
        <v>19</v>
      </c>
      <c r="M196" s="29">
        <v>0</v>
      </c>
      <c r="N196" s="36">
        <v>0</v>
      </c>
      <c r="O196" s="33">
        <f>M196+N196</f>
        <v>0</v>
      </c>
      <c r="P196" s="34">
        <v>0</v>
      </c>
      <c r="Q196" s="35">
        <f>O196+P196</f>
        <v>0</v>
      </c>
      <c r="R196" s="29">
        <v>0</v>
      </c>
      <c r="S196" s="36">
        <v>0</v>
      </c>
      <c r="T196" s="33">
        <f>R196+S196</f>
        <v>0</v>
      </c>
      <c r="U196" s="34">
        <v>0</v>
      </c>
      <c r="V196" s="31">
        <f>T196+U196</f>
        <v>0</v>
      </c>
      <c r="W196" s="32">
        <f>IF(Q196=0,0,((V196/Q196)-1)*100)</f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47"/>
      <c r="L197" s="4" t="s">
        <v>20</v>
      </c>
      <c r="M197" s="29">
        <v>0</v>
      </c>
      <c r="N197" s="36">
        <v>0</v>
      </c>
      <c r="O197" s="33">
        <f>M197+N197</f>
        <v>0</v>
      </c>
      <c r="P197" s="34">
        <v>0</v>
      </c>
      <c r="Q197" s="35">
        <f>O197+P197</f>
        <v>0</v>
      </c>
      <c r="R197" s="29">
        <v>0</v>
      </c>
      <c r="S197" s="36">
        <v>0</v>
      </c>
      <c r="T197" s="33">
        <f>R197+S197</f>
        <v>0</v>
      </c>
      <c r="U197" s="34">
        <v>0</v>
      </c>
      <c r="V197" s="31">
        <f>T197+U197</f>
        <v>0</v>
      </c>
      <c r="W197" s="32">
        <f t="shared" si="94"/>
        <v>0</v>
      </c>
    </row>
    <row r="198" spans="1:23" ht="14.25" thickBot="1" thickTop="1">
      <c r="A198" s="70"/>
      <c r="B198" s="232"/>
      <c r="C198" s="233"/>
      <c r="D198" s="233"/>
      <c r="E198" s="233"/>
      <c r="F198" s="233"/>
      <c r="G198" s="233"/>
      <c r="H198" s="233"/>
      <c r="I198" s="276"/>
      <c r="J198" s="70"/>
      <c r="L198" s="44" t="s">
        <v>21</v>
      </c>
      <c r="M198" s="40">
        <f aca="true" t="shared" si="95" ref="M198:V198">M197+M196+M195</f>
        <v>0</v>
      </c>
      <c r="N198" s="41">
        <f t="shared" si="95"/>
        <v>0</v>
      </c>
      <c r="O198" s="40">
        <f t="shared" si="95"/>
        <v>0</v>
      </c>
      <c r="P198" s="40">
        <f t="shared" si="95"/>
        <v>0</v>
      </c>
      <c r="Q198" s="40">
        <f t="shared" si="95"/>
        <v>0</v>
      </c>
      <c r="R198" s="40">
        <f t="shared" si="95"/>
        <v>0</v>
      </c>
      <c r="S198" s="41">
        <f t="shared" si="95"/>
        <v>0</v>
      </c>
      <c r="T198" s="40">
        <f t="shared" si="95"/>
        <v>0</v>
      </c>
      <c r="U198" s="40">
        <f t="shared" si="95"/>
        <v>0</v>
      </c>
      <c r="V198" s="42">
        <f t="shared" si="95"/>
        <v>0</v>
      </c>
      <c r="W198" s="54">
        <f t="shared" si="94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47"/>
      <c r="L199" s="4" t="s">
        <v>22</v>
      </c>
      <c r="M199" s="29">
        <v>0</v>
      </c>
      <c r="N199" s="36">
        <v>0</v>
      </c>
      <c r="O199" s="33">
        <f>M199+N199</f>
        <v>0</v>
      </c>
      <c r="P199" s="34">
        <v>0</v>
      </c>
      <c r="Q199" s="35">
        <f>O199+P199</f>
        <v>0</v>
      </c>
      <c r="R199" s="29">
        <v>0</v>
      </c>
      <c r="S199" s="36">
        <v>0</v>
      </c>
      <c r="T199" s="33">
        <f>R199+S199</f>
        <v>0</v>
      </c>
      <c r="U199" s="34">
        <v>0</v>
      </c>
      <c r="V199" s="31">
        <f>T199+U199</f>
        <v>0</v>
      </c>
      <c r="W199" s="32">
        <f t="shared" si="94"/>
        <v>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47"/>
      <c r="L200" s="4" t="s">
        <v>23</v>
      </c>
      <c r="M200" s="29">
        <v>0</v>
      </c>
      <c r="N200" s="36">
        <v>0</v>
      </c>
      <c r="O200" s="33">
        <f>M200+N200</f>
        <v>0</v>
      </c>
      <c r="P200" s="34">
        <v>0</v>
      </c>
      <c r="Q200" s="35">
        <f>O200+P200</f>
        <v>0</v>
      </c>
      <c r="R200" s="29">
        <v>0</v>
      </c>
      <c r="S200" s="36">
        <v>0</v>
      </c>
      <c r="T200" s="33">
        <f>R200+S200</f>
        <v>0</v>
      </c>
      <c r="U200" s="34">
        <v>0</v>
      </c>
      <c r="V200" s="31">
        <f>T200+U200</f>
        <v>0</v>
      </c>
      <c r="W200" s="32">
        <f t="shared" si="94"/>
        <v>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47"/>
      <c r="L201" s="4" t="s">
        <v>24</v>
      </c>
      <c r="M201" s="29">
        <v>0</v>
      </c>
      <c r="N201" s="36">
        <v>0</v>
      </c>
      <c r="O201" s="51">
        <f>M201+N201</f>
        <v>0</v>
      </c>
      <c r="P201" s="52">
        <v>0</v>
      </c>
      <c r="Q201" s="35">
        <f>O201+P201</f>
        <v>0</v>
      </c>
      <c r="R201" s="29">
        <v>0</v>
      </c>
      <c r="S201" s="36">
        <v>0</v>
      </c>
      <c r="T201" s="51">
        <f>R201+S201</f>
        <v>0</v>
      </c>
      <c r="U201" s="52">
        <v>0</v>
      </c>
      <c r="V201" s="31">
        <f>T201+U201</f>
        <v>0</v>
      </c>
      <c r="W201" s="32">
        <f t="shared" si="94"/>
        <v>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47"/>
      <c r="L202" s="44" t="s">
        <v>25</v>
      </c>
      <c r="M202" s="45">
        <f aca="true" t="shared" si="96" ref="M202:V202">+M199+M200+M201</f>
        <v>0</v>
      </c>
      <c r="N202" s="45">
        <f t="shared" si="96"/>
        <v>0</v>
      </c>
      <c r="O202" s="47">
        <f t="shared" si="96"/>
        <v>0</v>
      </c>
      <c r="P202" s="47">
        <f t="shared" si="96"/>
        <v>0</v>
      </c>
      <c r="Q202" s="47">
        <f t="shared" si="96"/>
        <v>0</v>
      </c>
      <c r="R202" s="45">
        <f t="shared" si="96"/>
        <v>0</v>
      </c>
      <c r="S202" s="45">
        <f t="shared" si="96"/>
        <v>0</v>
      </c>
      <c r="T202" s="47">
        <f t="shared" si="96"/>
        <v>0</v>
      </c>
      <c r="U202" s="47">
        <f t="shared" si="96"/>
        <v>0</v>
      </c>
      <c r="V202" s="47">
        <f t="shared" si="96"/>
        <v>0</v>
      </c>
      <c r="W202" s="54">
        <f t="shared" si="94"/>
        <v>0</v>
      </c>
    </row>
    <row r="203" spans="2:27" s="100" customFormat="1" ht="12.75" customHeight="1" thickTop="1">
      <c r="B203" s="229"/>
      <c r="C203" s="229"/>
      <c r="D203" s="229"/>
      <c r="E203" s="229"/>
      <c r="F203" s="229"/>
      <c r="G203" s="229"/>
      <c r="H203" s="229"/>
      <c r="I203" s="282"/>
      <c r="L203" s="101" t="s">
        <v>27</v>
      </c>
      <c r="M203" s="102">
        <v>0</v>
      </c>
      <c r="N203" s="103">
        <v>0</v>
      </c>
      <c r="O203" s="115">
        <f>M203+N203</f>
        <v>0</v>
      </c>
      <c r="P203" s="116">
        <v>0</v>
      </c>
      <c r="Q203" s="106">
        <f>O203+P203</f>
        <v>0</v>
      </c>
      <c r="R203" s="102">
        <v>0</v>
      </c>
      <c r="S203" s="103">
        <v>0</v>
      </c>
      <c r="T203" s="115">
        <f>R203+S203</f>
        <v>0</v>
      </c>
      <c r="U203" s="116">
        <v>0</v>
      </c>
      <c r="V203" s="107">
        <f>T203+U203</f>
        <v>0</v>
      </c>
      <c r="W203" s="32">
        <f t="shared" si="94"/>
        <v>0</v>
      </c>
      <c r="X203" s="303"/>
      <c r="AA203" s="305"/>
    </row>
    <row r="204" spans="2:27" s="100" customFormat="1" ht="12.75" customHeight="1">
      <c r="B204" s="228"/>
      <c r="C204" s="228"/>
      <c r="D204" s="228"/>
      <c r="E204" s="228"/>
      <c r="F204" s="228"/>
      <c r="G204" s="228"/>
      <c r="H204" s="228"/>
      <c r="I204" s="248"/>
      <c r="L204" s="101" t="s">
        <v>28</v>
      </c>
      <c r="M204" s="102">
        <v>0</v>
      </c>
      <c r="N204" s="103">
        <v>0</v>
      </c>
      <c r="O204" s="115">
        <f>M204+N204</f>
        <v>0</v>
      </c>
      <c r="P204" s="105">
        <v>0</v>
      </c>
      <c r="Q204" s="106">
        <f>O204+P204</f>
        <v>0</v>
      </c>
      <c r="R204" s="102">
        <v>0</v>
      </c>
      <c r="S204" s="103">
        <v>0</v>
      </c>
      <c r="T204" s="115">
        <f>R204+S204</f>
        <v>0</v>
      </c>
      <c r="U204" s="105">
        <v>0</v>
      </c>
      <c r="V204" s="107">
        <f>T204+U204</f>
        <v>0</v>
      </c>
      <c r="W204" s="32">
        <f>IF(Q204=0,0,((V204/Q204)-1)*100)</f>
        <v>0</v>
      </c>
      <c r="X204" s="303"/>
      <c r="AA204" s="305"/>
    </row>
    <row r="205" spans="2:27" s="100" customFormat="1" ht="12.75" customHeight="1" thickBot="1">
      <c r="B205" s="228"/>
      <c r="C205" s="228"/>
      <c r="D205" s="228"/>
      <c r="E205" s="228"/>
      <c r="F205" s="228"/>
      <c r="G205" s="228"/>
      <c r="H205" s="228"/>
      <c r="I205" s="248"/>
      <c r="L205" s="101" t="s">
        <v>29</v>
      </c>
      <c r="M205" s="102">
        <v>0</v>
      </c>
      <c r="N205" s="103">
        <v>0</v>
      </c>
      <c r="O205" s="115">
        <f>M205+N205</f>
        <v>0</v>
      </c>
      <c r="P205" s="117">
        <v>0</v>
      </c>
      <c r="Q205" s="106">
        <f>O205+P205</f>
        <v>0</v>
      </c>
      <c r="R205" s="102">
        <v>0</v>
      </c>
      <c r="S205" s="103">
        <v>0</v>
      </c>
      <c r="T205" s="115">
        <f>R205+S205</f>
        <v>0</v>
      </c>
      <c r="U205" s="117">
        <v>0</v>
      </c>
      <c r="V205" s="107">
        <f>T205+U205</f>
        <v>0</v>
      </c>
      <c r="W205" s="32">
        <f t="shared" si="94"/>
        <v>0</v>
      </c>
      <c r="X205" s="303"/>
      <c r="AA205" s="305"/>
    </row>
    <row r="206" spans="2:27" s="100" customFormat="1" ht="12.75" customHeight="1" thickBot="1" thickTop="1">
      <c r="B206" s="228"/>
      <c r="C206" s="228"/>
      <c r="D206" s="228"/>
      <c r="E206" s="228"/>
      <c r="F206" s="228"/>
      <c r="G206" s="228"/>
      <c r="H206" s="228"/>
      <c r="I206" s="248"/>
      <c r="L206" s="110" t="s">
        <v>30</v>
      </c>
      <c r="M206" s="111">
        <f aca="true" t="shared" si="97" ref="M206:V206">+M203+M204+M205</f>
        <v>0</v>
      </c>
      <c r="N206" s="112">
        <f t="shared" si="97"/>
        <v>0</v>
      </c>
      <c r="O206" s="111">
        <f t="shared" si="97"/>
        <v>0</v>
      </c>
      <c r="P206" s="111">
        <f t="shared" si="97"/>
        <v>0</v>
      </c>
      <c r="Q206" s="114">
        <f t="shared" si="97"/>
        <v>0</v>
      </c>
      <c r="R206" s="111">
        <f t="shared" si="97"/>
        <v>0</v>
      </c>
      <c r="S206" s="112">
        <f t="shared" si="97"/>
        <v>0</v>
      </c>
      <c r="T206" s="111">
        <f t="shared" si="97"/>
        <v>0</v>
      </c>
      <c r="U206" s="111">
        <f t="shared" si="97"/>
        <v>0</v>
      </c>
      <c r="V206" s="114">
        <f t="shared" si="97"/>
        <v>0</v>
      </c>
      <c r="W206" s="54">
        <f t="shared" si="94"/>
        <v>0</v>
      </c>
      <c r="X206" s="303"/>
      <c r="AA206" s="305"/>
    </row>
    <row r="207" spans="1:23" ht="14.25" thickBot="1" thickTop="1">
      <c r="A207" s="220"/>
      <c r="B207" s="232"/>
      <c r="C207" s="233"/>
      <c r="D207" s="233"/>
      <c r="E207" s="233"/>
      <c r="F207" s="233"/>
      <c r="G207" s="233"/>
      <c r="H207" s="233"/>
      <c r="I207" s="276"/>
      <c r="J207" s="220"/>
      <c r="L207" s="39" t="s">
        <v>66</v>
      </c>
      <c r="M207" s="40">
        <f aca="true" t="shared" si="98" ref="M207:V207">+M198+M202+M206</f>
        <v>0</v>
      </c>
      <c r="N207" s="41">
        <f t="shared" si="98"/>
        <v>0</v>
      </c>
      <c r="O207" s="40">
        <f t="shared" si="98"/>
        <v>0</v>
      </c>
      <c r="P207" s="40">
        <f t="shared" si="98"/>
        <v>0</v>
      </c>
      <c r="Q207" s="40">
        <f t="shared" si="98"/>
        <v>0</v>
      </c>
      <c r="R207" s="40">
        <f t="shared" si="98"/>
        <v>0</v>
      </c>
      <c r="S207" s="41">
        <f t="shared" si="98"/>
        <v>0</v>
      </c>
      <c r="T207" s="40">
        <f t="shared" si="98"/>
        <v>0</v>
      </c>
      <c r="U207" s="40">
        <f t="shared" si="98"/>
        <v>0</v>
      </c>
      <c r="V207" s="42">
        <f t="shared" si="98"/>
        <v>0</v>
      </c>
      <c r="W207" s="54">
        <f t="shared" si="94"/>
        <v>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47"/>
      <c r="L208" s="39" t="s">
        <v>9</v>
      </c>
      <c r="M208" s="40">
        <f aca="true" t="shared" si="99" ref="M208:V208">M198+M202+M206+M194</f>
        <v>0</v>
      </c>
      <c r="N208" s="41">
        <f t="shared" si="99"/>
        <v>0</v>
      </c>
      <c r="O208" s="40">
        <f t="shared" si="99"/>
        <v>0</v>
      </c>
      <c r="P208" s="40">
        <f t="shared" si="99"/>
        <v>0</v>
      </c>
      <c r="Q208" s="40">
        <f t="shared" si="99"/>
        <v>0</v>
      </c>
      <c r="R208" s="40">
        <f t="shared" si="99"/>
        <v>0</v>
      </c>
      <c r="S208" s="41">
        <f t="shared" si="99"/>
        <v>0</v>
      </c>
      <c r="T208" s="40">
        <f t="shared" si="99"/>
        <v>0</v>
      </c>
      <c r="U208" s="40">
        <f t="shared" si="99"/>
        <v>0</v>
      </c>
      <c r="V208" s="40">
        <f t="shared" si="99"/>
        <v>0</v>
      </c>
      <c r="W208" s="54">
        <f t="shared" si="94"/>
        <v>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47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47"/>
      <c r="L210" s="336" t="s">
        <v>55</v>
      </c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</row>
    <row r="211" spans="2:23" ht="15.75">
      <c r="B211" s="70"/>
      <c r="C211" s="70"/>
      <c r="D211" s="70"/>
      <c r="E211" s="70"/>
      <c r="F211" s="70"/>
      <c r="G211" s="70"/>
      <c r="H211" s="70"/>
      <c r="I211" s="247"/>
      <c r="L211" s="337" t="s">
        <v>56</v>
      </c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47"/>
      <c r="W212" s="242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47"/>
      <c r="L213" s="3"/>
      <c r="M213" s="347" t="s">
        <v>67</v>
      </c>
      <c r="N213" s="348"/>
      <c r="O213" s="348"/>
      <c r="P213" s="348"/>
      <c r="Q213" s="349"/>
      <c r="R213" s="338" t="s">
        <v>68</v>
      </c>
      <c r="S213" s="339"/>
      <c r="T213" s="339"/>
      <c r="U213" s="339"/>
      <c r="V213" s="340"/>
      <c r="W213" s="239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47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0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47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1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47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07"/>
    </row>
    <row r="217" spans="2:23" ht="12.75">
      <c r="B217" s="70"/>
      <c r="C217" s="70"/>
      <c r="D217" s="70"/>
      <c r="E217" s="70"/>
      <c r="F217" s="70"/>
      <c r="G217" s="70"/>
      <c r="H217" s="70"/>
      <c r="I217" s="247"/>
      <c r="L217" s="4" t="s">
        <v>14</v>
      </c>
      <c r="M217" s="29">
        <f aca="true" t="shared" si="100" ref="M217:V217">+M165+M191</f>
        <v>0</v>
      </c>
      <c r="N217" s="36">
        <f t="shared" si="100"/>
        <v>0</v>
      </c>
      <c r="O217" s="33">
        <f t="shared" si="100"/>
        <v>0</v>
      </c>
      <c r="P217" s="34">
        <f t="shared" si="100"/>
        <v>0</v>
      </c>
      <c r="Q217" s="35">
        <f t="shared" si="100"/>
        <v>0</v>
      </c>
      <c r="R217" s="29">
        <f t="shared" si="100"/>
        <v>0</v>
      </c>
      <c r="S217" s="36">
        <f t="shared" si="100"/>
        <v>0</v>
      </c>
      <c r="T217" s="33">
        <f t="shared" si="100"/>
        <v>0</v>
      </c>
      <c r="U217" s="34">
        <f t="shared" si="100"/>
        <v>0</v>
      </c>
      <c r="V217" s="31">
        <f t="shared" si="100"/>
        <v>0</v>
      </c>
      <c r="W217" s="32">
        <f aca="true" t="shared" si="101" ref="W217:W234">IF(Q217=0,0,((V217/Q217)-1)*100)</f>
        <v>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47"/>
      <c r="L218" s="4" t="s">
        <v>15</v>
      </c>
      <c r="M218" s="29">
        <f>+M192+M166</f>
        <v>0</v>
      </c>
      <c r="N218" s="36">
        <f>+N192+N166</f>
        <v>0</v>
      </c>
      <c r="O218" s="33">
        <f>+O166+O192</f>
        <v>0</v>
      </c>
      <c r="P218" s="34">
        <f>+P192+P166</f>
        <v>0</v>
      </c>
      <c r="Q218" s="35">
        <f>+Q192+Q166</f>
        <v>0</v>
      </c>
      <c r="R218" s="29">
        <f aca="true" t="shared" si="102" ref="R218:V219">+R166+R192</f>
        <v>0</v>
      </c>
      <c r="S218" s="36">
        <f t="shared" si="102"/>
        <v>0</v>
      </c>
      <c r="T218" s="33">
        <f t="shared" si="102"/>
        <v>0</v>
      </c>
      <c r="U218" s="34">
        <f t="shared" si="102"/>
        <v>0</v>
      </c>
      <c r="V218" s="31">
        <f t="shared" si="102"/>
        <v>0</v>
      </c>
      <c r="W218" s="32">
        <f t="shared" si="101"/>
        <v>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47"/>
      <c r="L219" s="12" t="s">
        <v>16</v>
      </c>
      <c r="M219" s="29">
        <f>+M193+M167</f>
        <v>0</v>
      </c>
      <c r="N219" s="36">
        <f>+N193+N167</f>
        <v>0</v>
      </c>
      <c r="O219" s="33">
        <f>+O167+O193</f>
        <v>0</v>
      </c>
      <c r="P219" s="34">
        <f>+P193+P167</f>
        <v>0</v>
      </c>
      <c r="Q219" s="35">
        <f>+Q193+Q167</f>
        <v>0</v>
      </c>
      <c r="R219" s="29">
        <f t="shared" si="102"/>
        <v>0</v>
      </c>
      <c r="S219" s="36">
        <f t="shared" si="102"/>
        <v>0</v>
      </c>
      <c r="T219" s="33">
        <f t="shared" si="102"/>
        <v>0</v>
      </c>
      <c r="U219" s="34">
        <f t="shared" si="102"/>
        <v>0</v>
      </c>
      <c r="V219" s="31">
        <f t="shared" si="102"/>
        <v>0</v>
      </c>
      <c r="W219" s="32">
        <f t="shared" si="101"/>
        <v>0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47"/>
      <c r="L220" s="39" t="s">
        <v>17</v>
      </c>
      <c r="M220" s="40">
        <f aca="true" t="shared" si="103" ref="M220:V220">+M217+M218+M219</f>
        <v>0</v>
      </c>
      <c r="N220" s="41">
        <f t="shared" si="103"/>
        <v>0</v>
      </c>
      <c r="O220" s="40">
        <f t="shared" si="103"/>
        <v>0</v>
      </c>
      <c r="P220" s="40">
        <f t="shared" si="103"/>
        <v>0</v>
      </c>
      <c r="Q220" s="40">
        <f t="shared" si="103"/>
        <v>0</v>
      </c>
      <c r="R220" s="40">
        <f t="shared" si="103"/>
        <v>0</v>
      </c>
      <c r="S220" s="41">
        <f t="shared" si="103"/>
        <v>0</v>
      </c>
      <c r="T220" s="40">
        <f t="shared" si="103"/>
        <v>0</v>
      </c>
      <c r="U220" s="40">
        <f t="shared" si="103"/>
        <v>0</v>
      </c>
      <c r="V220" s="42">
        <f t="shared" si="103"/>
        <v>0</v>
      </c>
      <c r="W220" s="54">
        <f t="shared" si="101"/>
        <v>0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47"/>
      <c r="L221" s="4" t="s">
        <v>18</v>
      </c>
      <c r="M221" s="29">
        <f aca="true" t="shared" si="104" ref="M221:V221">+M169+M195</f>
        <v>0</v>
      </c>
      <c r="N221" s="36">
        <f t="shared" si="104"/>
        <v>0</v>
      </c>
      <c r="O221" s="33">
        <f t="shared" si="104"/>
        <v>0</v>
      </c>
      <c r="P221" s="34">
        <f t="shared" si="104"/>
        <v>0</v>
      </c>
      <c r="Q221" s="35">
        <f t="shared" si="104"/>
        <v>0</v>
      </c>
      <c r="R221" s="29">
        <f t="shared" si="104"/>
        <v>0</v>
      </c>
      <c r="S221" s="36">
        <f t="shared" si="104"/>
        <v>0</v>
      </c>
      <c r="T221" s="33">
        <f t="shared" si="104"/>
        <v>0</v>
      </c>
      <c r="U221" s="34">
        <f t="shared" si="104"/>
        <v>0</v>
      </c>
      <c r="V221" s="31">
        <f t="shared" si="104"/>
        <v>0</v>
      </c>
      <c r="W221" s="32">
        <f t="shared" si="101"/>
        <v>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47"/>
      <c r="L222" s="4" t="s">
        <v>19</v>
      </c>
      <c r="M222" s="29">
        <f>+M196+M170</f>
        <v>0</v>
      </c>
      <c r="N222" s="36">
        <f>+N196+N170</f>
        <v>0</v>
      </c>
      <c r="O222" s="33">
        <f>+O170+O196</f>
        <v>0</v>
      </c>
      <c r="P222" s="34">
        <f>+P196+P170</f>
        <v>0</v>
      </c>
      <c r="Q222" s="35">
        <f>+Q196+Q170</f>
        <v>0</v>
      </c>
      <c r="R222" s="29">
        <f>+R170+R196</f>
        <v>0</v>
      </c>
      <c r="S222" s="36">
        <f>+S170+S196</f>
        <v>0</v>
      </c>
      <c r="T222" s="33">
        <f>+T196+T170</f>
        <v>0</v>
      </c>
      <c r="U222" s="34">
        <f>+U170+U196</f>
        <v>0</v>
      </c>
      <c r="V222" s="31">
        <f>+V170+V196</f>
        <v>0</v>
      </c>
      <c r="W222" s="32">
        <f>IF(Q222=0,0,((V222/Q222)-1)*100)</f>
        <v>0</v>
      </c>
    </row>
    <row r="223" spans="2:23" ht="15" customHeight="1" thickBot="1">
      <c r="B223" s="70"/>
      <c r="C223" s="70"/>
      <c r="D223" s="70"/>
      <c r="E223" s="70"/>
      <c r="F223" s="70"/>
      <c r="G223" s="70"/>
      <c r="H223" s="70"/>
      <c r="I223" s="247"/>
      <c r="L223" s="4" t="s">
        <v>20</v>
      </c>
      <c r="M223" s="29">
        <f>+M171+M197</f>
        <v>0</v>
      </c>
      <c r="N223" s="36">
        <f>+N171+N197</f>
        <v>0</v>
      </c>
      <c r="O223" s="33">
        <f>+O171+O197</f>
        <v>0</v>
      </c>
      <c r="P223" s="34">
        <f>+P171+P197</f>
        <v>0</v>
      </c>
      <c r="Q223" s="35">
        <f>+Q171+Q197</f>
        <v>0</v>
      </c>
      <c r="R223" s="29">
        <f>+R171+R197</f>
        <v>0</v>
      </c>
      <c r="S223" s="36">
        <f>+S171+S197</f>
        <v>0</v>
      </c>
      <c r="T223" s="33">
        <f>+T171+T197</f>
        <v>0</v>
      </c>
      <c r="U223" s="34">
        <f>+U171+U197</f>
        <v>0</v>
      </c>
      <c r="V223" s="31">
        <f>+V171+V197</f>
        <v>0</v>
      </c>
      <c r="W223" s="32">
        <f t="shared" si="101"/>
        <v>0</v>
      </c>
    </row>
    <row r="224" spans="1:23" ht="14.25" thickBot="1" thickTop="1">
      <c r="A224" s="70"/>
      <c r="B224" s="232"/>
      <c r="C224" s="233"/>
      <c r="D224" s="233"/>
      <c r="E224" s="233"/>
      <c r="F224" s="233"/>
      <c r="G224" s="233"/>
      <c r="H224" s="233"/>
      <c r="I224" s="276"/>
      <c r="J224" s="70"/>
      <c r="L224" s="44" t="s">
        <v>21</v>
      </c>
      <c r="M224" s="40">
        <f aca="true" t="shared" si="105" ref="M224:V224">M223+M222+M221</f>
        <v>0</v>
      </c>
      <c r="N224" s="41">
        <f t="shared" si="105"/>
        <v>0</v>
      </c>
      <c r="O224" s="40">
        <f t="shared" si="105"/>
        <v>0</v>
      </c>
      <c r="P224" s="40">
        <f t="shared" si="105"/>
        <v>0</v>
      </c>
      <c r="Q224" s="40">
        <f t="shared" si="105"/>
        <v>0</v>
      </c>
      <c r="R224" s="40">
        <f t="shared" si="105"/>
        <v>0</v>
      </c>
      <c r="S224" s="41">
        <f t="shared" si="105"/>
        <v>0</v>
      </c>
      <c r="T224" s="40">
        <f t="shared" si="105"/>
        <v>0</v>
      </c>
      <c r="U224" s="40">
        <f t="shared" si="105"/>
        <v>0</v>
      </c>
      <c r="V224" s="42">
        <f t="shared" si="105"/>
        <v>0</v>
      </c>
      <c r="W224" s="54">
        <f t="shared" si="101"/>
        <v>0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47"/>
      <c r="L225" s="4" t="s">
        <v>22</v>
      </c>
      <c r="M225" s="29">
        <f aca="true" t="shared" si="106" ref="M225:V225">+M173+M199</f>
        <v>0</v>
      </c>
      <c r="N225" s="36">
        <f t="shared" si="106"/>
        <v>0</v>
      </c>
      <c r="O225" s="33">
        <f t="shared" si="106"/>
        <v>0</v>
      </c>
      <c r="P225" s="34">
        <f t="shared" si="106"/>
        <v>0</v>
      </c>
      <c r="Q225" s="35">
        <f t="shared" si="106"/>
        <v>0</v>
      </c>
      <c r="R225" s="93">
        <f t="shared" si="106"/>
        <v>0</v>
      </c>
      <c r="S225" s="92">
        <f t="shared" si="106"/>
        <v>0</v>
      </c>
      <c r="T225" s="33">
        <f t="shared" si="106"/>
        <v>0</v>
      </c>
      <c r="U225" s="34">
        <f t="shared" si="106"/>
        <v>0</v>
      </c>
      <c r="V225" s="31">
        <f t="shared" si="106"/>
        <v>0</v>
      </c>
      <c r="W225" s="32">
        <f t="shared" si="101"/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47"/>
      <c r="L226" s="4" t="s">
        <v>23</v>
      </c>
      <c r="M226" s="29">
        <f>+M200+M174</f>
        <v>0</v>
      </c>
      <c r="N226" s="36">
        <f>+N200+N174</f>
        <v>0</v>
      </c>
      <c r="O226" s="33">
        <f>+O174+O200</f>
        <v>0</v>
      </c>
      <c r="P226" s="34">
        <f>+P200+P174</f>
        <v>0</v>
      </c>
      <c r="Q226" s="35">
        <f>+Q200+Q174</f>
        <v>0</v>
      </c>
      <c r="R226" s="29">
        <f aca="true" t="shared" si="107" ref="R226:V227">+R174+R200</f>
        <v>0</v>
      </c>
      <c r="S226" s="36">
        <f t="shared" si="107"/>
        <v>0</v>
      </c>
      <c r="T226" s="33">
        <f t="shared" si="107"/>
        <v>0</v>
      </c>
      <c r="U226" s="34">
        <f t="shared" si="107"/>
        <v>0</v>
      </c>
      <c r="V226" s="31">
        <f t="shared" si="107"/>
        <v>0</v>
      </c>
      <c r="W226" s="32">
        <f t="shared" si="101"/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47"/>
      <c r="L227" s="4" t="s">
        <v>24</v>
      </c>
      <c r="M227" s="29">
        <f>+M201+M175</f>
        <v>0</v>
      </c>
      <c r="N227" s="36">
        <f>+N201+N175</f>
        <v>0</v>
      </c>
      <c r="O227" s="33">
        <f>+O175+O201</f>
        <v>0</v>
      </c>
      <c r="P227" s="34">
        <f>+P201+P175</f>
        <v>0</v>
      </c>
      <c r="Q227" s="35">
        <f>+Q201+Q175</f>
        <v>0</v>
      </c>
      <c r="R227" s="29">
        <f t="shared" si="107"/>
        <v>0</v>
      </c>
      <c r="S227" s="36">
        <f t="shared" si="107"/>
        <v>0</v>
      </c>
      <c r="T227" s="33">
        <f t="shared" si="107"/>
        <v>0</v>
      </c>
      <c r="U227" s="34">
        <f t="shared" si="107"/>
        <v>0</v>
      </c>
      <c r="V227" s="31">
        <f t="shared" si="107"/>
        <v>0</v>
      </c>
      <c r="W227" s="32">
        <f t="shared" si="101"/>
        <v>0</v>
      </c>
    </row>
    <row r="228" spans="1:23" ht="14.25" thickBot="1" thickTop="1">
      <c r="A228" s="220"/>
      <c r="B228" s="232"/>
      <c r="C228" s="233"/>
      <c r="D228" s="233"/>
      <c r="E228" s="233"/>
      <c r="F228" s="233"/>
      <c r="G228" s="233"/>
      <c r="H228" s="233"/>
      <c r="I228" s="276"/>
      <c r="J228" s="220"/>
      <c r="L228" s="44" t="s">
        <v>25</v>
      </c>
      <c r="M228" s="40">
        <f aca="true" t="shared" si="108" ref="M228:V228">+M225+M226+M227</f>
        <v>0</v>
      </c>
      <c r="N228" s="41">
        <f t="shared" si="108"/>
        <v>0</v>
      </c>
      <c r="O228" s="40">
        <f t="shared" si="108"/>
        <v>0</v>
      </c>
      <c r="P228" s="40">
        <f t="shared" si="108"/>
        <v>0</v>
      </c>
      <c r="Q228" s="40">
        <f t="shared" si="108"/>
        <v>0</v>
      </c>
      <c r="R228" s="40">
        <f t="shared" si="108"/>
        <v>0</v>
      </c>
      <c r="S228" s="41">
        <f t="shared" si="108"/>
        <v>0</v>
      </c>
      <c r="T228" s="40">
        <f t="shared" si="108"/>
        <v>0</v>
      </c>
      <c r="U228" s="40">
        <f t="shared" si="108"/>
        <v>0</v>
      </c>
      <c r="V228" s="42">
        <f t="shared" si="108"/>
        <v>0</v>
      </c>
      <c r="W228" s="54">
        <f t="shared" si="101"/>
        <v>0</v>
      </c>
    </row>
    <row r="229" spans="2:27" s="100" customFormat="1" ht="12.75" customHeight="1" thickTop="1">
      <c r="B229" s="229"/>
      <c r="C229" s="229"/>
      <c r="D229" s="229"/>
      <c r="E229" s="229"/>
      <c r="F229" s="229"/>
      <c r="G229" s="229"/>
      <c r="H229" s="229"/>
      <c r="I229" s="282"/>
      <c r="L229" s="101" t="s">
        <v>27</v>
      </c>
      <c r="M229" s="102">
        <f>+M177+M203</f>
        <v>0</v>
      </c>
      <c r="N229" s="103">
        <f>+N177+N203</f>
        <v>0</v>
      </c>
      <c r="O229" s="104">
        <f>+O177+O203</f>
        <v>0</v>
      </c>
      <c r="P229" s="105">
        <f aca="true" t="shared" si="109" ref="P229:Q231">+P203+P177</f>
        <v>0</v>
      </c>
      <c r="Q229" s="106">
        <f t="shared" si="109"/>
        <v>0</v>
      </c>
      <c r="R229" s="102">
        <f aca="true" t="shared" si="110" ref="R229:V231">+R177+R203</f>
        <v>0</v>
      </c>
      <c r="S229" s="103">
        <f t="shared" si="110"/>
        <v>0</v>
      </c>
      <c r="T229" s="115">
        <f t="shared" si="110"/>
        <v>0</v>
      </c>
      <c r="U229" s="116">
        <f t="shared" si="110"/>
        <v>0</v>
      </c>
      <c r="V229" s="107">
        <f t="shared" si="110"/>
        <v>0</v>
      </c>
      <c r="W229" s="108">
        <f t="shared" si="101"/>
        <v>0</v>
      </c>
      <c r="X229" s="303"/>
      <c r="AA229" s="305"/>
    </row>
    <row r="230" spans="2:27" s="100" customFormat="1" ht="12.75" customHeight="1">
      <c r="B230" s="228"/>
      <c r="C230" s="228"/>
      <c r="D230" s="228"/>
      <c r="E230" s="228"/>
      <c r="F230" s="228"/>
      <c r="G230" s="228"/>
      <c r="H230" s="228"/>
      <c r="I230" s="248"/>
      <c r="L230" s="101" t="s">
        <v>28</v>
      </c>
      <c r="M230" s="102">
        <f>+M204+M178</f>
        <v>0</v>
      </c>
      <c r="N230" s="103">
        <f>+N204+N178</f>
        <v>0</v>
      </c>
      <c r="O230" s="104">
        <f>+O178+O204</f>
        <v>0</v>
      </c>
      <c r="P230" s="105">
        <f t="shared" si="109"/>
        <v>0</v>
      </c>
      <c r="Q230" s="106">
        <f t="shared" si="109"/>
        <v>0</v>
      </c>
      <c r="R230" s="102">
        <f t="shared" si="110"/>
        <v>0</v>
      </c>
      <c r="S230" s="103">
        <f t="shared" si="110"/>
        <v>0</v>
      </c>
      <c r="T230" s="115">
        <f t="shared" si="110"/>
        <v>0</v>
      </c>
      <c r="U230" s="105">
        <f t="shared" si="110"/>
        <v>0</v>
      </c>
      <c r="V230" s="107">
        <f t="shared" si="110"/>
        <v>0</v>
      </c>
      <c r="W230" s="108">
        <f>IF(Q230=0,0,((V230/Q230)-1)*100)</f>
        <v>0</v>
      </c>
      <c r="X230" s="303"/>
      <c r="AA230" s="305"/>
    </row>
    <row r="231" spans="2:27" s="100" customFormat="1" ht="12.75" customHeight="1" thickBot="1">
      <c r="B231" s="228"/>
      <c r="C231" s="228"/>
      <c r="D231" s="228"/>
      <c r="E231" s="228"/>
      <c r="F231" s="228"/>
      <c r="G231" s="228"/>
      <c r="H231" s="228"/>
      <c r="I231" s="248"/>
      <c r="L231" s="101" t="s">
        <v>29</v>
      </c>
      <c r="M231" s="102">
        <f>+M205+M179</f>
        <v>0</v>
      </c>
      <c r="N231" s="103">
        <f>+N205+N179</f>
        <v>0</v>
      </c>
      <c r="O231" s="104">
        <f>+O179+O205</f>
        <v>0</v>
      </c>
      <c r="P231" s="117">
        <f t="shared" si="109"/>
        <v>0</v>
      </c>
      <c r="Q231" s="106">
        <f t="shared" si="109"/>
        <v>0</v>
      </c>
      <c r="R231" s="102">
        <f t="shared" si="110"/>
        <v>0</v>
      </c>
      <c r="S231" s="103">
        <f t="shared" si="110"/>
        <v>0</v>
      </c>
      <c r="T231" s="115">
        <f t="shared" si="110"/>
        <v>0</v>
      </c>
      <c r="U231" s="105">
        <f t="shared" si="110"/>
        <v>0</v>
      </c>
      <c r="V231" s="107">
        <f t="shared" si="110"/>
        <v>0</v>
      </c>
      <c r="W231" s="108">
        <f t="shared" si="101"/>
        <v>0</v>
      </c>
      <c r="X231" s="303"/>
      <c r="AA231" s="305"/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47"/>
      <c r="L232" s="39" t="s">
        <v>30</v>
      </c>
      <c r="M232" s="40">
        <f aca="true" t="shared" si="111" ref="M232:V232">+M229+M230+M231</f>
        <v>0</v>
      </c>
      <c r="N232" s="41">
        <f t="shared" si="111"/>
        <v>0</v>
      </c>
      <c r="O232" s="40">
        <f t="shared" si="111"/>
        <v>0</v>
      </c>
      <c r="P232" s="40">
        <f t="shared" si="111"/>
        <v>0</v>
      </c>
      <c r="Q232" s="43">
        <f t="shared" si="111"/>
        <v>0</v>
      </c>
      <c r="R232" s="40">
        <f t="shared" si="111"/>
        <v>0</v>
      </c>
      <c r="S232" s="41">
        <f t="shared" si="111"/>
        <v>0</v>
      </c>
      <c r="T232" s="40">
        <f t="shared" si="111"/>
        <v>0</v>
      </c>
      <c r="U232" s="40">
        <f t="shared" si="111"/>
        <v>0</v>
      </c>
      <c r="V232" s="43">
        <f t="shared" si="111"/>
        <v>0</v>
      </c>
      <c r="W232" s="54">
        <f t="shared" si="101"/>
        <v>0</v>
      </c>
    </row>
    <row r="233" spans="1:23" ht="14.25" thickBot="1" thickTop="1">
      <c r="A233" s="70"/>
      <c r="B233" s="232"/>
      <c r="C233" s="233"/>
      <c r="D233" s="233"/>
      <c r="E233" s="233"/>
      <c r="F233" s="233"/>
      <c r="G233" s="233"/>
      <c r="H233" s="233"/>
      <c r="I233" s="276"/>
      <c r="J233" s="70"/>
      <c r="L233" s="39" t="s">
        <v>66</v>
      </c>
      <c r="M233" s="40">
        <f aca="true" t="shared" si="112" ref="M233:V233">+M224+M228+M232</f>
        <v>0</v>
      </c>
      <c r="N233" s="41">
        <f t="shared" si="112"/>
        <v>0</v>
      </c>
      <c r="O233" s="40">
        <f t="shared" si="112"/>
        <v>0</v>
      </c>
      <c r="P233" s="40">
        <f t="shared" si="112"/>
        <v>0</v>
      </c>
      <c r="Q233" s="40">
        <f t="shared" si="112"/>
        <v>0</v>
      </c>
      <c r="R233" s="40">
        <f t="shared" si="112"/>
        <v>0</v>
      </c>
      <c r="S233" s="41">
        <f t="shared" si="112"/>
        <v>0</v>
      </c>
      <c r="T233" s="40">
        <f t="shared" si="112"/>
        <v>0</v>
      </c>
      <c r="U233" s="40">
        <f t="shared" si="112"/>
        <v>0</v>
      </c>
      <c r="V233" s="42">
        <f t="shared" si="112"/>
        <v>0</v>
      </c>
      <c r="W233" s="54">
        <f t="shared" si="101"/>
        <v>0</v>
      </c>
    </row>
    <row r="234" spans="12:23" ht="14.25" thickBot="1" thickTop="1">
      <c r="L234" s="39" t="s">
        <v>9</v>
      </c>
      <c r="M234" s="40">
        <f aca="true" t="shared" si="113" ref="M234:V234">M224+M228+M232+M220</f>
        <v>0</v>
      </c>
      <c r="N234" s="41">
        <f t="shared" si="113"/>
        <v>0</v>
      </c>
      <c r="O234" s="40">
        <f t="shared" si="113"/>
        <v>0</v>
      </c>
      <c r="P234" s="40">
        <f t="shared" si="113"/>
        <v>0</v>
      </c>
      <c r="Q234" s="40">
        <f t="shared" si="113"/>
        <v>0</v>
      </c>
      <c r="R234" s="40">
        <f t="shared" si="113"/>
        <v>0</v>
      </c>
      <c r="S234" s="41">
        <f t="shared" si="113"/>
        <v>0</v>
      </c>
      <c r="T234" s="40">
        <f t="shared" si="113"/>
        <v>0</v>
      </c>
      <c r="U234" s="40">
        <f t="shared" si="113"/>
        <v>0</v>
      </c>
      <c r="V234" s="40">
        <f t="shared" si="113"/>
        <v>0</v>
      </c>
      <c r="W234" s="54">
        <f t="shared" si="101"/>
        <v>0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B2:I2"/>
    <mergeCell ref="L2:W2"/>
    <mergeCell ref="B3:I3"/>
    <mergeCell ref="L3:W3"/>
    <mergeCell ref="R31:V31"/>
    <mergeCell ref="L29:W29"/>
    <mergeCell ref="C31:E31"/>
    <mergeCell ref="F31:H31"/>
  </mergeCells>
  <printOptions horizontalCentered="1"/>
  <pageMargins left="0.21" right="0.28" top="0.57" bottom="0.61" header="0.31" footer="0.23"/>
  <pageSetup fitToHeight="1" fitToWidth="1" horizontalDpi="600" verticalDpi="600" orientation="landscape" paperSize="9" scale="50" r:id="rId1"/>
  <headerFooter alignWithMargins="0">
    <oddHeader>&amp;LMonthly Air Transport Statistics : Don Mueang International Airport</oddHeader>
    <oddFooter>&amp;LAir Transport Information Division, Corporate Strategy Department&amp;C&amp;D&amp;R&amp;T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A1">
      <selection activeCell="J10" sqref="J10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10.8515625" style="119" customWidth="1"/>
    <col min="24" max="24" width="7.00390625" style="119" bestFit="1" customWidth="1"/>
    <col min="25" max="25" width="6.8515625" style="1" bestFit="1" customWidth="1"/>
    <col min="26" max="26" width="7.00390625" style="1" customWidth="1"/>
    <col min="27" max="27" width="7.00390625" style="304" customWidth="1"/>
    <col min="28" max="16384" width="7.00390625" style="1" customWidth="1"/>
  </cols>
  <sheetData>
    <row r="2" spans="2:23" ht="12.75">
      <c r="B2" s="336" t="s">
        <v>0</v>
      </c>
      <c r="C2" s="336"/>
      <c r="D2" s="336"/>
      <c r="E2" s="336"/>
      <c r="F2" s="336"/>
      <c r="G2" s="336"/>
      <c r="H2" s="336"/>
      <c r="I2" s="336"/>
      <c r="L2" s="336" t="s">
        <v>1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ht="15.75">
      <c r="B3" s="337" t="s">
        <v>2</v>
      </c>
      <c r="C3" s="337"/>
      <c r="D3" s="337"/>
      <c r="E3" s="337"/>
      <c r="F3" s="337"/>
      <c r="G3" s="337"/>
      <c r="H3" s="337"/>
      <c r="I3" s="337"/>
      <c r="L3" s="337" t="s">
        <v>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ht="13.5" thickBot="1"/>
    <row r="5" spans="2:23" ht="17.25" thickBot="1" thickTop="1">
      <c r="B5" s="3"/>
      <c r="C5" s="341" t="s">
        <v>67</v>
      </c>
      <c r="D5" s="342"/>
      <c r="E5" s="343"/>
      <c r="F5" s="344" t="s">
        <v>68</v>
      </c>
      <c r="G5" s="345"/>
      <c r="H5" s="346"/>
      <c r="I5" s="239" t="s">
        <v>4</v>
      </c>
      <c r="L5" s="3"/>
      <c r="M5" s="347" t="s">
        <v>67</v>
      </c>
      <c r="N5" s="348"/>
      <c r="O5" s="348"/>
      <c r="P5" s="348"/>
      <c r="Q5" s="349"/>
      <c r="R5" s="338" t="s">
        <v>68</v>
      </c>
      <c r="S5" s="339"/>
      <c r="T5" s="339"/>
      <c r="U5" s="339"/>
      <c r="V5" s="340"/>
      <c r="W5" s="23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0" t="s">
        <v>6</v>
      </c>
      <c r="L6" s="4" t="s">
        <v>5</v>
      </c>
      <c r="M6" s="5"/>
      <c r="N6" s="8"/>
      <c r="O6" s="9"/>
      <c r="P6" s="330"/>
      <c r="Q6" s="9"/>
      <c r="R6" s="5"/>
      <c r="S6" s="8"/>
      <c r="T6" s="9"/>
      <c r="U6" s="10"/>
      <c r="V6" s="11"/>
      <c r="W6" s="240" t="s">
        <v>6</v>
      </c>
    </row>
    <row r="7" spans="2:23" ht="13.5" thickBot="1">
      <c r="B7" s="12"/>
      <c r="C7" s="13" t="s">
        <v>7</v>
      </c>
      <c r="D7" s="230" t="s">
        <v>8</v>
      </c>
      <c r="E7" s="14" t="s">
        <v>9</v>
      </c>
      <c r="F7" s="13" t="s">
        <v>7</v>
      </c>
      <c r="G7" s="230" t="s">
        <v>8</v>
      </c>
      <c r="H7" s="14" t="s">
        <v>9</v>
      </c>
      <c r="I7" s="241"/>
      <c r="L7" s="12"/>
      <c r="M7" s="15" t="s">
        <v>10</v>
      </c>
      <c r="N7" s="16" t="s">
        <v>11</v>
      </c>
      <c r="O7" s="17" t="s">
        <v>12</v>
      </c>
      <c r="P7" s="331" t="s">
        <v>13</v>
      </c>
      <c r="Q7" s="17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1"/>
    </row>
    <row r="8" spans="2:23" ht="6" customHeight="1" thickTop="1">
      <c r="B8" s="4"/>
      <c r="C8" s="20"/>
      <c r="D8" s="21"/>
      <c r="E8" s="22"/>
      <c r="F8" s="20"/>
      <c r="G8" s="21"/>
      <c r="H8" s="22"/>
      <c r="I8" s="244"/>
      <c r="L8" s="4"/>
      <c r="M8" s="23"/>
      <c r="N8" s="24"/>
      <c r="O8" s="25"/>
      <c r="P8" s="214"/>
      <c r="Q8" s="25"/>
      <c r="R8" s="23"/>
      <c r="S8" s="24"/>
      <c r="T8" s="25"/>
      <c r="U8" s="26"/>
      <c r="V8" s="28"/>
      <c r="W8" s="207"/>
    </row>
    <row r="9" spans="2:23" ht="12.75">
      <c r="B9" s="4" t="s">
        <v>14</v>
      </c>
      <c r="C9" s="29">
        <v>128</v>
      </c>
      <c r="D9" s="30">
        <v>128</v>
      </c>
      <c r="E9" s="73">
        <f>C9+D9</f>
        <v>256</v>
      </c>
      <c r="F9" s="29">
        <v>170</v>
      </c>
      <c r="G9" s="30">
        <v>164</v>
      </c>
      <c r="H9" s="33">
        <f>F9+G9</f>
        <v>334</v>
      </c>
      <c r="I9" s="253">
        <f aca="true" t="shared" si="0" ref="I9:I26">IF(E9=0,0,((H9/E9)-1)*100)</f>
        <v>30.46875</v>
      </c>
      <c r="L9" s="4" t="s">
        <v>14</v>
      </c>
      <c r="M9" s="29">
        <v>11818</v>
      </c>
      <c r="N9" s="36">
        <v>11468</v>
      </c>
      <c r="O9" s="51">
        <f>+N9+M9</f>
        <v>23286</v>
      </c>
      <c r="P9" s="127">
        <v>91</v>
      </c>
      <c r="Q9" s="51">
        <f>O9+P9</f>
        <v>23377</v>
      </c>
      <c r="R9" s="29">
        <v>15680</v>
      </c>
      <c r="S9" s="36">
        <v>15153</v>
      </c>
      <c r="T9" s="51">
        <f>+S9+R9</f>
        <v>30833</v>
      </c>
      <c r="U9" s="127">
        <v>14</v>
      </c>
      <c r="V9" s="316">
        <f>T9+U9</f>
        <v>30847</v>
      </c>
      <c r="W9" s="265">
        <f aca="true" t="shared" si="1" ref="W9:W26">IF(Q9=0,0,((V9/Q9)-1)*100)</f>
        <v>31.9544851777388</v>
      </c>
    </row>
    <row r="10" spans="2:23" ht="12.75">
      <c r="B10" s="4" t="s">
        <v>15</v>
      </c>
      <c r="C10" s="29">
        <v>153</v>
      </c>
      <c r="D10" s="30">
        <v>156</v>
      </c>
      <c r="E10" s="73">
        <f>C10+D10</f>
        <v>309</v>
      </c>
      <c r="F10" s="29">
        <v>179</v>
      </c>
      <c r="G10" s="30">
        <v>182</v>
      </c>
      <c r="H10" s="33">
        <f>F10+G10</f>
        <v>361</v>
      </c>
      <c r="I10" s="253">
        <f t="shared" si="0"/>
        <v>16.828478964401295</v>
      </c>
      <c r="L10" s="4" t="s">
        <v>15</v>
      </c>
      <c r="M10" s="29">
        <v>13743</v>
      </c>
      <c r="N10" s="36">
        <v>12514</v>
      </c>
      <c r="O10" s="51">
        <f>+N10+M10</f>
        <v>26257</v>
      </c>
      <c r="P10" s="127">
        <v>11</v>
      </c>
      <c r="Q10" s="51">
        <f>O10+P10</f>
        <v>26268</v>
      </c>
      <c r="R10" s="29">
        <v>21064</v>
      </c>
      <c r="S10" s="36">
        <v>18704</v>
      </c>
      <c r="T10" s="51">
        <f>+S10+R10</f>
        <v>39768</v>
      </c>
      <c r="U10" s="127">
        <v>13</v>
      </c>
      <c r="V10" s="316">
        <f>T10+U10</f>
        <v>39781</v>
      </c>
      <c r="W10" s="265">
        <f t="shared" si="1"/>
        <v>51.442820161413124</v>
      </c>
    </row>
    <row r="11" spans="2:23" ht="13.5" thickBot="1">
      <c r="B11" s="4" t="s">
        <v>16</v>
      </c>
      <c r="C11" s="29">
        <v>141</v>
      </c>
      <c r="D11" s="60">
        <v>140</v>
      </c>
      <c r="E11" s="73">
        <f>C11+D11</f>
        <v>281</v>
      </c>
      <c r="F11" s="29">
        <v>205</v>
      </c>
      <c r="G11" s="60">
        <v>205</v>
      </c>
      <c r="H11" s="33">
        <f>F11+G11</f>
        <v>410</v>
      </c>
      <c r="I11" s="253">
        <f t="shared" si="0"/>
        <v>45.907473309608534</v>
      </c>
      <c r="L11" s="4" t="s">
        <v>16</v>
      </c>
      <c r="M11" s="29">
        <v>14804</v>
      </c>
      <c r="N11" s="36">
        <v>13875</v>
      </c>
      <c r="O11" s="51">
        <f>+N11+M11</f>
        <v>28679</v>
      </c>
      <c r="P11" s="314">
        <v>6</v>
      </c>
      <c r="Q11" s="51">
        <f>O11+P11</f>
        <v>28685</v>
      </c>
      <c r="R11" s="29">
        <v>23656</v>
      </c>
      <c r="S11" s="36">
        <v>23508</v>
      </c>
      <c r="T11" s="51">
        <f>+S11+R11</f>
        <v>47164</v>
      </c>
      <c r="U11" s="314">
        <v>620</v>
      </c>
      <c r="V11" s="316">
        <f>T11+U11</f>
        <v>47784</v>
      </c>
      <c r="W11" s="265">
        <f t="shared" si="1"/>
        <v>66.58183719714137</v>
      </c>
    </row>
    <row r="12" spans="2:23" ht="14.25" thickBot="1" thickTop="1">
      <c r="B12" s="39" t="s">
        <v>58</v>
      </c>
      <c r="C12" s="76">
        <f aca="true" t="shared" si="2" ref="C12:H12">+C9+C10+C11</f>
        <v>422</v>
      </c>
      <c r="D12" s="77">
        <f t="shared" si="2"/>
        <v>424</v>
      </c>
      <c r="E12" s="78">
        <f t="shared" si="2"/>
        <v>846</v>
      </c>
      <c r="F12" s="76">
        <f t="shared" si="2"/>
        <v>554</v>
      </c>
      <c r="G12" s="77">
        <f t="shared" si="2"/>
        <v>551</v>
      </c>
      <c r="H12" s="78">
        <f t="shared" si="2"/>
        <v>1105</v>
      </c>
      <c r="I12" s="254">
        <f t="shared" si="0"/>
        <v>30.614657210401887</v>
      </c>
      <c r="L12" s="39" t="s">
        <v>58</v>
      </c>
      <c r="M12" s="42">
        <f aca="true" t="shared" si="3" ref="M12:V12">+M9+M10+M11</f>
        <v>40365</v>
      </c>
      <c r="N12" s="121">
        <f t="shared" si="3"/>
        <v>37857</v>
      </c>
      <c r="O12" s="40">
        <f t="shared" si="3"/>
        <v>78222</v>
      </c>
      <c r="P12" s="42">
        <f t="shared" si="3"/>
        <v>108</v>
      </c>
      <c r="Q12" s="40">
        <f t="shared" si="3"/>
        <v>78330</v>
      </c>
      <c r="R12" s="42">
        <f t="shared" si="3"/>
        <v>60400</v>
      </c>
      <c r="S12" s="121">
        <f t="shared" si="3"/>
        <v>57365</v>
      </c>
      <c r="T12" s="40">
        <f t="shared" si="3"/>
        <v>117765</v>
      </c>
      <c r="U12" s="42">
        <f t="shared" si="3"/>
        <v>647</v>
      </c>
      <c r="V12" s="317">
        <f t="shared" si="3"/>
        <v>118412</v>
      </c>
      <c r="W12" s="257">
        <f t="shared" si="1"/>
        <v>51.17068811438785</v>
      </c>
    </row>
    <row r="13" spans="2:23" ht="13.5" thickTop="1">
      <c r="B13" s="4" t="s">
        <v>18</v>
      </c>
      <c r="C13" s="71">
        <v>167</v>
      </c>
      <c r="D13" s="72">
        <v>167</v>
      </c>
      <c r="E13" s="73">
        <f>+D13+C13</f>
        <v>334</v>
      </c>
      <c r="F13" s="71">
        <v>233</v>
      </c>
      <c r="G13" s="72">
        <v>234</v>
      </c>
      <c r="H13" s="31">
        <f>F13+G13</f>
        <v>467</v>
      </c>
      <c r="I13" s="253">
        <f t="shared" si="0"/>
        <v>39.82035928143712</v>
      </c>
      <c r="L13" s="4" t="s">
        <v>18</v>
      </c>
      <c r="M13" s="156">
        <v>16602</v>
      </c>
      <c r="N13" s="36">
        <v>15449</v>
      </c>
      <c r="O13" s="33">
        <f>+N13+M13</f>
        <v>32051</v>
      </c>
      <c r="P13" s="127">
        <v>7</v>
      </c>
      <c r="Q13" s="33">
        <f>+P13+O13</f>
        <v>32058</v>
      </c>
      <c r="R13" s="156">
        <v>26922</v>
      </c>
      <c r="S13" s="36">
        <v>26180</v>
      </c>
      <c r="T13" s="33">
        <f>+S13+R13</f>
        <v>53102</v>
      </c>
      <c r="U13" s="127">
        <v>0</v>
      </c>
      <c r="V13" s="316">
        <f>T13+U13</f>
        <v>53102</v>
      </c>
      <c r="W13" s="273">
        <f t="shared" si="1"/>
        <v>65.64352111797366</v>
      </c>
    </row>
    <row r="14" spans="2:23" ht="12.75">
      <c r="B14" s="4" t="s">
        <v>19</v>
      </c>
      <c r="C14" s="29">
        <v>191</v>
      </c>
      <c r="D14" s="30">
        <v>192</v>
      </c>
      <c r="E14" s="31">
        <f>+D14+C14</f>
        <v>383</v>
      </c>
      <c r="F14" s="29">
        <v>209</v>
      </c>
      <c r="G14" s="30">
        <v>211</v>
      </c>
      <c r="H14" s="31">
        <f>F14+G14</f>
        <v>420</v>
      </c>
      <c r="I14" s="253">
        <f t="shared" si="0"/>
        <v>9.660574412532629</v>
      </c>
      <c r="L14" s="4" t="s">
        <v>19</v>
      </c>
      <c r="M14" s="29">
        <v>17595</v>
      </c>
      <c r="N14" s="36">
        <v>18411</v>
      </c>
      <c r="O14" s="33">
        <f>+N14+M14</f>
        <v>36006</v>
      </c>
      <c r="P14" s="127">
        <v>0</v>
      </c>
      <c r="Q14" s="33">
        <f>+P14+O14</f>
        <v>36006</v>
      </c>
      <c r="R14" s="29">
        <v>23572</v>
      </c>
      <c r="S14" s="36">
        <v>24201</v>
      </c>
      <c r="T14" s="33">
        <f>+S14+R14</f>
        <v>47773</v>
      </c>
      <c r="U14" s="127">
        <v>3</v>
      </c>
      <c r="V14" s="316">
        <f>T14+U14</f>
        <v>47776</v>
      </c>
      <c r="W14" s="265">
        <f t="shared" si="1"/>
        <v>32.68899627839805</v>
      </c>
    </row>
    <row r="15" spans="2:23" ht="13.5" thickBot="1">
      <c r="B15" s="4" t="s">
        <v>20</v>
      </c>
      <c r="C15" s="29">
        <v>175</v>
      </c>
      <c r="D15" s="30">
        <v>175</v>
      </c>
      <c r="E15" s="31">
        <f>+D15+C15</f>
        <v>350</v>
      </c>
      <c r="F15" s="29">
        <v>205</v>
      </c>
      <c r="G15" s="30">
        <v>204</v>
      </c>
      <c r="H15" s="31">
        <f>F15+G15</f>
        <v>409</v>
      </c>
      <c r="I15" s="253">
        <f t="shared" si="0"/>
        <v>16.85714285714286</v>
      </c>
      <c r="L15" s="4" t="s">
        <v>20</v>
      </c>
      <c r="M15" s="29">
        <v>15262</v>
      </c>
      <c r="N15" s="36">
        <v>16443</v>
      </c>
      <c r="O15" s="33">
        <f>+N15+M15</f>
        <v>31705</v>
      </c>
      <c r="P15" s="127">
        <v>2</v>
      </c>
      <c r="Q15" s="33">
        <f>+P15+O15</f>
        <v>31707</v>
      </c>
      <c r="R15" s="29">
        <v>20461</v>
      </c>
      <c r="S15" s="36">
        <v>22289</v>
      </c>
      <c r="T15" s="33">
        <f>+S15+R15</f>
        <v>42750</v>
      </c>
      <c r="U15" s="127">
        <v>0</v>
      </c>
      <c r="V15" s="316">
        <f>T15+U15</f>
        <v>42750</v>
      </c>
      <c r="W15" s="266">
        <f t="shared" si="1"/>
        <v>34.828271359636666</v>
      </c>
    </row>
    <row r="16" spans="2:23" ht="14.25" thickBot="1" thickTop="1">
      <c r="B16" s="44" t="s">
        <v>21</v>
      </c>
      <c r="C16" s="45">
        <f aca="true" t="shared" si="4" ref="C16:H16">C13+C14+C15</f>
        <v>533</v>
      </c>
      <c r="D16" s="46">
        <f t="shared" si="4"/>
        <v>534</v>
      </c>
      <c r="E16" s="47">
        <f t="shared" si="4"/>
        <v>1067</v>
      </c>
      <c r="F16" s="45">
        <f t="shared" si="4"/>
        <v>647</v>
      </c>
      <c r="G16" s="46">
        <f t="shared" si="4"/>
        <v>649</v>
      </c>
      <c r="H16" s="45">
        <f t="shared" si="4"/>
        <v>1296</v>
      </c>
      <c r="I16" s="254">
        <f t="shared" si="0"/>
        <v>21.46204311152764</v>
      </c>
      <c r="L16" s="44" t="s">
        <v>21</v>
      </c>
      <c r="M16" s="144">
        <f aca="true" t="shared" si="5" ref="M16:V16">M13+M14+M15</f>
        <v>49459</v>
      </c>
      <c r="N16" s="49">
        <f t="shared" si="5"/>
        <v>50303</v>
      </c>
      <c r="O16" s="49">
        <f t="shared" si="5"/>
        <v>99762</v>
      </c>
      <c r="P16" s="122">
        <f t="shared" si="5"/>
        <v>9</v>
      </c>
      <c r="Q16" s="313">
        <f t="shared" si="5"/>
        <v>99771</v>
      </c>
      <c r="R16" s="144">
        <f t="shared" si="5"/>
        <v>70955</v>
      </c>
      <c r="S16" s="49">
        <f t="shared" si="5"/>
        <v>72670</v>
      </c>
      <c r="T16" s="49">
        <f t="shared" si="5"/>
        <v>143625</v>
      </c>
      <c r="U16" s="122">
        <f t="shared" si="5"/>
        <v>3</v>
      </c>
      <c r="V16" s="163">
        <f t="shared" si="5"/>
        <v>143628</v>
      </c>
      <c r="W16" s="257">
        <f t="shared" si="1"/>
        <v>43.9576630483808</v>
      </c>
    </row>
    <row r="17" spans="2:23" ht="13.5" thickTop="1">
      <c r="B17" s="4" t="s">
        <v>22</v>
      </c>
      <c r="C17" s="79">
        <v>147</v>
      </c>
      <c r="D17" s="80">
        <v>148</v>
      </c>
      <c r="E17" s="31">
        <f>+D17+C17</f>
        <v>295</v>
      </c>
      <c r="F17" s="79">
        <v>181</v>
      </c>
      <c r="G17" s="80">
        <v>180</v>
      </c>
      <c r="H17" s="31">
        <f>F17+G17</f>
        <v>361</v>
      </c>
      <c r="I17" s="253">
        <f t="shared" si="0"/>
        <v>22.372881355932208</v>
      </c>
      <c r="L17" s="4" t="s">
        <v>22</v>
      </c>
      <c r="M17" s="29">
        <v>14179</v>
      </c>
      <c r="N17" s="36">
        <v>13440</v>
      </c>
      <c r="O17" s="33">
        <f>+M17+N17</f>
        <v>27619</v>
      </c>
      <c r="P17" s="127">
        <v>1</v>
      </c>
      <c r="Q17" s="33">
        <f>+P17+O17</f>
        <v>27620</v>
      </c>
      <c r="R17" s="29">
        <v>18486</v>
      </c>
      <c r="S17" s="36">
        <v>17915</v>
      </c>
      <c r="T17" s="33">
        <f>+R17+S17</f>
        <v>36401</v>
      </c>
      <c r="U17" s="127">
        <v>45</v>
      </c>
      <c r="V17" s="316">
        <f>+T17+U17</f>
        <v>36446</v>
      </c>
      <c r="W17" s="308">
        <f t="shared" si="1"/>
        <v>31.955104996379436</v>
      </c>
    </row>
    <row r="18" spans="2:23" ht="12.75">
      <c r="B18" s="4" t="s">
        <v>23</v>
      </c>
      <c r="C18" s="79">
        <v>151</v>
      </c>
      <c r="D18" s="80">
        <v>150</v>
      </c>
      <c r="E18" s="31">
        <f>+D18+C18</f>
        <v>301</v>
      </c>
      <c r="F18" s="79">
        <f>167+5+5+9</f>
        <v>186</v>
      </c>
      <c r="G18" s="80">
        <f>167+4+5+9</f>
        <v>185</v>
      </c>
      <c r="H18" s="31">
        <f>F18+G18</f>
        <v>371</v>
      </c>
      <c r="I18" s="253">
        <f t="shared" si="0"/>
        <v>23.25581395348837</v>
      </c>
      <c r="L18" s="4" t="s">
        <v>23</v>
      </c>
      <c r="M18" s="29">
        <v>14116</v>
      </c>
      <c r="N18" s="36">
        <v>13190</v>
      </c>
      <c r="O18" s="33">
        <f>+M18+N18</f>
        <v>27306</v>
      </c>
      <c r="P18" s="127">
        <v>329</v>
      </c>
      <c r="Q18" s="33">
        <f>+P18+O18</f>
        <v>27635</v>
      </c>
      <c r="R18" s="29">
        <v>16650</v>
      </c>
      <c r="S18" s="36">
        <v>16257</v>
      </c>
      <c r="T18" s="33">
        <f>+R18+S18</f>
        <v>32907</v>
      </c>
      <c r="U18" s="127">
        <f>28+286</f>
        <v>314</v>
      </c>
      <c r="V18" s="316">
        <f>+T18+U18</f>
        <v>33221</v>
      </c>
      <c r="W18" s="309">
        <f t="shared" si="1"/>
        <v>20.2134973765153</v>
      </c>
    </row>
    <row r="19" spans="2:23" ht="13.5" thickBot="1">
      <c r="B19" s="4" t="s">
        <v>24</v>
      </c>
      <c r="C19" s="79">
        <f>129+8+9</f>
        <v>146</v>
      </c>
      <c r="D19" s="80">
        <f>128+9+9</f>
        <v>146</v>
      </c>
      <c r="E19" s="31">
        <f>+D19+C19</f>
        <v>292</v>
      </c>
      <c r="F19" s="79">
        <v>185</v>
      </c>
      <c r="G19" s="80">
        <v>183</v>
      </c>
      <c r="H19" s="31">
        <f>F19+G19</f>
        <v>368</v>
      </c>
      <c r="I19" s="253">
        <f t="shared" si="0"/>
        <v>26.027397260273965</v>
      </c>
      <c r="L19" s="4" t="s">
        <v>24</v>
      </c>
      <c r="M19" s="29">
        <v>13194</v>
      </c>
      <c r="N19" s="36">
        <v>13814</v>
      </c>
      <c r="O19" s="33">
        <f>+M19+N19</f>
        <v>27008</v>
      </c>
      <c r="P19" s="314">
        <v>4</v>
      </c>
      <c r="Q19" s="33">
        <f>+P19+O19</f>
        <v>27012</v>
      </c>
      <c r="R19" s="29">
        <v>17282</v>
      </c>
      <c r="S19" s="36">
        <v>16326</v>
      </c>
      <c r="T19" s="33">
        <f>+R19+S19</f>
        <v>33608</v>
      </c>
      <c r="U19" s="314">
        <v>1</v>
      </c>
      <c r="V19" s="316">
        <f>+T19+U19</f>
        <v>33609</v>
      </c>
      <c r="W19" s="266">
        <f t="shared" si="1"/>
        <v>24.42247889826743</v>
      </c>
    </row>
    <row r="20" spans="2:23" ht="14.25" thickBot="1" thickTop="1">
      <c r="B20" s="44" t="s">
        <v>25</v>
      </c>
      <c r="C20" s="40">
        <f aca="true" t="shared" si="6" ref="C20:H20">+C17+C18+C19</f>
        <v>444</v>
      </c>
      <c r="D20" s="53">
        <f t="shared" si="6"/>
        <v>444</v>
      </c>
      <c r="E20" s="123">
        <f t="shared" si="6"/>
        <v>888</v>
      </c>
      <c r="F20" s="40">
        <f t="shared" si="6"/>
        <v>552</v>
      </c>
      <c r="G20" s="53">
        <f t="shared" si="6"/>
        <v>548</v>
      </c>
      <c r="H20" s="53">
        <f t="shared" si="6"/>
        <v>1100</v>
      </c>
      <c r="I20" s="255">
        <f t="shared" si="0"/>
        <v>23.873873873873876</v>
      </c>
      <c r="L20" s="44" t="s">
        <v>25</v>
      </c>
      <c r="M20" s="218">
        <f aca="true" t="shared" si="7" ref="M20:V20">+M17+M18+M19</f>
        <v>41489</v>
      </c>
      <c r="N20" s="49">
        <f t="shared" si="7"/>
        <v>40444</v>
      </c>
      <c r="O20" s="47">
        <f t="shared" si="7"/>
        <v>81933</v>
      </c>
      <c r="P20" s="163">
        <f t="shared" si="7"/>
        <v>334</v>
      </c>
      <c r="Q20" s="313">
        <f t="shared" si="7"/>
        <v>82267</v>
      </c>
      <c r="R20" s="218">
        <f t="shared" si="7"/>
        <v>52418</v>
      </c>
      <c r="S20" s="49">
        <f t="shared" si="7"/>
        <v>50498</v>
      </c>
      <c r="T20" s="47">
        <f t="shared" si="7"/>
        <v>102916</v>
      </c>
      <c r="U20" s="163">
        <f t="shared" si="7"/>
        <v>360</v>
      </c>
      <c r="V20" s="163">
        <f t="shared" si="7"/>
        <v>103276</v>
      </c>
      <c r="W20" s="257">
        <f t="shared" si="1"/>
        <v>25.53757885908079</v>
      </c>
    </row>
    <row r="21" spans="2:23" ht="13.5" thickTop="1">
      <c r="B21" s="4" t="s">
        <v>26</v>
      </c>
      <c r="C21" s="29">
        <f>129+5+25</f>
        <v>159</v>
      </c>
      <c r="D21" s="30">
        <f>131+1+4+23</f>
        <v>159</v>
      </c>
      <c r="E21" s="124">
        <f>+D21+C21</f>
        <v>318</v>
      </c>
      <c r="F21" s="29">
        <v>208</v>
      </c>
      <c r="G21" s="30">
        <v>209</v>
      </c>
      <c r="H21" s="58">
        <f>F21+G21</f>
        <v>417</v>
      </c>
      <c r="I21" s="253">
        <f t="shared" si="0"/>
        <v>31.132075471698116</v>
      </c>
      <c r="L21" s="4" t="s">
        <v>27</v>
      </c>
      <c r="M21" s="29">
        <v>15246</v>
      </c>
      <c r="N21" s="36">
        <v>14556</v>
      </c>
      <c r="O21" s="51">
        <f>+M21+N21</f>
        <v>29802</v>
      </c>
      <c r="P21" s="332">
        <f>151+1</f>
        <v>152</v>
      </c>
      <c r="Q21" s="33">
        <f>+P21+O21</f>
        <v>29954</v>
      </c>
      <c r="R21" s="29">
        <v>21196</v>
      </c>
      <c r="S21" s="36">
        <v>20282</v>
      </c>
      <c r="T21" s="51">
        <f>+R21+S21</f>
        <v>41478</v>
      </c>
      <c r="U21" s="59">
        <f>18+223</f>
        <v>241</v>
      </c>
      <c r="V21" s="31">
        <f>+T21+U21</f>
        <v>41719</v>
      </c>
      <c r="W21" s="259">
        <f t="shared" si="1"/>
        <v>39.27689123322429</v>
      </c>
    </row>
    <row r="22" spans="2:23" ht="12.75">
      <c r="B22" s="4" t="s">
        <v>28</v>
      </c>
      <c r="C22" s="29">
        <v>168</v>
      </c>
      <c r="D22" s="30">
        <v>169</v>
      </c>
      <c r="E22" s="33">
        <f>+D22+C22</f>
        <v>337</v>
      </c>
      <c r="F22" s="29">
        <v>213</v>
      </c>
      <c r="G22" s="30">
        <v>212</v>
      </c>
      <c r="H22" s="31">
        <f>F22+G22</f>
        <v>425</v>
      </c>
      <c r="I22" s="253">
        <f>IF(E22=0,0,((H22/E22)-1)*100)</f>
        <v>26.112759643916906</v>
      </c>
      <c r="L22" s="4" t="s">
        <v>28</v>
      </c>
      <c r="M22" s="29">
        <v>15447</v>
      </c>
      <c r="N22" s="36">
        <v>14729</v>
      </c>
      <c r="O22" s="33">
        <f>+M22+N22</f>
        <v>30176</v>
      </c>
      <c r="P22" s="127">
        <v>16</v>
      </c>
      <c r="Q22" s="33">
        <f>+P22+O22</f>
        <v>30192</v>
      </c>
      <c r="R22" s="29">
        <v>22611</v>
      </c>
      <c r="S22" s="36">
        <v>22662</v>
      </c>
      <c r="T22" s="33">
        <f>+R22+S22</f>
        <v>45273</v>
      </c>
      <c r="U22" s="34">
        <v>34</v>
      </c>
      <c r="V22" s="31">
        <f>+T22+U22</f>
        <v>45307</v>
      </c>
      <c r="W22" s="261">
        <f>IF(Q22=0,0,((V22/Q22)-1)*100)</f>
        <v>50.062930577636465</v>
      </c>
    </row>
    <row r="23" spans="2:23" ht="13.5" thickBot="1">
      <c r="B23" s="4" t="s">
        <v>29</v>
      </c>
      <c r="C23" s="29">
        <v>145</v>
      </c>
      <c r="D23" s="60">
        <v>145</v>
      </c>
      <c r="E23" s="61">
        <f>+D23+C23</f>
        <v>290</v>
      </c>
      <c r="F23" s="29">
        <v>202</v>
      </c>
      <c r="G23" s="60">
        <v>201</v>
      </c>
      <c r="H23" s="31">
        <f>F23+G23</f>
        <v>403</v>
      </c>
      <c r="I23" s="253">
        <f t="shared" si="0"/>
        <v>38.96551724137931</v>
      </c>
      <c r="J23" s="50"/>
      <c r="L23" s="4" t="s">
        <v>29</v>
      </c>
      <c r="M23" s="29">
        <v>12052</v>
      </c>
      <c r="N23" s="36">
        <v>12629</v>
      </c>
      <c r="O23" s="33">
        <f>+M23+N23</f>
        <v>24681</v>
      </c>
      <c r="P23" s="314">
        <v>125</v>
      </c>
      <c r="Q23" s="33">
        <f>+P23+O23</f>
        <v>24806</v>
      </c>
      <c r="R23" s="29">
        <v>19113</v>
      </c>
      <c r="S23" s="36">
        <v>17782</v>
      </c>
      <c r="T23" s="33">
        <f>+R23+S23</f>
        <v>36895</v>
      </c>
      <c r="U23" s="52">
        <v>420</v>
      </c>
      <c r="V23" s="31">
        <f>+T23+U23</f>
        <v>37315</v>
      </c>
      <c r="W23" s="260">
        <f t="shared" si="1"/>
        <v>50.42731597194228</v>
      </c>
    </row>
    <row r="24" spans="2:23" ht="14.25" customHeight="1" thickBot="1" thickTop="1">
      <c r="B24" s="39" t="s">
        <v>30</v>
      </c>
      <c r="C24" s="42">
        <f aca="true" t="shared" si="8" ref="C24:H24">+C21+C22+C23</f>
        <v>472</v>
      </c>
      <c r="D24" s="121">
        <f t="shared" si="8"/>
        <v>473</v>
      </c>
      <c r="E24" s="40">
        <f t="shared" si="8"/>
        <v>945</v>
      </c>
      <c r="F24" s="40">
        <f t="shared" si="8"/>
        <v>623</v>
      </c>
      <c r="G24" s="40">
        <f t="shared" si="8"/>
        <v>622</v>
      </c>
      <c r="H24" s="40">
        <f t="shared" si="8"/>
        <v>1245</v>
      </c>
      <c r="I24" s="255">
        <f t="shared" si="0"/>
        <v>31.746031746031743</v>
      </c>
      <c r="J24" s="55"/>
      <c r="K24" s="56"/>
      <c r="L24" s="39" t="s">
        <v>30</v>
      </c>
      <c r="M24" s="45">
        <f aca="true" t="shared" si="9" ref="M24:V24">+M21+M22+M23</f>
        <v>42745</v>
      </c>
      <c r="N24" s="45">
        <f t="shared" si="9"/>
        <v>41914</v>
      </c>
      <c r="O24" s="47">
        <f t="shared" si="9"/>
        <v>84659</v>
      </c>
      <c r="P24" s="163">
        <f t="shared" si="9"/>
        <v>293</v>
      </c>
      <c r="Q24" s="313">
        <f t="shared" si="9"/>
        <v>84952</v>
      </c>
      <c r="R24" s="218">
        <f t="shared" si="9"/>
        <v>62920</v>
      </c>
      <c r="S24" s="49">
        <f t="shared" si="9"/>
        <v>60726</v>
      </c>
      <c r="T24" s="47">
        <f t="shared" si="9"/>
        <v>123646</v>
      </c>
      <c r="U24" s="47">
        <f t="shared" si="9"/>
        <v>695</v>
      </c>
      <c r="V24" s="163">
        <f t="shared" si="9"/>
        <v>124341</v>
      </c>
      <c r="W24" s="257">
        <f t="shared" si="1"/>
        <v>46.36618325642716</v>
      </c>
    </row>
    <row r="25" spans="2:23" ht="14.25" thickBot="1" thickTop="1">
      <c r="B25" s="39" t="s">
        <v>66</v>
      </c>
      <c r="C25" s="76">
        <f aca="true" t="shared" si="10" ref="C25:H25">+C16+C20+C24</f>
        <v>1449</v>
      </c>
      <c r="D25" s="77">
        <f t="shared" si="10"/>
        <v>1451</v>
      </c>
      <c r="E25" s="78">
        <f t="shared" si="10"/>
        <v>2900</v>
      </c>
      <c r="F25" s="40">
        <f t="shared" si="10"/>
        <v>1822</v>
      </c>
      <c r="G25" s="41">
        <f t="shared" si="10"/>
        <v>1819</v>
      </c>
      <c r="H25" s="42">
        <f t="shared" si="10"/>
        <v>3641</v>
      </c>
      <c r="I25" s="254">
        <f t="shared" si="0"/>
        <v>25.551724137931032</v>
      </c>
      <c r="L25" s="39" t="s">
        <v>66</v>
      </c>
      <c r="M25" s="42">
        <f aca="true" t="shared" si="11" ref="M25:V25">+M16+M20+M24</f>
        <v>133693</v>
      </c>
      <c r="N25" s="121">
        <f t="shared" si="11"/>
        <v>132661</v>
      </c>
      <c r="O25" s="40">
        <f t="shared" si="11"/>
        <v>266354</v>
      </c>
      <c r="P25" s="42">
        <f t="shared" si="11"/>
        <v>636</v>
      </c>
      <c r="Q25" s="40">
        <f t="shared" si="11"/>
        <v>266990</v>
      </c>
      <c r="R25" s="42">
        <f t="shared" si="11"/>
        <v>186293</v>
      </c>
      <c r="S25" s="121">
        <f t="shared" si="11"/>
        <v>183894</v>
      </c>
      <c r="T25" s="40">
        <f t="shared" si="11"/>
        <v>370187</v>
      </c>
      <c r="U25" s="40">
        <f t="shared" si="11"/>
        <v>1058</v>
      </c>
      <c r="V25" s="42">
        <f t="shared" si="11"/>
        <v>371245</v>
      </c>
      <c r="W25" s="257">
        <f t="shared" si="1"/>
        <v>39.04827896175887</v>
      </c>
    </row>
    <row r="26" spans="2:23" ht="14.25" thickBot="1" thickTop="1">
      <c r="B26" s="39" t="s">
        <v>9</v>
      </c>
      <c r="C26" s="42">
        <f aca="true" t="shared" si="12" ref="C26:H26">+C16+C20+C24+C12</f>
        <v>1871</v>
      </c>
      <c r="D26" s="121">
        <f t="shared" si="12"/>
        <v>1875</v>
      </c>
      <c r="E26" s="40">
        <f t="shared" si="12"/>
        <v>3746</v>
      </c>
      <c r="F26" s="42">
        <f t="shared" si="12"/>
        <v>2376</v>
      </c>
      <c r="G26" s="121">
        <f t="shared" si="12"/>
        <v>2370</v>
      </c>
      <c r="H26" s="40">
        <f t="shared" si="12"/>
        <v>4746</v>
      </c>
      <c r="I26" s="254">
        <f t="shared" si="0"/>
        <v>26.695141484249874</v>
      </c>
      <c r="L26" s="39" t="s">
        <v>9</v>
      </c>
      <c r="M26" s="42">
        <f aca="true" t="shared" si="13" ref="M26:V26">+M16+M20+M24+M12</f>
        <v>174058</v>
      </c>
      <c r="N26" s="121">
        <f t="shared" si="13"/>
        <v>170518</v>
      </c>
      <c r="O26" s="40">
        <f t="shared" si="13"/>
        <v>344576</v>
      </c>
      <c r="P26" s="42">
        <f t="shared" si="13"/>
        <v>744</v>
      </c>
      <c r="Q26" s="40">
        <f t="shared" si="13"/>
        <v>345320</v>
      </c>
      <c r="R26" s="40">
        <f t="shared" si="13"/>
        <v>246693</v>
      </c>
      <c r="S26" s="41">
        <f t="shared" si="13"/>
        <v>241259</v>
      </c>
      <c r="T26" s="40">
        <f t="shared" si="13"/>
        <v>487952</v>
      </c>
      <c r="U26" s="40">
        <f t="shared" si="13"/>
        <v>1705</v>
      </c>
      <c r="V26" s="42">
        <f t="shared" si="13"/>
        <v>489657</v>
      </c>
      <c r="W26" s="257">
        <f t="shared" si="1"/>
        <v>41.79804239545928</v>
      </c>
    </row>
    <row r="27" spans="2:12" ht="13.5" thickTop="1">
      <c r="B27" s="63" t="s">
        <v>64</v>
      </c>
      <c r="L27" s="63" t="s">
        <v>64</v>
      </c>
    </row>
    <row r="28" spans="2:23" ht="12.75">
      <c r="B28" s="336" t="s">
        <v>31</v>
      </c>
      <c r="C28" s="336"/>
      <c r="D28" s="336"/>
      <c r="E28" s="336"/>
      <c r="F28" s="336"/>
      <c r="G28" s="336"/>
      <c r="H28" s="336"/>
      <c r="I28" s="336"/>
      <c r="L28" s="336" t="s">
        <v>32</v>
      </c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</row>
    <row r="29" spans="2:23" ht="15.75">
      <c r="B29" s="337" t="s">
        <v>33</v>
      </c>
      <c r="C29" s="337"/>
      <c r="D29" s="337"/>
      <c r="E29" s="337"/>
      <c r="F29" s="337"/>
      <c r="G29" s="337"/>
      <c r="H29" s="337"/>
      <c r="I29" s="337"/>
      <c r="L29" s="337" t="s">
        <v>34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</row>
    <row r="30" ht="13.5" thickBot="1"/>
    <row r="31" spans="2:23" ht="17.25" thickBot="1" thickTop="1">
      <c r="B31" s="3"/>
      <c r="C31" s="341" t="s">
        <v>67</v>
      </c>
      <c r="D31" s="342"/>
      <c r="E31" s="343"/>
      <c r="F31" s="344" t="s">
        <v>68</v>
      </c>
      <c r="G31" s="345"/>
      <c r="H31" s="346"/>
      <c r="I31" s="239" t="s">
        <v>4</v>
      </c>
      <c r="L31" s="3"/>
      <c r="M31" s="347" t="s">
        <v>67</v>
      </c>
      <c r="N31" s="348"/>
      <c r="O31" s="348"/>
      <c r="P31" s="348"/>
      <c r="Q31" s="349"/>
      <c r="R31" s="338" t="s">
        <v>68</v>
      </c>
      <c r="S31" s="339"/>
      <c r="T31" s="339"/>
      <c r="U31" s="339"/>
      <c r="V31" s="340"/>
      <c r="W31" s="239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0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0" t="s">
        <v>6</v>
      </c>
    </row>
    <row r="33" spans="2:23" ht="13.5" thickBot="1">
      <c r="B33" s="12"/>
      <c r="C33" s="13" t="s">
        <v>7</v>
      </c>
      <c r="D33" s="230" t="s">
        <v>8</v>
      </c>
      <c r="E33" s="14" t="s">
        <v>9</v>
      </c>
      <c r="F33" s="13" t="s">
        <v>7</v>
      </c>
      <c r="G33" s="230" t="s">
        <v>8</v>
      </c>
      <c r="H33" s="14" t="s">
        <v>9</v>
      </c>
      <c r="I33" s="241"/>
      <c r="L33" s="12"/>
      <c r="M33" s="15" t="s">
        <v>10</v>
      </c>
      <c r="N33" s="16" t="s">
        <v>11</v>
      </c>
      <c r="O33" s="17" t="s">
        <v>12</v>
      </c>
      <c r="P33" s="331" t="s">
        <v>13</v>
      </c>
      <c r="Q33" s="17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1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4"/>
      <c r="L34" s="4"/>
      <c r="M34" s="23"/>
      <c r="N34" s="24"/>
      <c r="O34" s="25"/>
      <c r="P34" s="214"/>
      <c r="Q34" s="25"/>
      <c r="R34" s="23"/>
      <c r="S34" s="24"/>
      <c r="T34" s="25"/>
      <c r="U34" s="26"/>
      <c r="V34" s="28"/>
      <c r="W34" s="207"/>
    </row>
    <row r="35" spans="2:23" ht="12.75">
      <c r="B35" s="4" t="s">
        <v>14</v>
      </c>
      <c r="C35" s="29">
        <v>980</v>
      </c>
      <c r="D35" s="30">
        <v>982</v>
      </c>
      <c r="E35" s="73">
        <f>C35+D35</f>
        <v>1962</v>
      </c>
      <c r="F35" s="29">
        <v>1192</v>
      </c>
      <c r="G35" s="30">
        <v>1191</v>
      </c>
      <c r="H35" s="31">
        <f>SUM(F35:G35)</f>
        <v>2383</v>
      </c>
      <c r="I35" s="256">
        <f aca="true" t="shared" si="14" ref="I35:I52">IF(E35=0,0,((H35/E35)-1)*100)</f>
        <v>21.457696228338442</v>
      </c>
      <c r="L35" s="4" t="s">
        <v>14</v>
      </c>
      <c r="M35" s="29">
        <v>123480</v>
      </c>
      <c r="N35" s="36">
        <v>122737</v>
      </c>
      <c r="O35" s="51">
        <f>SUM(M35:N35)</f>
        <v>246217</v>
      </c>
      <c r="P35" s="127">
        <v>3</v>
      </c>
      <c r="Q35" s="51">
        <f>O35+P35</f>
        <v>246220</v>
      </c>
      <c r="R35" s="29">
        <v>163206</v>
      </c>
      <c r="S35" s="36">
        <v>143522</v>
      </c>
      <c r="T35" s="51">
        <f>SUM(R35:S35)</f>
        <v>306728</v>
      </c>
      <c r="U35" s="34">
        <v>0</v>
      </c>
      <c r="V35" s="31">
        <f>T35+U35</f>
        <v>306728</v>
      </c>
      <c r="W35" s="256">
        <f aca="true" t="shared" si="15" ref="W35:W52">IF(Q35=0,0,((V35/Q35)-1)*100)</f>
        <v>24.574770530419944</v>
      </c>
    </row>
    <row r="36" spans="2:23" ht="12.75">
      <c r="B36" s="4" t="s">
        <v>15</v>
      </c>
      <c r="C36" s="29">
        <v>1067</v>
      </c>
      <c r="D36" s="30">
        <v>1067</v>
      </c>
      <c r="E36" s="73">
        <f>C36+D36</f>
        <v>2134</v>
      </c>
      <c r="F36" s="29">
        <v>1240</v>
      </c>
      <c r="G36" s="30">
        <v>1239</v>
      </c>
      <c r="H36" s="31">
        <f>SUM(F36:G36)</f>
        <v>2479</v>
      </c>
      <c r="I36" s="256">
        <f t="shared" si="14"/>
        <v>16.166822867853803</v>
      </c>
      <c r="L36" s="4" t="s">
        <v>15</v>
      </c>
      <c r="M36" s="29">
        <v>141932</v>
      </c>
      <c r="N36" s="36">
        <v>144784</v>
      </c>
      <c r="O36" s="51">
        <f>SUM(M36:N36)</f>
        <v>286716</v>
      </c>
      <c r="P36" s="127">
        <v>0</v>
      </c>
      <c r="Q36" s="51">
        <f>O36+P36</f>
        <v>286716</v>
      </c>
      <c r="R36" s="29">
        <v>158598</v>
      </c>
      <c r="S36" s="36">
        <v>163561</v>
      </c>
      <c r="T36" s="51">
        <f>SUM(R36:S36)</f>
        <v>322159</v>
      </c>
      <c r="U36" s="34">
        <v>0</v>
      </c>
      <c r="V36" s="31">
        <f>T36+U36</f>
        <v>322159</v>
      </c>
      <c r="W36" s="256">
        <f t="shared" si="15"/>
        <v>12.361709845282443</v>
      </c>
    </row>
    <row r="37" spans="2:23" ht="13.5" thickBot="1">
      <c r="B37" s="4" t="s">
        <v>16</v>
      </c>
      <c r="C37" s="29">
        <v>1120</v>
      </c>
      <c r="D37" s="60">
        <v>1117</v>
      </c>
      <c r="E37" s="73">
        <f>C37+D37</f>
        <v>2237</v>
      </c>
      <c r="F37" s="29">
        <f>1375+54</f>
        <v>1429</v>
      </c>
      <c r="G37" s="60">
        <f>1376+52</f>
        <v>1428</v>
      </c>
      <c r="H37" s="31">
        <f>SUM(F37:G37)</f>
        <v>2857</v>
      </c>
      <c r="I37" s="256">
        <f t="shared" si="14"/>
        <v>27.71569065713009</v>
      </c>
      <c r="L37" s="4" t="s">
        <v>16</v>
      </c>
      <c r="M37" s="29">
        <v>164537</v>
      </c>
      <c r="N37" s="36">
        <v>156420</v>
      </c>
      <c r="O37" s="51">
        <f>SUM(M37:N37)</f>
        <v>320957</v>
      </c>
      <c r="P37" s="127">
        <v>0</v>
      </c>
      <c r="Q37" s="51">
        <f>O37+P37</f>
        <v>320957</v>
      </c>
      <c r="R37" s="29">
        <v>195761</v>
      </c>
      <c r="S37" s="36">
        <v>188810</v>
      </c>
      <c r="T37" s="51">
        <f>SUM(R37:S37)</f>
        <v>384571</v>
      </c>
      <c r="U37" s="34">
        <v>0</v>
      </c>
      <c r="V37" s="31">
        <f>T37+U37</f>
        <v>384571</v>
      </c>
      <c r="W37" s="256">
        <f t="shared" si="15"/>
        <v>19.820100511906567</v>
      </c>
    </row>
    <row r="38" spans="2:23" ht="14.25" thickBot="1" thickTop="1">
      <c r="B38" s="39" t="s">
        <v>58</v>
      </c>
      <c r="C38" s="78">
        <f aca="true" t="shared" si="16" ref="C38:H38">+C35+C36+C37</f>
        <v>3167</v>
      </c>
      <c r="D38" s="125">
        <f t="shared" si="16"/>
        <v>3166</v>
      </c>
      <c r="E38" s="76">
        <f t="shared" si="16"/>
        <v>6333</v>
      </c>
      <c r="F38" s="78">
        <f t="shared" si="16"/>
        <v>3861</v>
      </c>
      <c r="G38" s="125">
        <f t="shared" si="16"/>
        <v>3858</v>
      </c>
      <c r="H38" s="76">
        <f t="shared" si="16"/>
        <v>7719</v>
      </c>
      <c r="I38" s="257">
        <f t="shared" si="14"/>
        <v>21.885362387494077</v>
      </c>
      <c r="L38" s="39" t="s">
        <v>58</v>
      </c>
      <c r="M38" s="42">
        <f>+M35+M36+M37</f>
        <v>429949</v>
      </c>
      <c r="N38" s="121">
        <f>+N35+N36+N37</f>
        <v>423941</v>
      </c>
      <c r="O38" s="40">
        <f>+O35+O36+O37</f>
        <v>853890</v>
      </c>
      <c r="P38" s="42">
        <f>+P35+P36+P37</f>
        <v>3</v>
      </c>
      <c r="Q38" s="40">
        <f aca="true" t="shared" si="17" ref="Q38:V38">+Q35+Q36+Q37</f>
        <v>853893</v>
      </c>
      <c r="R38" s="42">
        <f t="shared" si="17"/>
        <v>517565</v>
      </c>
      <c r="S38" s="121">
        <f t="shared" si="17"/>
        <v>495893</v>
      </c>
      <c r="T38" s="40">
        <f t="shared" si="17"/>
        <v>1013458</v>
      </c>
      <c r="U38" s="40">
        <f t="shared" si="17"/>
        <v>0</v>
      </c>
      <c r="V38" s="42">
        <f t="shared" si="17"/>
        <v>1013458</v>
      </c>
      <c r="W38" s="257">
        <f t="shared" si="15"/>
        <v>18.68676754581664</v>
      </c>
    </row>
    <row r="39" spans="2:23" ht="13.5" thickTop="1">
      <c r="B39" s="4" t="s">
        <v>18</v>
      </c>
      <c r="C39" s="71">
        <v>1132</v>
      </c>
      <c r="D39" s="72">
        <v>1132</v>
      </c>
      <c r="E39" s="81">
        <f>+D39+C39</f>
        <v>2264</v>
      </c>
      <c r="F39" s="71">
        <v>1475</v>
      </c>
      <c r="G39" s="72">
        <v>1476</v>
      </c>
      <c r="H39" s="73">
        <f>F39+G39</f>
        <v>2951</v>
      </c>
      <c r="I39" s="256">
        <f t="shared" si="14"/>
        <v>30.34452296819787</v>
      </c>
      <c r="L39" s="4" t="s">
        <v>18</v>
      </c>
      <c r="M39" s="29">
        <v>153291</v>
      </c>
      <c r="N39" s="36">
        <v>169412</v>
      </c>
      <c r="O39" s="33">
        <f>SUM(M39:N39)</f>
        <v>322703</v>
      </c>
      <c r="P39" s="127">
        <v>80</v>
      </c>
      <c r="Q39" s="33">
        <f>+P39+O39</f>
        <v>322783</v>
      </c>
      <c r="R39" s="29">
        <v>194182</v>
      </c>
      <c r="S39" s="36">
        <v>212874</v>
      </c>
      <c r="T39" s="33">
        <f>SUM(R39:S39)</f>
        <v>407056</v>
      </c>
      <c r="U39" s="127">
        <v>0</v>
      </c>
      <c r="V39" s="57">
        <f>T39+U39</f>
        <v>407056</v>
      </c>
      <c r="W39" s="256">
        <f t="shared" si="15"/>
        <v>26.1082522933364</v>
      </c>
    </row>
    <row r="40" spans="2:23" ht="12.75">
      <c r="B40" s="4" t="s">
        <v>19</v>
      </c>
      <c r="C40" s="29">
        <v>1090</v>
      </c>
      <c r="D40" s="30">
        <v>1088</v>
      </c>
      <c r="E40" s="35">
        <f>+D40+C40</f>
        <v>2178</v>
      </c>
      <c r="F40" s="29">
        <v>1321</v>
      </c>
      <c r="G40" s="30">
        <v>1319</v>
      </c>
      <c r="H40" s="31">
        <f>SUM(F40:G40)</f>
        <v>2640</v>
      </c>
      <c r="I40" s="256">
        <f>IF(E40=0,0,((H40/E40)-1)*100)</f>
        <v>21.212121212121215</v>
      </c>
      <c r="L40" s="4" t="s">
        <v>19</v>
      </c>
      <c r="M40" s="29">
        <v>141322</v>
      </c>
      <c r="N40" s="36">
        <v>154588</v>
      </c>
      <c r="O40" s="33">
        <f>SUM(M40:N40)</f>
        <v>295910</v>
      </c>
      <c r="P40" s="127">
        <v>0</v>
      </c>
      <c r="Q40" s="33">
        <f>+P40+O40</f>
        <v>295910</v>
      </c>
      <c r="R40" s="29">
        <v>169943</v>
      </c>
      <c r="S40" s="36">
        <v>184260</v>
      </c>
      <c r="T40" s="33">
        <f>SUM(R40:S40)</f>
        <v>354203</v>
      </c>
      <c r="U40" s="127">
        <v>0</v>
      </c>
      <c r="V40" s="51">
        <f>T40+U40</f>
        <v>354203</v>
      </c>
      <c r="W40" s="256">
        <f>IF(Q40=0,0,((V40/Q40)-1)*100)</f>
        <v>19.69957081545064</v>
      </c>
    </row>
    <row r="41" spans="2:23" ht="13.5" thickBot="1">
      <c r="B41" s="65" t="s">
        <v>20</v>
      </c>
      <c r="C41" s="68">
        <v>1313</v>
      </c>
      <c r="D41" s="30">
        <v>1315</v>
      </c>
      <c r="E41" s="66">
        <f>+D41+C41</f>
        <v>2628</v>
      </c>
      <c r="F41" s="68">
        <v>1381</v>
      </c>
      <c r="G41" s="30">
        <v>1378</v>
      </c>
      <c r="H41" s="31">
        <f>SUM(F41:G41)</f>
        <v>2759</v>
      </c>
      <c r="I41" s="256">
        <f t="shared" si="14"/>
        <v>4.984779299847797</v>
      </c>
      <c r="L41" s="85" t="s">
        <v>20</v>
      </c>
      <c r="M41" s="86">
        <v>134773</v>
      </c>
      <c r="N41" s="36">
        <v>146528</v>
      </c>
      <c r="O41" s="33">
        <f>SUM(M41:N41)</f>
        <v>281301</v>
      </c>
      <c r="P41" s="315">
        <v>0</v>
      </c>
      <c r="Q41" s="333">
        <f>+P41+O41</f>
        <v>281301</v>
      </c>
      <c r="R41" s="86">
        <v>155061</v>
      </c>
      <c r="S41" s="36">
        <v>168796</v>
      </c>
      <c r="T41" s="33">
        <f>SUM(R41:S41)</f>
        <v>323857</v>
      </c>
      <c r="U41" s="315">
        <v>79</v>
      </c>
      <c r="V41" s="51">
        <f>T41+U41</f>
        <v>323936</v>
      </c>
      <c r="W41" s="256">
        <f t="shared" si="15"/>
        <v>15.15636275733112</v>
      </c>
    </row>
    <row r="42" spans="2:23" ht="14.25" thickBot="1" thickTop="1">
      <c r="B42" s="44" t="s">
        <v>21</v>
      </c>
      <c r="C42" s="76">
        <f aca="true" t="shared" si="18" ref="C42:H42">C39+C40+C41</f>
        <v>3535</v>
      </c>
      <c r="D42" s="77">
        <f t="shared" si="18"/>
        <v>3535</v>
      </c>
      <c r="E42" s="78">
        <f t="shared" si="18"/>
        <v>7070</v>
      </c>
      <c r="F42" s="40">
        <f t="shared" si="18"/>
        <v>4177</v>
      </c>
      <c r="G42" s="41">
        <f t="shared" si="18"/>
        <v>4173</v>
      </c>
      <c r="H42" s="42">
        <f t="shared" si="18"/>
        <v>8350</v>
      </c>
      <c r="I42" s="254">
        <f>IF(E42=0,0,((H42/E42)-1)*100)</f>
        <v>18.104667609618108</v>
      </c>
      <c r="L42" s="44" t="s">
        <v>21</v>
      </c>
      <c r="M42" s="42">
        <f aca="true" t="shared" si="19" ref="M42:V42">M39+M40+M41</f>
        <v>429386</v>
      </c>
      <c r="N42" s="121">
        <f t="shared" si="19"/>
        <v>470528</v>
      </c>
      <c r="O42" s="40">
        <f t="shared" si="19"/>
        <v>899914</v>
      </c>
      <c r="P42" s="42">
        <f t="shared" si="19"/>
        <v>80</v>
      </c>
      <c r="Q42" s="40">
        <f t="shared" si="19"/>
        <v>899994</v>
      </c>
      <c r="R42" s="42">
        <f t="shared" si="19"/>
        <v>519186</v>
      </c>
      <c r="S42" s="121">
        <f t="shared" si="19"/>
        <v>565930</v>
      </c>
      <c r="T42" s="40">
        <f t="shared" si="19"/>
        <v>1085116</v>
      </c>
      <c r="U42" s="42">
        <f t="shared" si="19"/>
        <v>79</v>
      </c>
      <c r="V42" s="42">
        <f t="shared" si="19"/>
        <v>1085195</v>
      </c>
      <c r="W42" s="257">
        <f>IF(Q42=0,0,((V42/Q42)-1)*100)</f>
        <v>20.578026075729383</v>
      </c>
    </row>
    <row r="43" spans="2:23" ht="13.5" thickTop="1">
      <c r="B43" s="4" t="s">
        <v>35</v>
      </c>
      <c r="C43" s="79">
        <v>1265</v>
      </c>
      <c r="D43" s="80">
        <v>1265</v>
      </c>
      <c r="E43" s="35">
        <f>+D43+C43</f>
        <v>2530</v>
      </c>
      <c r="F43" s="79">
        <f>1220+143</f>
        <v>1363</v>
      </c>
      <c r="G43" s="80">
        <f>1217+148</f>
        <v>1365</v>
      </c>
      <c r="H43" s="31">
        <f>F43+G43</f>
        <v>2728</v>
      </c>
      <c r="I43" s="256">
        <f t="shared" si="14"/>
        <v>7.826086956521738</v>
      </c>
      <c r="L43" s="4" t="s">
        <v>22</v>
      </c>
      <c r="M43" s="29">
        <v>132937</v>
      </c>
      <c r="N43" s="36">
        <v>135011</v>
      </c>
      <c r="O43" s="33">
        <f>SUM(M43:N43)</f>
        <v>267948</v>
      </c>
      <c r="P43" s="127">
        <v>32</v>
      </c>
      <c r="Q43" s="33">
        <f>+P43+O43</f>
        <v>267980</v>
      </c>
      <c r="R43" s="29">
        <v>153213</v>
      </c>
      <c r="S43" s="36">
        <v>155097</v>
      </c>
      <c r="T43" s="33">
        <f>SUM(R43:S43)</f>
        <v>308310</v>
      </c>
      <c r="U43" s="127">
        <v>0</v>
      </c>
      <c r="V43" s="51">
        <f>SUM(T43:U43)</f>
        <v>308310</v>
      </c>
      <c r="W43" s="256">
        <f t="shared" si="15"/>
        <v>15.049630569445483</v>
      </c>
    </row>
    <row r="44" spans="2:25" ht="12.75">
      <c r="B44" s="4" t="s">
        <v>23</v>
      </c>
      <c r="C44" s="79">
        <v>1208</v>
      </c>
      <c r="D44" s="80">
        <v>1209</v>
      </c>
      <c r="E44" s="35">
        <f>+D44+C44</f>
        <v>2417</v>
      </c>
      <c r="F44" s="79">
        <f>1136+101</f>
        <v>1237</v>
      </c>
      <c r="G44" s="80">
        <f>1132+104</f>
        <v>1236</v>
      </c>
      <c r="H44" s="31">
        <f>F44+G44</f>
        <v>2473</v>
      </c>
      <c r="I44" s="256">
        <f t="shared" si="14"/>
        <v>2.316921803889116</v>
      </c>
      <c r="L44" s="4" t="s">
        <v>23</v>
      </c>
      <c r="M44" s="29">
        <v>119580</v>
      </c>
      <c r="N44" s="36">
        <v>124305</v>
      </c>
      <c r="O44" s="33">
        <f>SUM(M44:N44)</f>
        <v>243885</v>
      </c>
      <c r="P44" s="127">
        <v>28</v>
      </c>
      <c r="Q44" s="33">
        <f>+P44+O44</f>
        <v>243913</v>
      </c>
      <c r="R44" s="29">
        <v>134367</v>
      </c>
      <c r="S44" s="36">
        <v>139161</v>
      </c>
      <c r="T44" s="33">
        <f>SUM(R44:S44)</f>
        <v>273528</v>
      </c>
      <c r="U44" s="127">
        <f>2+2</f>
        <v>4</v>
      </c>
      <c r="V44" s="51">
        <f>SUM(T44:U44)</f>
        <v>273532</v>
      </c>
      <c r="W44" s="256">
        <f t="shared" si="15"/>
        <v>12.143264196660276</v>
      </c>
      <c r="Y44" s="99"/>
    </row>
    <row r="45" spans="2:23" ht="13.5" thickBot="1">
      <c r="B45" s="4" t="s">
        <v>24</v>
      </c>
      <c r="C45" s="79">
        <f>947+147</f>
        <v>1094</v>
      </c>
      <c r="D45" s="80">
        <f>946+149</f>
        <v>1095</v>
      </c>
      <c r="E45" s="35">
        <f>+D45+C45</f>
        <v>2189</v>
      </c>
      <c r="F45" s="79">
        <f>1043+128</f>
        <v>1171</v>
      </c>
      <c r="G45" s="80">
        <f>1045+127</f>
        <v>1172</v>
      </c>
      <c r="H45" s="31">
        <f>F45+G45</f>
        <v>2343</v>
      </c>
      <c r="I45" s="256">
        <f t="shared" si="14"/>
        <v>7.035175879396993</v>
      </c>
      <c r="L45" s="4" t="s">
        <v>24</v>
      </c>
      <c r="M45" s="29">
        <v>118288</v>
      </c>
      <c r="N45" s="36">
        <v>117305</v>
      </c>
      <c r="O45" s="51">
        <f>SUM(M45:N45)</f>
        <v>235593</v>
      </c>
      <c r="P45" s="127">
        <v>0</v>
      </c>
      <c r="Q45" s="33">
        <f>+P45+O45</f>
        <v>235593</v>
      </c>
      <c r="R45" s="29">
        <v>131459</v>
      </c>
      <c r="S45" s="36">
        <v>131901</v>
      </c>
      <c r="T45" s="51">
        <f>SUM(R45:S45)</f>
        <v>263360</v>
      </c>
      <c r="U45" s="127">
        <v>13</v>
      </c>
      <c r="V45" s="318">
        <f>SUM(T45:U45)</f>
        <v>263373</v>
      </c>
      <c r="W45" s="256">
        <f t="shared" si="15"/>
        <v>11.791521819408901</v>
      </c>
    </row>
    <row r="46" spans="2:23" ht="14.25" thickBot="1" thickTop="1">
      <c r="B46" s="39" t="s">
        <v>59</v>
      </c>
      <c r="C46" s="40">
        <f aca="true" t="shared" si="20" ref="C46:H46">+C43+C44+C45</f>
        <v>3567</v>
      </c>
      <c r="D46" s="53">
        <f t="shared" si="20"/>
        <v>3569</v>
      </c>
      <c r="E46" s="53">
        <f t="shared" si="20"/>
        <v>7136</v>
      </c>
      <c r="F46" s="40">
        <f t="shared" si="20"/>
        <v>3771</v>
      </c>
      <c r="G46" s="53">
        <f t="shared" si="20"/>
        <v>3773</v>
      </c>
      <c r="H46" s="53">
        <f t="shared" si="20"/>
        <v>7544</v>
      </c>
      <c r="I46" s="258">
        <f t="shared" si="14"/>
        <v>5.717488789237679</v>
      </c>
      <c r="L46" s="39" t="s">
        <v>25</v>
      </c>
      <c r="M46" s="40">
        <f aca="true" t="shared" si="21" ref="M46:V46">+M43+M44+M45</f>
        <v>370805</v>
      </c>
      <c r="N46" s="41">
        <f t="shared" si="21"/>
        <v>376621</v>
      </c>
      <c r="O46" s="40">
        <f t="shared" si="21"/>
        <v>747426</v>
      </c>
      <c r="P46" s="42">
        <f t="shared" si="21"/>
        <v>60</v>
      </c>
      <c r="Q46" s="40">
        <f t="shared" si="21"/>
        <v>747486</v>
      </c>
      <c r="R46" s="40">
        <f t="shared" si="21"/>
        <v>419039</v>
      </c>
      <c r="S46" s="41">
        <f t="shared" si="21"/>
        <v>426159</v>
      </c>
      <c r="T46" s="40">
        <f t="shared" si="21"/>
        <v>845198</v>
      </c>
      <c r="U46" s="40">
        <f t="shared" si="21"/>
        <v>17</v>
      </c>
      <c r="V46" s="78">
        <f t="shared" si="21"/>
        <v>845215</v>
      </c>
      <c r="W46" s="319">
        <f t="shared" si="15"/>
        <v>13.07435858330457</v>
      </c>
    </row>
    <row r="47" spans="2:23" ht="13.5" thickTop="1">
      <c r="B47" s="4" t="s">
        <v>26</v>
      </c>
      <c r="C47" s="29">
        <f>946+168</f>
        <v>1114</v>
      </c>
      <c r="D47" s="30">
        <f>947+168</f>
        <v>1115</v>
      </c>
      <c r="E47" s="67">
        <f>+D47+C47</f>
        <v>2229</v>
      </c>
      <c r="F47" s="29">
        <v>1242</v>
      </c>
      <c r="G47" s="30">
        <v>1239</v>
      </c>
      <c r="H47" s="58">
        <f>F47+G47</f>
        <v>2481</v>
      </c>
      <c r="I47" s="256">
        <f t="shared" si="14"/>
        <v>11.305518169582761</v>
      </c>
      <c r="L47" s="4" t="s">
        <v>27</v>
      </c>
      <c r="M47" s="29">
        <v>146500</v>
      </c>
      <c r="N47" s="36">
        <v>151306</v>
      </c>
      <c r="O47" s="51">
        <f>SUM(M47:N47)</f>
        <v>297806</v>
      </c>
      <c r="P47" s="332">
        <v>0</v>
      </c>
      <c r="Q47" s="33">
        <f>+P47+O47</f>
        <v>297806</v>
      </c>
      <c r="R47" s="29">
        <v>149598</v>
      </c>
      <c r="S47" s="36">
        <v>156239</v>
      </c>
      <c r="T47" s="51">
        <f>SUM(R47:S47)</f>
        <v>305837</v>
      </c>
      <c r="U47" s="59">
        <v>69</v>
      </c>
      <c r="V47" s="31">
        <f>T47+U47</f>
        <v>305906</v>
      </c>
      <c r="W47" s="256">
        <f t="shared" si="15"/>
        <v>2.7198914729723356</v>
      </c>
    </row>
    <row r="48" spans="2:23" ht="12.75">
      <c r="B48" s="4" t="s">
        <v>28</v>
      </c>
      <c r="C48" s="29">
        <v>1113</v>
      </c>
      <c r="D48" s="30">
        <v>1111</v>
      </c>
      <c r="E48" s="35">
        <f>+D48+C48</f>
        <v>2224</v>
      </c>
      <c r="F48" s="29">
        <v>1167</v>
      </c>
      <c r="G48" s="30">
        <v>1165</v>
      </c>
      <c r="H48" s="31">
        <f>F48+G48</f>
        <v>2332</v>
      </c>
      <c r="I48" s="256">
        <f>IF(E48=0,0,((H48/E48)-1)*100)</f>
        <v>4.856115107913661</v>
      </c>
      <c r="L48" s="4" t="s">
        <v>28</v>
      </c>
      <c r="M48" s="29">
        <v>136205</v>
      </c>
      <c r="N48" s="36">
        <v>150163</v>
      </c>
      <c r="O48" s="33">
        <f>SUM(M48:N48)</f>
        <v>286368</v>
      </c>
      <c r="P48" s="127">
        <v>0</v>
      </c>
      <c r="Q48" s="33">
        <f>+P48+O48</f>
        <v>286368</v>
      </c>
      <c r="R48" s="29">
        <v>152299</v>
      </c>
      <c r="S48" s="36">
        <v>166821</v>
      </c>
      <c r="T48" s="33">
        <f>SUM(R48:S48)</f>
        <v>319120</v>
      </c>
      <c r="U48" s="34">
        <v>0</v>
      </c>
      <c r="V48" s="31">
        <f>SUM(T48:U48)</f>
        <v>319120</v>
      </c>
      <c r="W48" s="256">
        <f>IF(Q48=0,0,((V48/Q48)-1)*100)</f>
        <v>11.437032070622411</v>
      </c>
    </row>
    <row r="49" spans="2:23" ht="13.5" thickBot="1">
      <c r="B49" s="4" t="s">
        <v>29</v>
      </c>
      <c r="C49" s="29">
        <v>1031</v>
      </c>
      <c r="D49" s="60">
        <v>1031</v>
      </c>
      <c r="E49" s="35">
        <f>+D49+C49</f>
        <v>2062</v>
      </c>
      <c r="F49" s="29">
        <v>1198</v>
      </c>
      <c r="G49" s="60">
        <v>1201</v>
      </c>
      <c r="H49" s="31">
        <f>F49+G49</f>
        <v>2399</v>
      </c>
      <c r="I49" s="256">
        <f t="shared" si="14"/>
        <v>16.343355965082452</v>
      </c>
      <c r="L49" s="4" t="s">
        <v>29</v>
      </c>
      <c r="M49" s="29">
        <v>123325</v>
      </c>
      <c r="N49" s="36">
        <v>126198</v>
      </c>
      <c r="O49" s="33">
        <f>SUM(M49:N49)</f>
        <v>249523</v>
      </c>
      <c r="P49" s="314">
        <v>0</v>
      </c>
      <c r="Q49" s="33">
        <f>+P49+O49</f>
        <v>249523</v>
      </c>
      <c r="R49" s="29">
        <v>136118</v>
      </c>
      <c r="S49" s="36">
        <v>139939</v>
      </c>
      <c r="T49" s="33">
        <f>SUM(R49:S49)</f>
        <v>276057</v>
      </c>
      <c r="U49" s="52">
        <v>0</v>
      </c>
      <c r="V49" s="31">
        <f>SUM(T49:U49)</f>
        <v>276057</v>
      </c>
      <c r="W49" s="256">
        <f t="shared" si="15"/>
        <v>10.633889461091762</v>
      </c>
    </row>
    <row r="50" spans="2:23" ht="14.25" thickBot="1" thickTop="1">
      <c r="B50" s="39" t="s">
        <v>30</v>
      </c>
      <c r="C50" s="40">
        <f aca="true" t="shared" si="22" ref="C50:H50">+C47+C48+C49</f>
        <v>3258</v>
      </c>
      <c r="D50" s="41">
        <f t="shared" si="22"/>
        <v>3257</v>
      </c>
      <c r="E50" s="40">
        <f t="shared" si="22"/>
        <v>6515</v>
      </c>
      <c r="F50" s="42">
        <f t="shared" si="22"/>
        <v>3607</v>
      </c>
      <c r="G50" s="121">
        <f t="shared" si="22"/>
        <v>3605</v>
      </c>
      <c r="H50" s="40">
        <f t="shared" si="22"/>
        <v>7212</v>
      </c>
      <c r="I50" s="258">
        <f t="shared" si="14"/>
        <v>10.69838833461243</v>
      </c>
      <c r="L50" s="39" t="s">
        <v>30</v>
      </c>
      <c r="M50" s="40">
        <f aca="true" t="shared" si="23" ref="M50:V50">+M47+M48+M49</f>
        <v>406030</v>
      </c>
      <c r="N50" s="41">
        <f t="shared" si="23"/>
        <v>427667</v>
      </c>
      <c r="O50" s="40">
        <f t="shared" si="23"/>
        <v>833697</v>
      </c>
      <c r="P50" s="42">
        <f t="shared" si="23"/>
        <v>0</v>
      </c>
      <c r="Q50" s="40">
        <f t="shared" si="23"/>
        <v>833697</v>
      </c>
      <c r="R50" s="40">
        <f t="shared" si="23"/>
        <v>438015</v>
      </c>
      <c r="S50" s="41">
        <f t="shared" si="23"/>
        <v>462999</v>
      </c>
      <c r="T50" s="40">
        <f t="shared" si="23"/>
        <v>901014</v>
      </c>
      <c r="U50" s="40">
        <f t="shared" si="23"/>
        <v>69</v>
      </c>
      <c r="V50" s="42">
        <f t="shared" si="23"/>
        <v>901083</v>
      </c>
      <c r="W50" s="319">
        <f t="shared" si="15"/>
        <v>8.082792669279137</v>
      </c>
    </row>
    <row r="51" spans="2:23" ht="14.25" thickBot="1" thickTop="1">
      <c r="B51" s="39" t="s">
        <v>66</v>
      </c>
      <c r="C51" s="76">
        <f aca="true" t="shared" si="24" ref="C51:H51">+C42+C46+C50</f>
        <v>10360</v>
      </c>
      <c r="D51" s="77">
        <f t="shared" si="24"/>
        <v>10361</v>
      </c>
      <c r="E51" s="78">
        <f t="shared" si="24"/>
        <v>20721</v>
      </c>
      <c r="F51" s="40">
        <f t="shared" si="24"/>
        <v>11555</v>
      </c>
      <c r="G51" s="41">
        <f t="shared" si="24"/>
        <v>11551</v>
      </c>
      <c r="H51" s="42">
        <f t="shared" si="24"/>
        <v>23106</v>
      </c>
      <c r="I51" s="254">
        <f t="shared" si="14"/>
        <v>11.510062255682652</v>
      </c>
      <c r="L51" s="39" t="s">
        <v>66</v>
      </c>
      <c r="M51" s="42">
        <f aca="true" t="shared" si="25" ref="M51:V51">+M42+M46+M50</f>
        <v>1206221</v>
      </c>
      <c r="N51" s="121">
        <f t="shared" si="25"/>
        <v>1274816</v>
      </c>
      <c r="O51" s="40">
        <f t="shared" si="25"/>
        <v>2481037</v>
      </c>
      <c r="P51" s="42">
        <f t="shared" si="25"/>
        <v>140</v>
      </c>
      <c r="Q51" s="40">
        <f t="shared" si="25"/>
        <v>2481177</v>
      </c>
      <c r="R51" s="42">
        <f t="shared" si="25"/>
        <v>1376240</v>
      </c>
      <c r="S51" s="121">
        <f t="shared" si="25"/>
        <v>1455088</v>
      </c>
      <c r="T51" s="40">
        <f t="shared" si="25"/>
        <v>2831328</v>
      </c>
      <c r="U51" s="40">
        <f t="shared" si="25"/>
        <v>165</v>
      </c>
      <c r="V51" s="42">
        <f t="shared" si="25"/>
        <v>2831493</v>
      </c>
      <c r="W51" s="257">
        <f t="shared" si="15"/>
        <v>14.118944355844022</v>
      </c>
    </row>
    <row r="52" spans="2:23" ht="14.25" thickBot="1" thickTop="1">
      <c r="B52" s="39" t="s">
        <v>9</v>
      </c>
      <c r="C52" s="42">
        <f aca="true" t="shared" si="26" ref="C52:H52">+C42+C46+C50+C38</f>
        <v>13527</v>
      </c>
      <c r="D52" s="121">
        <f t="shared" si="26"/>
        <v>13527</v>
      </c>
      <c r="E52" s="40">
        <f t="shared" si="26"/>
        <v>27054</v>
      </c>
      <c r="F52" s="42">
        <f t="shared" si="26"/>
        <v>15416</v>
      </c>
      <c r="G52" s="121">
        <f t="shared" si="26"/>
        <v>15409</v>
      </c>
      <c r="H52" s="40">
        <f t="shared" si="26"/>
        <v>30825</v>
      </c>
      <c r="I52" s="258">
        <f t="shared" si="14"/>
        <v>13.938789088489688</v>
      </c>
      <c r="L52" s="39" t="s">
        <v>9</v>
      </c>
      <c r="M52" s="42">
        <f aca="true" t="shared" si="27" ref="M52:V52">+M42+M46+M50+M38</f>
        <v>1636170</v>
      </c>
      <c r="N52" s="121">
        <f t="shared" si="27"/>
        <v>1698757</v>
      </c>
      <c r="O52" s="40">
        <f t="shared" si="27"/>
        <v>3334927</v>
      </c>
      <c r="P52" s="42">
        <f t="shared" si="27"/>
        <v>143</v>
      </c>
      <c r="Q52" s="40">
        <f t="shared" si="27"/>
        <v>3335070</v>
      </c>
      <c r="R52" s="42">
        <f t="shared" si="27"/>
        <v>1893805</v>
      </c>
      <c r="S52" s="121">
        <f t="shared" si="27"/>
        <v>1950981</v>
      </c>
      <c r="T52" s="40">
        <f t="shared" si="27"/>
        <v>3844786</v>
      </c>
      <c r="U52" s="40">
        <f t="shared" si="27"/>
        <v>165</v>
      </c>
      <c r="V52" s="42">
        <f t="shared" si="27"/>
        <v>3844951</v>
      </c>
      <c r="W52" s="257">
        <f t="shared" si="15"/>
        <v>15.28846470988614</v>
      </c>
    </row>
    <row r="53" spans="2:12" ht="13.5" thickTop="1">
      <c r="B53" s="63" t="s">
        <v>64</v>
      </c>
      <c r="L53" s="63" t="s">
        <v>64</v>
      </c>
    </row>
    <row r="54" spans="2:23" ht="12.75">
      <c r="B54" s="336" t="s">
        <v>36</v>
      </c>
      <c r="C54" s="336"/>
      <c r="D54" s="336"/>
      <c r="E54" s="336"/>
      <c r="F54" s="336"/>
      <c r="G54" s="336"/>
      <c r="H54" s="336"/>
      <c r="I54" s="336"/>
      <c r="L54" s="336" t="s">
        <v>37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</row>
    <row r="55" spans="2:23" ht="15.75">
      <c r="B55" s="337" t="s">
        <v>38</v>
      </c>
      <c r="C55" s="337"/>
      <c r="D55" s="337"/>
      <c r="E55" s="337"/>
      <c r="F55" s="337"/>
      <c r="G55" s="337"/>
      <c r="H55" s="337"/>
      <c r="I55" s="337"/>
      <c r="L55" s="337" t="s">
        <v>39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ht="13.5" thickBot="1"/>
    <row r="57" spans="2:23" ht="17.25" thickBot="1" thickTop="1">
      <c r="B57" s="3"/>
      <c r="C57" s="341" t="s">
        <v>67</v>
      </c>
      <c r="D57" s="342"/>
      <c r="E57" s="343"/>
      <c r="F57" s="344" t="s">
        <v>68</v>
      </c>
      <c r="G57" s="345"/>
      <c r="H57" s="346"/>
      <c r="I57" s="239" t="s">
        <v>4</v>
      </c>
      <c r="L57" s="3"/>
      <c r="M57" s="347" t="s">
        <v>67</v>
      </c>
      <c r="N57" s="348"/>
      <c r="O57" s="348"/>
      <c r="P57" s="348"/>
      <c r="Q57" s="349"/>
      <c r="R57" s="338" t="s">
        <v>68</v>
      </c>
      <c r="S57" s="339"/>
      <c r="T57" s="339"/>
      <c r="U57" s="339"/>
      <c r="V57" s="340"/>
      <c r="W57" s="239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0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0" t="s">
        <v>6</v>
      </c>
    </row>
    <row r="59" spans="2:23" ht="13.5" thickBot="1">
      <c r="B59" s="12" t="s">
        <v>40</v>
      </c>
      <c r="C59" s="13" t="s">
        <v>7</v>
      </c>
      <c r="D59" s="230" t="s">
        <v>8</v>
      </c>
      <c r="E59" s="14" t="s">
        <v>9</v>
      </c>
      <c r="F59" s="13" t="s">
        <v>7</v>
      </c>
      <c r="G59" s="230" t="s">
        <v>8</v>
      </c>
      <c r="H59" s="14" t="s">
        <v>9</v>
      </c>
      <c r="I59" s="241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1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4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07"/>
    </row>
    <row r="61" spans="2:23" ht="12.75">
      <c r="B61" s="4" t="s">
        <v>14</v>
      </c>
      <c r="C61" s="71">
        <f aca="true" t="shared" si="28" ref="C61:H62">+C9+C35</f>
        <v>1108</v>
      </c>
      <c r="D61" s="72">
        <f t="shared" si="28"/>
        <v>1110</v>
      </c>
      <c r="E61" s="73">
        <f t="shared" si="28"/>
        <v>2218</v>
      </c>
      <c r="F61" s="71">
        <f t="shared" si="28"/>
        <v>1362</v>
      </c>
      <c r="G61" s="72">
        <f t="shared" si="28"/>
        <v>1355</v>
      </c>
      <c r="H61" s="81">
        <f t="shared" si="28"/>
        <v>2717</v>
      </c>
      <c r="I61" s="256">
        <f aca="true" t="shared" si="29" ref="I61:I78">IF(E61=0,0,((H61/E61)-1)*100)</f>
        <v>22.497745716862028</v>
      </c>
      <c r="L61" s="4" t="s">
        <v>14</v>
      </c>
      <c r="M61" s="29">
        <f aca="true" t="shared" si="30" ref="M61:V61">+M9+M35</f>
        <v>135298</v>
      </c>
      <c r="N61" s="36">
        <f t="shared" si="30"/>
        <v>134205</v>
      </c>
      <c r="O61" s="33">
        <f t="shared" si="30"/>
        <v>269503</v>
      </c>
      <c r="P61" s="34">
        <f t="shared" si="30"/>
        <v>94</v>
      </c>
      <c r="Q61" s="31">
        <f t="shared" si="30"/>
        <v>269597</v>
      </c>
      <c r="R61" s="29">
        <f t="shared" si="30"/>
        <v>178886</v>
      </c>
      <c r="S61" s="36">
        <f t="shared" si="30"/>
        <v>158675</v>
      </c>
      <c r="T61" s="51">
        <f t="shared" si="30"/>
        <v>337561</v>
      </c>
      <c r="U61" s="34">
        <f t="shared" si="30"/>
        <v>14</v>
      </c>
      <c r="V61" s="31">
        <f t="shared" si="30"/>
        <v>337575</v>
      </c>
      <c r="W61" s="256">
        <f aca="true" t="shared" si="31" ref="W61:W78">IF(Q61=0,0,((V61/Q61)-1)*100)</f>
        <v>25.21467227009202</v>
      </c>
    </row>
    <row r="62" spans="2:23" ht="12" customHeight="1">
      <c r="B62" s="4" t="s">
        <v>15</v>
      </c>
      <c r="C62" s="29">
        <f t="shared" si="28"/>
        <v>1220</v>
      </c>
      <c r="D62" s="30">
        <f t="shared" si="28"/>
        <v>1223</v>
      </c>
      <c r="E62" s="73">
        <f t="shared" si="28"/>
        <v>2443</v>
      </c>
      <c r="F62" s="29">
        <f t="shared" si="28"/>
        <v>1419</v>
      </c>
      <c r="G62" s="30">
        <f t="shared" si="28"/>
        <v>1421</v>
      </c>
      <c r="H62" s="35">
        <f t="shared" si="28"/>
        <v>2840</v>
      </c>
      <c r="I62" s="256">
        <f t="shared" si="29"/>
        <v>16.250511665984433</v>
      </c>
      <c r="L62" s="4" t="s">
        <v>15</v>
      </c>
      <c r="M62" s="29">
        <f aca="true" t="shared" si="32" ref="M62:V62">+M10+M36</f>
        <v>155675</v>
      </c>
      <c r="N62" s="36">
        <f t="shared" si="32"/>
        <v>157298</v>
      </c>
      <c r="O62" s="33">
        <f t="shared" si="32"/>
        <v>312973</v>
      </c>
      <c r="P62" s="34">
        <f t="shared" si="32"/>
        <v>11</v>
      </c>
      <c r="Q62" s="31">
        <f t="shared" si="32"/>
        <v>312984</v>
      </c>
      <c r="R62" s="29">
        <f t="shared" si="32"/>
        <v>179662</v>
      </c>
      <c r="S62" s="36">
        <f t="shared" si="32"/>
        <v>182265</v>
      </c>
      <c r="T62" s="33">
        <f t="shared" si="32"/>
        <v>361927</v>
      </c>
      <c r="U62" s="34">
        <f t="shared" si="32"/>
        <v>13</v>
      </c>
      <c r="V62" s="31">
        <f t="shared" si="32"/>
        <v>361940</v>
      </c>
      <c r="W62" s="256">
        <f t="shared" si="31"/>
        <v>15.641694144109607</v>
      </c>
    </row>
    <row r="63" spans="2:23" ht="12" customHeight="1" thickBot="1">
      <c r="B63" s="4" t="s">
        <v>16</v>
      </c>
      <c r="C63" s="68">
        <f>C11+C37</f>
        <v>1261</v>
      </c>
      <c r="D63" s="36">
        <f>D11+D37</f>
        <v>1257</v>
      </c>
      <c r="E63" s="310">
        <f>+E11+E37</f>
        <v>2518</v>
      </c>
      <c r="F63" s="68">
        <f>F11+F37</f>
        <v>1634</v>
      </c>
      <c r="G63" s="36">
        <f>G11+G37</f>
        <v>1633</v>
      </c>
      <c r="H63" s="69">
        <f>H11+H37</f>
        <v>3267</v>
      </c>
      <c r="I63" s="256">
        <f t="shared" si="29"/>
        <v>29.745830023828447</v>
      </c>
      <c r="L63" s="4" t="s">
        <v>16</v>
      </c>
      <c r="M63" s="29">
        <f aca="true" t="shared" si="33" ref="M63:V63">+M11+M37</f>
        <v>179341</v>
      </c>
      <c r="N63" s="36">
        <f t="shared" si="33"/>
        <v>170295</v>
      </c>
      <c r="O63" s="33">
        <f t="shared" si="33"/>
        <v>349636</v>
      </c>
      <c r="P63" s="34">
        <f t="shared" si="33"/>
        <v>6</v>
      </c>
      <c r="Q63" s="31">
        <f t="shared" si="33"/>
        <v>349642</v>
      </c>
      <c r="R63" s="29">
        <f t="shared" si="33"/>
        <v>219417</v>
      </c>
      <c r="S63" s="36">
        <f t="shared" si="33"/>
        <v>212318</v>
      </c>
      <c r="T63" s="33">
        <f t="shared" si="33"/>
        <v>431735</v>
      </c>
      <c r="U63" s="34">
        <f t="shared" si="33"/>
        <v>620</v>
      </c>
      <c r="V63" s="31">
        <f t="shared" si="33"/>
        <v>432355</v>
      </c>
      <c r="W63" s="256">
        <f t="shared" si="31"/>
        <v>23.65648291681206</v>
      </c>
    </row>
    <row r="64" spans="2:23" ht="14.25" thickBot="1" thickTop="1">
      <c r="B64" s="39" t="s">
        <v>58</v>
      </c>
      <c r="C64" s="45">
        <f>C62+C61+C63</f>
        <v>3589</v>
      </c>
      <c r="D64" s="122">
        <f>D62+D61+D63</f>
        <v>3590</v>
      </c>
      <c r="E64" s="83">
        <f>+E61+E62+E63</f>
        <v>7179</v>
      </c>
      <c r="F64" s="45">
        <f>F62+F61+F63</f>
        <v>4415</v>
      </c>
      <c r="G64" s="122">
        <f>G62+G61+G63</f>
        <v>4409</v>
      </c>
      <c r="H64" s="126">
        <f>H62+H61+H63</f>
        <v>8824</v>
      </c>
      <c r="I64" s="257">
        <f t="shared" si="29"/>
        <v>22.914054882295588</v>
      </c>
      <c r="L64" s="39" t="s">
        <v>58</v>
      </c>
      <c r="M64" s="42">
        <f aca="true" t="shared" si="34" ref="M64:V64">+M61+M62+M63</f>
        <v>470314</v>
      </c>
      <c r="N64" s="121">
        <f t="shared" si="34"/>
        <v>461798</v>
      </c>
      <c r="O64" s="40">
        <f t="shared" si="34"/>
        <v>932112</v>
      </c>
      <c r="P64" s="40">
        <f t="shared" si="34"/>
        <v>111</v>
      </c>
      <c r="Q64" s="40">
        <f t="shared" si="34"/>
        <v>932223</v>
      </c>
      <c r="R64" s="42">
        <f t="shared" si="34"/>
        <v>577965</v>
      </c>
      <c r="S64" s="121">
        <f t="shared" si="34"/>
        <v>553258</v>
      </c>
      <c r="T64" s="40">
        <f t="shared" si="34"/>
        <v>1131223</v>
      </c>
      <c r="U64" s="40">
        <f t="shared" si="34"/>
        <v>647</v>
      </c>
      <c r="V64" s="40">
        <f t="shared" si="34"/>
        <v>1131870</v>
      </c>
      <c r="W64" s="257">
        <f t="shared" si="31"/>
        <v>21.416227662265364</v>
      </c>
    </row>
    <row r="65" spans="2:23" ht="13.5" thickTop="1">
      <c r="B65" s="4" t="s">
        <v>18</v>
      </c>
      <c r="C65" s="71">
        <f aca="true" t="shared" si="35" ref="C65:H66">+C13+C39</f>
        <v>1299</v>
      </c>
      <c r="D65" s="72">
        <f t="shared" si="35"/>
        <v>1299</v>
      </c>
      <c r="E65" s="81">
        <f t="shared" si="35"/>
        <v>2598</v>
      </c>
      <c r="F65" s="29">
        <f t="shared" si="35"/>
        <v>1708</v>
      </c>
      <c r="G65" s="30">
        <f t="shared" si="35"/>
        <v>1710</v>
      </c>
      <c r="H65" s="31">
        <f t="shared" si="35"/>
        <v>3418</v>
      </c>
      <c r="I65" s="256">
        <f t="shared" si="29"/>
        <v>31.562740569668968</v>
      </c>
      <c r="L65" s="4" t="s">
        <v>18</v>
      </c>
      <c r="M65" s="29">
        <f aca="true" t="shared" si="36" ref="M65:V65">+M13+M39</f>
        <v>169893</v>
      </c>
      <c r="N65" s="36">
        <f t="shared" si="36"/>
        <v>184861</v>
      </c>
      <c r="O65" s="33">
        <f t="shared" si="36"/>
        <v>354754</v>
      </c>
      <c r="P65" s="34">
        <f t="shared" si="36"/>
        <v>87</v>
      </c>
      <c r="Q65" s="35">
        <f t="shared" si="36"/>
        <v>354841</v>
      </c>
      <c r="R65" s="29">
        <f t="shared" si="36"/>
        <v>221104</v>
      </c>
      <c r="S65" s="36">
        <f t="shared" si="36"/>
        <v>239054</v>
      </c>
      <c r="T65" s="33">
        <f t="shared" si="36"/>
        <v>460158</v>
      </c>
      <c r="U65" s="34">
        <f t="shared" si="36"/>
        <v>0</v>
      </c>
      <c r="V65" s="31">
        <f t="shared" si="36"/>
        <v>460158</v>
      </c>
      <c r="W65" s="256">
        <f t="shared" si="31"/>
        <v>29.680053883288583</v>
      </c>
    </row>
    <row r="66" spans="2:23" ht="12.75">
      <c r="B66" s="4" t="s">
        <v>19</v>
      </c>
      <c r="C66" s="29">
        <f t="shared" si="35"/>
        <v>1281</v>
      </c>
      <c r="D66" s="30">
        <f t="shared" si="35"/>
        <v>1280</v>
      </c>
      <c r="E66" s="35">
        <f t="shared" si="35"/>
        <v>2561</v>
      </c>
      <c r="F66" s="29">
        <f t="shared" si="35"/>
        <v>1530</v>
      </c>
      <c r="G66" s="30">
        <f t="shared" si="35"/>
        <v>1530</v>
      </c>
      <c r="H66" s="31">
        <f t="shared" si="35"/>
        <v>3060</v>
      </c>
      <c r="I66" s="256">
        <f t="shared" si="29"/>
        <v>19.48457633736822</v>
      </c>
      <c r="L66" s="4" t="s">
        <v>19</v>
      </c>
      <c r="M66" s="29">
        <f aca="true" t="shared" si="37" ref="M66:V66">+M14+M40</f>
        <v>158917</v>
      </c>
      <c r="N66" s="36">
        <f t="shared" si="37"/>
        <v>172999</v>
      </c>
      <c r="O66" s="33">
        <f t="shared" si="37"/>
        <v>331916</v>
      </c>
      <c r="P66" s="34">
        <f t="shared" si="37"/>
        <v>0</v>
      </c>
      <c r="Q66" s="35">
        <f t="shared" si="37"/>
        <v>331916</v>
      </c>
      <c r="R66" s="29">
        <f t="shared" si="37"/>
        <v>193515</v>
      </c>
      <c r="S66" s="36">
        <f t="shared" si="37"/>
        <v>208461</v>
      </c>
      <c r="T66" s="33">
        <f t="shared" si="37"/>
        <v>401976</v>
      </c>
      <c r="U66" s="34">
        <f t="shared" si="37"/>
        <v>3</v>
      </c>
      <c r="V66" s="31">
        <f t="shared" si="37"/>
        <v>401979</v>
      </c>
      <c r="W66" s="256">
        <f t="shared" si="31"/>
        <v>21.10865399679438</v>
      </c>
    </row>
    <row r="67" spans="2:23" ht="13.5" thickBot="1">
      <c r="B67" s="4" t="s">
        <v>20</v>
      </c>
      <c r="C67" s="29">
        <f>+C15+C41</f>
        <v>1488</v>
      </c>
      <c r="D67" s="30">
        <f>+D15+D41</f>
        <v>1490</v>
      </c>
      <c r="E67" s="69">
        <f>E15+E41</f>
        <v>2978</v>
      </c>
      <c r="F67" s="29">
        <f>+F15+F41</f>
        <v>1586</v>
      </c>
      <c r="G67" s="30">
        <f>+G15+G41</f>
        <v>1582</v>
      </c>
      <c r="H67" s="31">
        <f>+H15+H41</f>
        <v>3168</v>
      </c>
      <c r="I67" s="256">
        <f t="shared" si="29"/>
        <v>6.380120886501017</v>
      </c>
      <c r="L67" s="4" t="s">
        <v>20</v>
      </c>
      <c r="M67" s="68">
        <f aca="true" t="shared" si="38" ref="M67:V67">+M15+M41</f>
        <v>150035</v>
      </c>
      <c r="N67" s="92">
        <f t="shared" si="38"/>
        <v>162971</v>
      </c>
      <c r="O67" s="33">
        <f t="shared" si="38"/>
        <v>313006</v>
      </c>
      <c r="P67" s="34">
        <f t="shared" si="38"/>
        <v>2</v>
      </c>
      <c r="Q67" s="35">
        <f t="shared" si="38"/>
        <v>313008</v>
      </c>
      <c r="R67" s="29">
        <f t="shared" si="38"/>
        <v>175522</v>
      </c>
      <c r="S67" s="36">
        <f t="shared" si="38"/>
        <v>191085</v>
      </c>
      <c r="T67" s="33">
        <f t="shared" si="38"/>
        <v>366607</v>
      </c>
      <c r="U67" s="34">
        <f t="shared" si="38"/>
        <v>79</v>
      </c>
      <c r="V67" s="31">
        <f t="shared" si="38"/>
        <v>366686</v>
      </c>
      <c r="W67" s="256">
        <f t="shared" si="31"/>
        <v>17.149082451566745</v>
      </c>
    </row>
    <row r="68" spans="2:23" ht="14.25" thickBot="1" thickTop="1">
      <c r="B68" s="44" t="s">
        <v>21</v>
      </c>
      <c r="C68" s="76">
        <f aca="true" t="shared" si="39" ref="C68:H68">C65+C66+C67</f>
        <v>4068</v>
      </c>
      <c r="D68" s="77">
        <f t="shared" si="39"/>
        <v>4069</v>
      </c>
      <c r="E68" s="78">
        <f t="shared" si="39"/>
        <v>8137</v>
      </c>
      <c r="F68" s="40">
        <f t="shared" si="39"/>
        <v>4824</v>
      </c>
      <c r="G68" s="41">
        <f t="shared" si="39"/>
        <v>4822</v>
      </c>
      <c r="H68" s="42">
        <f t="shared" si="39"/>
        <v>9646</v>
      </c>
      <c r="I68" s="254">
        <f>IF(E68=0,0,((H68/E68)-1)*100)</f>
        <v>18.544918274548362</v>
      </c>
      <c r="L68" s="44" t="s">
        <v>21</v>
      </c>
      <c r="M68" s="42">
        <f aca="true" t="shared" si="40" ref="M68:V68">M65+M66+M67</f>
        <v>478845</v>
      </c>
      <c r="N68" s="121">
        <f t="shared" si="40"/>
        <v>520831</v>
      </c>
      <c r="O68" s="40">
        <f t="shared" si="40"/>
        <v>999676</v>
      </c>
      <c r="P68" s="40">
        <f t="shared" si="40"/>
        <v>89</v>
      </c>
      <c r="Q68" s="40">
        <f t="shared" si="40"/>
        <v>999765</v>
      </c>
      <c r="R68" s="42">
        <f t="shared" si="40"/>
        <v>590141</v>
      </c>
      <c r="S68" s="121">
        <f t="shared" si="40"/>
        <v>638600</v>
      </c>
      <c r="T68" s="40">
        <f t="shared" si="40"/>
        <v>1228741</v>
      </c>
      <c r="U68" s="40">
        <f t="shared" si="40"/>
        <v>82</v>
      </c>
      <c r="V68" s="40">
        <f t="shared" si="40"/>
        <v>1228823</v>
      </c>
      <c r="W68" s="257">
        <f>IF(Q68=0,0,((V68/Q68)-1)*100)</f>
        <v>22.911184128270136</v>
      </c>
    </row>
    <row r="69" spans="2:23" ht="13.5" thickTop="1">
      <c r="B69" s="4" t="s">
        <v>22</v>
      </c>
      <c r="C69" s="29">
        <f aca="true" t="shared" si="41" ref="C69:H71">+C17+C43</f>
        <v>1412</v>
      </c>
      <c r="D69" s="30">
        <f t="shared" si="41"/>
        <v>1413</v>
      </c>
      <c r="E69" s="35">
        <f t="shared" si="41"/>
        <v>2825</v>
      </c>
      <c r="F69" s="29">
        <f t="shared" si="41"/>
        <v>1544</v>
      </c>
      <c r="G69" s="30">
        <f t="shared" si="41"/>
        <v>1545</v>
      </c>
      <c r="H69" s="35">
        <f t="shared" si="41"/>
        <v>3089</v>
      </c>
      <c r="I69" s="256">
        <f t="shared" si="29"/>
        <v>9.34513274336284</v>
      </c>
      <c r="L69" s="4" t="s">
        <v>22</v>
      </c>
      <c r="M69" s="29">
        <f aca="true" t="shared" si="42" ref="M69:V69">+M17+M43</f>
        <v>147116</v>
      </c>
      <c r="N69" s="36">
        <f t="shared" si="42"/>
        <v>148451</v>
      </c>
      <c r="O69" s="33">
        <f t="shared" si="42"/>
        <v>295567</v>
      </c>
      <c r="P69" s="34">
        <f t="shared" si="42"/>
        <v>33</v>
      </c>
      <c r="Q69" s="35">
        <f t="shared" si="42"/>
        <v>295600</v>
      </c>
      <c r="R69" s="29">
        <f t="shared" si="42"/>
        <v>171699</v>
      </c>
      <c r="S69" s="36">
        <f t="shared" si="42"/>
        <v>173012</v>
      </c>
      <c r="T69" s="33">
        <f t="shared" si="42"/>
        <v>344711</v>
      </c>
      <c r="U69" s="34">
        <f t="shared" si="42"/>
        <v>45</v>
      </c>
      <c r="V69" s="31">
        <f t="shared" si="42"/>
        <v>344756</v>
      </c>
      <c r="W69" s="256">
        <f t="shared" si="31"/>
        <v>16.62922868741543</v>
      </c>
    </row>
    <row r="70" spans="2:23" ht="12.75">
      <c r="B70" s="4" t="s">
        <v>23</v>
      </c>
      <c r="C70" s="29">
        <f t="shared" si="41"/>
        <v>1359</v>
      </c>
      <c r="D70" s="30">
        <f t="shared" si="41"/>
        <v>1359</v>
      </c>
      <c r="E70" s="35">
        <f t="shared" si="41"/>
        <v>2718</v>
      </c>
      <c r="F70" s="29">
        <f t="shared" si="41"/>
        <v>1423</v>
      </c>
      <c r="G70" s="30">
        <f t="shared" si="41"/>
        <v>1421</v>
      </c>
      <c r="H70" s="31">
        <f t="shared" si="41"/>
        <v>2844</v>
      </c>
      <c r="I70" s="256">
        <f t="shared" si="29"/>
        <v>4.635761589403975</v>
      </c>
      <c r="L70" s="4" t="s">
        <v>23</v>
      </c>
      <c r="M70" s="29">
        <f aca="true" t="shared" si="43" ref="M70:V70">+M18+M44</f>
        <v>133696</v>
      </c>
      <c r="N70" s="36">
        <f t="shared" si="43"/>
        <v>137495</v>
      </c>
      <c r="O70" s="33">
        <f t="shared" si="43"/>
        <v>271191</v>
      </c>
      <c r="P70" s="34">
        <f t="shared" si="43"/>
        <v>357</v>
      </c>
      <c r="Q70" s="35">
        <f t="shared" si="43"/>
        <v>271548</v>
      </c>
      <c r="R70" s="29">
        <f t="shared" si="43"/>
        <v>151017</v>
      </c>
      <c r="S70" s="36">
        <f t="shared" si="43"/>
        <v>155418</v>
      </c>
      <c r="T70" s="33">
        <f t="shared" si="43"/>
        <v>306435</v>
      </c>
      <c r="U70" s="34">
        <f t="shared" si="43"/>
        <v>318</v>
      </c>
      <c r="V70" s="31">
        <f t="shared" si="43"/>
        <v>306753</v>
      </c>
      <c r="W70" s="256">
        <f t="shared" si="31"/>
        <v>12.964558752043832</v>
      </c>
    </row>
    <row r="71" spans="2:23" ht="13.5" thickBot="1">
      <c r="B71" s="4" t="s">
        <v>24</v>
      </c>
      <c r="C71" s="29">
        <f t="shared" si="41"/>
        <v>1240</v>
      </c>
      <c r="D71" s="30">
        <f t="shared" si="41"/>
        <v>1241</v>
      </c>
      <c r="E71" s="35">
        <f t="shared" si="41"/>
        <v>2481</v>
      </c>
      <c r="F71" s="29">
        <f t="shared" si="41"/>
        <v>1356</v>
      </c>
      <c r="G71" s="30">
        <f t="shared" si="41"/>
        <v>1355</v>
      </c>
      <c r="H71" s="31">
        <f t="shared" si="41"/>
        <v>2711</v>
      </c>
      <c r="I71" s="256">
        <f t="shared" si="29"/>
        <v>9.270455461507465</v>
      </c>
      <c r="L71" s="4" t="s">
        <v>24</v>
      </c>
      <c r="M71" s="29">
        <f aca="true" t="shared" si="44" ref="M71:V71">+M19+M45</f>
        <v>131482</v>
      </c>
      <c r="N71" s="36">
        <f t="shared" si="44"/>
        <v>131119</v>
      </c>
      <c r="O71" s="33">
        <f t="shared" si="44"/>
        <v>262601</v>
      </c>
      <c r="P71" s="34">
        <f t="shared" si="44"/>
        <v>4</v>
      </c>
      <c r="Q71" s="35">
        <f t="shared" si="44"/>
        <v>262605</v>
      </c>
      <c r="R71" s="29">
        <f t="shared" si="44"/>
        <v>148741</v>
      </c>
      <c r="S71" s="36">
        <f t="shared" si="44"/>
        <v>148227</v>
      </c>
      <c r="T71" s="51">
        <f t="shared" si="44"/>
        <v>296968</v>
      </c>
      <c r="U71" s="52">
        <f t="shared" si="44"/>
        <v>14</v>
      </c>
      <c r="V71" s="31">
        <f t="shared" si="44"/>
        <v>296982</v>
      </c>
      <c r="W71" s="256">
        <f t="shared" si="31"/>
        <v>13.0907636945222</v>
      </c>
    </row>
    <row r="72" spans="2:23" ht="14.25" thickBot="1" thickTop="1">
      <c r="B72" s="44" t="s">
        <v>25</v>
      </c>
      <c r="C72" s="40">
        <f aca="true" t="shared" si="45" ref="C72:H72">+C69+C70+C71</f>
        <v>4011</v>
      </c>
      <c r="D72" s="53">
        <f t="shared" si="45"/>
        <v>4013</v>
      </c>
      <c r="E72" s="49">
        <f t="shared" si="45"/>
        <v>8024</v>
      </c>
      <c r="F72" s="40">
        <f t="shared" si="45"/>
        <v>4323</v>
      </c>
      <c r="G72" s="53">
        <f t="shared" si="45"/>
        <v>4321</v>
      </c>
      <c r="H72" s="53">
        <f t="shared" si="45"/>
        <v>8644</v>
      </c>
      <c r="I72" s="258">
        <f t="shared" si="29"/>
        <v>7.726819541375862</v>
      </c>
      <c r="L72" s="39" t="s">
        <v>25</v>
      </c>
      <c r="M72" s="40">
        <f aca="true" t="shared" si="46" ref="M72:V72">+M69+M70+M71</f>
        <v>412294</v>
      </c>
      <c r="N72" s="41">
        <f t="shared" si="46"/>
        <v>417065</v>
      </c>
      <c r="O72" s="40">
        <f t="shared" si="46"/>
        <v>829359</v>
      </c>
      <c r="P72" s="40">
        <f t="shared" si="46"/>
        <v>394</v>
      </c>
      <c r="Q72" s="40">
        <f t="shared" si="46"/>
        <v>829753</v>
      </c>
      <c r="R72" s="40">
        <f t="shared" si="46"/>
        <v>471457</v>
      </c>
      <c r="S72" s="41">
        <f t="shared" si="46"/>
        <v>476657</v>
      </c>
      <c r="T72" s="40">
        <f t="shared" si="46"/>
        <v>948114</v>
      </c>
      <c r="U72" s="40">
        <f t="shared" si="46"/>
        <v>377</v>
      </c>
      <c r="V72" s="40">
        <f t="shared" si="46"/>
        <v>948491</v>
      </c>
      <c r="W72" s="262">
        <f t="shared" si="31"/>
        <v>14.310041663000916</v>
      </c>
    </row>
    <row r="73" spans="2:23" ht="13.5" thickTop="1">
      <c r="B73" s="4" t="s">
        <v>27</v>
      </c>
      <c r="C73" s="71">
        <f aca="true" t="shared" si="47" ref="C73:H74">+C21+C47</f>
        <v>1273</v>
      </c>
      <c r="D73" s="72">
        <f t="shared" si="47"/>
        <v>1274</v>
      </c>
      <c r="E73" s="67">
        <f t="shared" si="47"/>
        <v>2547</v>
      </c>
      <c r="F73" s="29">
        <f t="shared" si="47"/>
        <v>1450</v>
      </c>
      <c r="G73" s="30">
        <f t="shared" si="47"/>
        <v>1448</v>
      </c>
      <c r="H73" s="35">
        <f t="shared" si="47"/>
        <v>2898</v>
      </c>
      <c r="I73" s="256">
        <f t="shared" si="29"/>
        <v>13.780918727915203</v>
      </c>
      <c r="L73" s="4" t="s">
        <v>27</v>
      </c>
      <c r="M73" s="29">
        <f aca="true" t="shared" si="48" ref="M73:V73">+M21+M47</f>
        <v>161746</v>
      </c>
      <c r="N73" s="36">
        <f t="shared" si="48"/>
        <v>165862</v>
      </c>
      <c r="O73" s="33">
        <f t="shared" si="48"/>
        <v>327608</v>
      </c>
      <c r="P73" s="34">
        <f t="shared" si="48"/>
        <v>152</v>
      </c>
      <c r="Q73" s="35">
        <f t="shared" si="48"/>
        <v>327760</v>
      </c>
      <c r="R73" s="29">
        <f t="shared" si="48"/>
        <v>170794</v>
      </c>
      <c r="S73" s="36">
        <f t="shared" si="48"/>
        <v>176521</v>
      </c>
      <c r="T73" s="33">
        <f t="shared" si="48"/>
        <v>347315</v>
      </c>
      <c r="U73" s="34">
        <f t="shared" si="48"/>
        <v>310</v>
      </c>
      <c r="V73" s="31">
        <f t="shared" si="48"/>
        <v>347625</v>
      </c>
      <c r="W73" s="256">
        <f t="shared" si="31"/>
        <v>6.06083719794972</v>
      </c>
    </row>
    <row r="74" spans="2:23" ht="12.75">
      <c r="B74" s="4" t="s">
        <v>28</v>
      </c>
      <c r="C74" s="29">
        <f t="shared" si="47"/>
        <v>1281</v>
      </c>
      <c r="D74" s="30">
        <f t="shared" si="47"/>
        <v>1280</v>
      </c>
      <c r="E74" s="35">
        <f t="shared" si="47"/>
        <v>2561</v>
      </c>
      <c r="F74" s="29">
        <f t="shared" si="47"/>
        <v>1380</v>
      </c>
      <c r="G74" s="30">
        <f t="shared" si="47"/>
        <v>1377</v>
      </c>
      <c r="H74" s="31">
        <f t="shared" si="47"/>
        <v>2757</v>
      </c>
      <c r="I74" s="256">
        <f>IF(E74=0,0,((H74/E74)-1)*100)</f>
        <v>7.65326044513861</v>
      </c>
      <c r="L74" s="4" t="s">
        <v>28</v>
      </c>
      <c r="M74" s="29">
        <f aca="true" t="shared" si="49" ref="M74:V74">+M22+M48</f>
        <v>151652</v>
      </c>
      <c r="N74" s="36">
        <f t="shared" si="49"/>
        <v>164892</v>
      </c>
      <c r="O74" s="33">
        <f t="shared" si="49"/>
        <v>316544</v>
      </c>
      <c r="P74" s="34">
        <f t="shared" si="49"/>
        <v>16</v>
      </c>
      <c r="Q74" s="35">
        <f t="shared" si="49"/>
        <v>316560</v>
      </c>
      <c r="R74" s="29">
        <f t="shared" si="49"/>
        <v>174910</v>
      </c>
      <c r="S74" s="36">
        <f t="shared" si="49"/>
        <v>189483</v>
      </c>
      <c r="T74" s="33">
        <f t="shared" si="49"/>
        <v>364393</v>
      </c>
      <c r="U74" s="34">
        <f t="shared" si="49"/>
        <v>34</v>
      </c>
      <c r="V74" s="31">
        <f t="shared" si="49"/>
        <v>364427</v>
      </c>
      <c r="W74" s="256">
        <f>IF(Q74=0,0,((V74/Q74)-1)*100)</f>
        <v>15.120988122314882</v>
      </c>
    </row>
    <row r="75" spans="2:23" ht="13.5" thickBot="1">
      <c r="B75" s="4" t="s">
        <v>29</v>
      </c>
      <c r="C75" s="29">
        <f>+C49+C23</f>
        <v>1176</v>
      </c>
      <c r="D75" s="60">
        <f>+D49+D23</f>
        <v>1176</v>
      </c>
      <c r="E75" s="35">
        <f>+E23+E49</f>
        <v>2352</v>
      </c>
      <c r="F75" s="29">
        <f>+F49+F23</f>
        <v>1400</v>
      </c>
      <c r="G75" s="60">
        <f>+G49+G23</f>
        <v>1402</v>
      </c>
      <c r="H75" s="31">
        <f>+H23+H49</f>
        <v>2802</v>
      </c>
      <c r="I75" s="256">
        <f t="shared" si="29"/>
        <v>19.13265306122449</v>
      </c>
      <c r="L75" s="4" t="s">
        <v>29</v>
      </c>
      <c r="M75" s="29">
        <f>+M23+M49</f>
        <v>135377</v>
      </c>
      <c r="N75" s="36">
        <f>+N23+N49</f>
        <v>138827</v>
      </c>
      <c r="O75" s="33">
        <f>+O23+O49</f>
        <v>274204</v>
      </c>
      <c r="P75" s="34">
        <f>+P23+P49</f>
        <v>125</v>
      </c>
      <c r="Q75" s="35">
        <f>+Q23+Q49</f>
        <v>274329</v>
      </c>
      <c r="R75" s="127">
        <f>+R49+R23</f>
        <v>155231</v>
      </c>
      <c r="S75" s="38">
        <f>+S49+S23</f>
        <v>157721</v>
      </c>
      <c r="T75" s="33">
        <f>+T23+T49</f>
        <v>312952</v>
      </c>
      <c r="U75" s="127">
        <f>+U49+U23</f>
        <v>420</v>
      </c>
      <c r="V75" s="61">
        <f>+V23+V49</f>
        <v>313372</v>
      </c>
      <c r="W75" s="256">
        <f t="shared" si="31"/>
        <v>14.232181067258654</v>
      </c>
    </row>
    <row r="76" spans="2:23" ht="14.25" thickBot="1" thickTop="1">
      <c r="B76" s="39" t="s">
        <v>30</v>
      </c>
      <c r="C76" s="40">
        <f aca="true" t="shared" si="50" ref="C76:H76">+C73+C74+C75</f>
        <v>3730</v>
      </c>
      <c r="D76" s="41">
        <f t="shared" si="50"/>
        <v>3730</v>
      </c>
      <c r="E76" s="40">
        <f t="shared" si="50"/>
        <v>7460</v>
      </c>
      <c r="F76" s="42">
        <f t="shared" si="50"/>
        <v>4230</v>
      </c>
      <c r="G76" s="121">
        <f t="shared" si="50"/>
        <v>4227</v>
      </c>
      <c r="H76" s="40">
        <f t="shared" si="50"/>
        <v>8457</v>
      </c>
      <c r="I76" s="258">
        <f t="shared" si="29"/>
        <v>13.364611260053616</v>
      </c>
      <c r="L76" s="39" t="s">
        <v>30</v>
      </c>
      <c r="M76" s="40">
        <f aca="true" t="shared" si="51" ref="M76:V76">+M73+M74+M75</f>
        <v>448775</v>
      </c>
      <c r="N76" s="41">
        <f t="shared" si="51"/>
        <v>469581</v>
      </c>
      <c r="O76" s="40">
        <f t="shared" si="51"/>
        <v>918356</v>
      </c>
      <c r="P76" s="40">
        <f t="shared" si="51"/>
        <v>293</v>
      </c>
      <c r="Q76" s="40">
        <f t="shared" si="51"/>
        <v>918649</v>
      </c>
      <c r="R76" s="40">
        <f t="shared" si="51"/>
        <v>500935</v>
      </c>
      <c r="S76" s="41">
        <f t="shared" si="51"/>
        <v>523725</v>
      </c>
      <c r="T76" s="40">
        <f t="shared" si="51"/>
        <v>1024660</v>
      </c>
      <c r="U76" s="40">
        <f t="shared" si="51"/>
        <v>764</v>
      </c>
      <c r="V76" s="43">
        <f t="shared" si="51"/>
        <v>1025424</v>
      </c>
      <c r="W76" s="258">
        <f t="shared" si="31"/>
        <v>11.62304645190928</v>
      </c>
    </row>
    <row r="77" spans="2:23" ht="14.25" thickBot="1" thickTop="1">
      <c r="B77" s="39" t="s">
        <v>66</v>
      </c>
      <c r="C77" s="76">
        <f aca="true" t="shared" si="52" ref="C77:H77">+C68+C72+C76</f>
        <v>11809</v>
      </c>
      <c r="D77" s="77">
        <f t="shared" si="52"/>
        <v>11812</v>
      </c>
      <c r="E77" s="78">
        <f t="shared" si="52"/>
        <v>23621</v>
      </c>
      <c r="F77" s="40">
        <f t="shared" si="52"/>
        <v>13377</v>
      </c>
      <c r="G77" s="41">
        <f t="shared" si="52"/>
        <v>13370</v>
      </c>
      <c r="H77" s="42">
        <f t="shared" si="52"/>
        <v>26747</v>
      </c>
      <c r="I77" s="254">
        <f t="shared" si="29"/>
        <v>13.233986706744005</v>
      </c>
      <c r="L77" s="39" t="s">
        <v>66</v>
      </c>
      <c r="M77" s="42">
        <f aca="true" t="shared" si="53" ref="M77:V77">+M68+M72+M76</f>
        <v>1339914</v>
      </c>
      <c r="N77" s="121">
        <f t="shared" si="53"/>
        <v>1407477</v>
      </c>
      <c r="O77" s="40">
        <f t="shared" si="53"/>
        <v>2747391</v>
      </c>
      <c r="P77" s="40">
        <f t="shared" si="53"/>
        <v>776</v>
      </c>
      <c r="Q77" s="40">
        <f t="shared" si="53"/>
        <v>2748167</v>
      </c>
      <c r="R77" s="42">
        <f t="shared" si="53"/>
        <v>1562533</v>
      </c>
      <c r="S77" s="121">
        <f t="shared" si="53"/>
        <v>1638982</v>
      </c>
      <c r="T77" s="40">
        <f t="shared" si="53"/>
        <v>3201515</v>
      </c>
      <c r="U77" s="40">
        <f t="shared" si="53"/>
        <v>1223</v>
      </c>
      <c r="V77" s="40">
        <f t="shared" si="53"/>
        <v>3202738</v>
      </c>
      <c r="W77" s="257">
        <f t="shared" si="31"/>
        <v>16.540879793695208</v>
      </c>
    </row>
    <row r="78" spans="2:23" ht="14.25" thickBot="1" thickTop="1">
      <c r="B78" s="39" t="s">
        <v>9</v>
      </c>
      <c r="C78" s="42">
        <f aca="true" t="shared" si="54" ref="C78:H78">+C68+C72+C76+C64</f>
        <v>15398</v>
      </c>
      <c r="D78" s="121">
        <f t="shared" si="54"/>
        <v>15402</v>
      </c>
      <c r="E78" s="40">
        <f t="shared" si="54"/>
        <v>30800</v>
      </c>
      <c r="F78" s="42">
        <f t="shared" si="54"/>
        <v>17792</v>
      </c>
      <c r="G78" s="121">
        <f t="shared" si="54"/>
        <v>17779</v>
      </c>
      <c r="H78" s="40">
        <f t="shared" si="54"/>
        <v>35571</v>
      </c>
      <c r="I78" s="258">
        <f t="shared" si="29"/>
        <v>15.490259740259749</v>
      </c>
      <c r="L78" s="39" t="s">
        <v>9</v>
      </c>
      <c r="M78" s="42">
        <f aca="true" t="shared" si="55" ref="M78:V78">+M68+M72+M76+M64</f>
        <v>1810228</v>
      </c>
      <c r="N78" s="121">
        <f t="shared" si="55"/>
        <v>1869275</v>
      </c>
      <c r="O78" s="40">
        <f t="shared" si="55"/>
        <v>3679503</v>
      </c>
      <c r="P78" s="40">
        <f t="shared" si="55"/>
        <v>887</v>
      </c>
      <c r="Q78" s="40">
        <f t="shared" si="55"/>
        <v>3680390</v>
      </c>
      <c r="R78" s="42">
        <f t="shared" si="55"/>
        <v>2140498</v>
      </c>
      <c r="S78" s="121">
        <f t="shared" si="55"/>
        <v>2192240</v>
      </c>
      <c r="T78" s="40">
        <f t="shared" si="55"/>
        <v>4332738</v>
      </c>
      <c r="U78" s="40">
        <f t="shared" si="55"/>
        <v>1870</v>
      </c>
      <c r="V78" s="40">
        <f t="shared" si="55"/>
        <v>4334608</v>
      </c>
      <c r="W78" s="257">
        <f t="shared" si="31"/>
        <v>17.775779197313323</v>
      </c>
    </row>
    <row r="79" spans="2:12" ht="13.5" thickTop="1">
      <c r="B79" s="63" t="s">
        <v>64</v>
      </c>
      <c r="L79" s="63" t="s">
        <v>64</v>
      </c>
    </row>
    <row r="80" spans="12:23" ht="12.75">
      <c r="L80" s="336" t="s">
        <v>41</v>
      </c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</row>
    <row r="81" spans="12:23" ht="15.75">
      <c r="L81" s="337" t="s">
        <v>42</v>
      </c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ht="13.5" thickBot="1">
      <c r="W82" s="242" t="s">
        <v>43</v>
      </c>
    </row>
    <row r="83" spans="12:23" ht="17.25" thickBot="1" thickTop="1">
      <c r="L83" s="3"/>
      <c r="M83" s="347" t="s">
        <v>67</v>
      </c>
      <c r="N83" s="348"/>
      <c r="O83" s="348"/>
      <c r="P83" s="348"/>
      <c r="Q83" s="349"/>
      <c r="R83" s="338" t="s">
        <v>68</v>
      </c>
      <c r="S83" s="339"/>
      <c r="T83" s="339"/>
      <c r="U83" s="339"/>
      <c r="V83" s="340"/>
      <c r="W83" s="239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0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1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07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47"/>
      <c r="J87" s="70"/>
      <c r="L87" s="4" t="s">
        <v>14</v>
      </c>
      <c r="M87" s="29">
        <v>2</v>
      </c>
      <c r="N87" s="36">
        <v>5</v>
      </c>
      <c r="O87" s="33">
        <f>SUM(M87:N87)</f>
        <v>7</v>
      </c>
      <c r="P87" s="34">
        <v>0</v>
      </c>
      <c r="Q87" s="31">
        <f>O87+P87</f>
        <v>7</v>
      </c>
      <c r="R87" s="29">
        <v>8</v>
      </c>
      <c r="S87" s="36">
        <v>4</v>
      </c>
      <c r="T87" s="33">
        <f>SUM(R87:S87)</f>
        <v>12</v>
      </c>
      <c r="U87" s="34">
        <v>0</v>
      </c>
      <c r="V87" s="31">
        <f>T87+U87</f>
        <v>12</v>
      </c>
      <c r="W87" s="256">
        <f aca="true" t="shared" si="56" ref="W87:W104">IF(Q87=0,0,((V87/Q87)-1)*100)</f>
        <v>71.42857142857142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47"/>
      <c r="J88" s="70"/>
      <c r="L88" s="4" t="s">
        <v>15</v>
      </c>
      <c r="M88" s="29">
        <v>3</v>
      </c>
      <c r="N88" s="36">
        <v>6</v>
      </c>
      <c r="O88" s="33">
        <f>SUM(M88:N88)</f>
        <v>9</v>
      </c>
      <c r="P88" s="34">
        <v>0</v>
      </c>
      <c r="Q88" s="31">
        <f>O88+P88</f>
        <v>9</v>
      </c>
      <c r="R88" s="29">
        <v>20</v>
      </c>
      <c r="S88" s="36">
        <v>15</v>
      </c>
      <c r="T88" s="33">
        <f>SUM(R88:S88)</f>
        <v>35</v>
      </c>
      <c r="U88" s="34">
        <v>0</v>
      </c>
      <c r="V88" s="31">
        <f>T88+U88</f>
        <v>35</v>
      </c>
      <c r="W88" s="32">
        <f t="shared" si="56"/>
        <v>288.88888888888886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47"/>
      <c r="J89" s="70"/>
      <c r="L89" s="4" t="s">
        <v>16</v>
      </c>
      <c r="M89" s="29">
        <v>3</v>
      </c>
      <c r="N89" s="36">
        <v>6</v>
      </c>
      <c r="O89" s="33">
        <f>SUM(M89:N89)</f>
        <v>9</v>
      </c>
      <c r="P89" s="34">
        <v>0</v>
      </c>
      <c r="Q89" s="31">
        <f>O89+P89</f>
        <v>9</v>
      </c>
      <c r="R89" s="29">
        <v>6</v>
      </c>
      <c r="S89" s="36">
        <v>20</v>
      </c>
      <c r="T89" s="33">
        <f>SUM(R89:S89)</f>
        <v>26</v>
      </c>
      <c r="U89" s="34">
        <v>0</v>
      </c>
      <c r="V89" s="31">
        <f>T89+U89</f>
        <v>26</v>
      </c>
      <c r="W89" s="256">
        <f t="shared" si="56"/>
        <v>188.88888888888889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47"/>
      <c r="J90" s="70"/>
      <c r="L90" s="39" t="s">
        <v>58</v>
      </c>
      <c r="M90" s="40">
        <f>M87+M88+M89</f>
        <v>8</v>
      </c>
      <c r="N90" s="41">
        <f>N87+N88+N89</f>
        <v>17</v>
      </c>
      <c r="O90" s="40">
        <f>O87+O88+O89</f>
        <v>25</v>
      </c>
      <c r="P90" s="40">
        <f>P87+P88+P89</f>
        <v>0</v>
      </c>
      <c r="Q90" s="42">
        <f>+Q87+Q88+Q89</f>
        <v>25</v>
      </c>
      <c r="R90" s="40">
        <f>R87+R88+R89</f>
        <v>34</v>
      </c>
      <c r="S90" s="154">
        <f>S87+S88+S89</f>
        <v>39</v>
      </c>
      <c r="T90" s="40">
        <f>T87+T88+T89</f>
        <v>73</v>
      </c>
      <c r="U90" s="40">
        <f>U87+U88+U89</f>
        <v>0</v>
      </c>
      <c r="V90" s="42">
        <f>+V87+V88+V89</f>
        <v>73</v>
      </c>
      <c r="W90" s="257">
        <f t="shared" si="56"/>
        <v>192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47"/>
      <c r="J91" s="70"/>
      <c r="L91" s="4" t="s">
        <v>18</v>
      </c>
      <c r="M91" s="29">
        <v>4</v>
      </c>
      <c r="N91" s="36">
        <v>5</v>
      </c>
      <c r="O91" s="33">
        <f>SUM(M91:N91)</f>
        <v>9</v>
      </c>
      <c r="P91" s="34">
        <v>0</v>
      </c>
      <c r="Q91" s="35">
        <f>+P91+O91</f>
        <v>9</v>
      </c>
      <c r="R91" s="29">
        <v>5</v>
      </c>
      <c r="S91" s="36">
        <v>19</v>
      </c>
      <c r="T91" s="33">
        <f>SUM(R91:S91)</f>
        <v>24</v>
      </c>
      <c r="U91" s="34">
        <v>0</v>
      </c>
      <c r="V91" s="31">
        <f>T91+U91</f>
        <v>24</v>
      </c>
      <c r="W91" s="256">
        <f t="shared" si="56"/>
        <v>166.66666666666666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47"/>
      <c r="J92" s="70"/>
      <c r="L92" s="4" t="s">
        <v>19</v>
      </c>
      <c r="M92" s="29">
        <v>3</v>
      </c>
      <c r="N92" s="36">
        <v>7</v>
      </c>
      <c r="O92" s="33">
        <f>SUM(M92:N92)</f>
        <v>10</v>
      </c>
      <c r="P92" s="34">
        <v>0</v>
      </c>
      <c r="Q92" s="35">
        <f>+P92+O92</f>
        <v>10</v>
      </c>
      <c r="R92" s="29">
        <v>9</v>
      </c>
      <c r="S92" s="36">
        <v>25</v>
      </c>
      <c r="T92" s="33">
        <f>SUM(R92:S92)</f>
        <v>34</v>
      </c>
      <c r="U92" s="34">
        <v>0</v>
      </c>
      <c r="V92" s="31">
        <f>T92+U92</f>
        <v>34</v>
      </c>
      <c r="W92" s="256">
        <f>IF(Q92=0,0,((V92/Q92)-1)*100)</f>
        <v>240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47"/>
      <c r="J93" s="70"/>
      <c r="L93" s="4" t="s">
        <v>20</v>
      </c>
      <c r="M93" s="29">
        <v>2</v>
      </c>
      <c r="N93" s="36">
        <v>6</v>
      </c>
      <c r="O93" s="33">
        <f>SUM(M93:N93)</f>
        <v>8</v>
      </c>
      <c r="P93" s="34">
        <v>0</v>
      </c>
      <c r="Q93" s="35">
        <f>+P93+O93</f>
        <v>8</v>
      </c>
      <c r="R93" s="29">
        <v>11</v>
      </c>
      <c r="S93" s="36">
        <v>18</v>
      </c>
      <c r="T93" s="33">
        <f>SUM(R93:S93)</f>
        <v>29</v>
      </c>
      <c r="U93" s="34">
        <v>0</v>
      </c>
      <c r="V93" s="31">
        <f>T93+U93</f>
        <v>29</v>
      </c>
      <c r="W93" s="256">
        <f t="shared" si="56"/>
        <v>262.5</v>
      </c>
    </row>
    <row r="94" spans="1:26" ht="14.25" thickBot="1" thickTop="1">
      <c r="A94" s="70"/>
      <c r="B94" s="232"/>
      <c r="C94" s="233"/>
      <c r="D94" s="233"/>
      <c r="E94" s="233"/>
      <c r="F94" s="234"/>
      <c r="G94" s="234"/>
      <c r="H94" s="234"/>
      <c r="I94" s="277"/>
      <c r="J94" s="70"/>
      <c r="L94" s="44" t="s">
        <v>21</v>
      </c>
      <c r="M94" s="42">
        <f aca="true" t="shared" si="57" ref="M94:V94">M91+M92+M93</f>
        <v>9</v>
      </c>
      <c r="N94" s="121">
        <f t="shared" si="57"/>
        <v>18</v>
      </c>
      <c r="O94" s="40">
        <f t="shared" si="57"/>
        <v>27</v>
      </c>
      <c r="P94" s="40">
        <f t="shared" si="57"/>
        <v>0</v>
      </c>
      <c r="Q94" s="40">
        <f t="shared" si="57"/>
        <v>27</v>
      </c>
      <c r="R94" s="42">
        <f t="shared" si="57"/>
        <v>25</v>
      </c>
      <c r="S94" s="325">
        <f t="shared" si="57"/>
        <v>62</v>
      </c>
      <c r="T94" s="40">
        <f t="shared" si="57"/>
        <v>87</v>
      </c>
      <c r="U94" s="40">
        <f t="shared" si="57"/>
        <v>0</v>
      </c>
      <c r="V94" s="40">
        <f t="shared" si="57"/>
        <v>87</v>
      </c>
      <c r="W94" s="257">
        <f t="shared" si="56"/>
        <v>222.22222222222223</v>
      </c>
      <c r="Y94" s="99"/>
      <c r="Z94" s="99"/>
    </row>
    <row r="95" spans="1:26" ht="13.5" thickTop="1">
      <c r="A95" s="70"/>
      <c r="B95" s="70"/>
      <c r="C95" s="70"/>
      <c r="D95" s="70"/>
      <c r="E95" s="70"/>
      <c r="F95" s="70"/>
      <c r="G95" s="70"/>
      <c r="H95" s="70"/>
      <c r="I95" s="247"/>
      <c r="J95" s="70"/>
      <c r="L95" s="4" t="s">
        <v>22</v>
      </c>
      <c r="M95" s="29">
        <v>5</v>
      </c>
      <c r="N95" s="36">
        <v>3</v>
      </c>
      <c r="O95" s="33">
        <f>SUM(M95:N95)</f>
        <v>8</v>
      </c>
      <c r="P95" s="34">
        <v>0</v>
      </c>
      <c r="Q95" s="35">
        <f>+P95+O95</f>
        <v>8</v>
      </c>
      <c r="R95" s="29">
        <v>14</v>
      </c>
      <c r="S95" s="36">
        <v>2</v>
      </c>
      <c r="T95" s="33">
        <f>SUM(R95:S95)</f>
        <v>16</v>
      </c>
      <c r="U95" s="34">
        <v>0</v>
      </c>
      <c r="V95" s="31">
        <f>T95+U95</f>
        <v>16</v>
      </c>
      <c r="W95" s="256">
        <f t="shared" si="56"/>
        <v>100</v>
      </c>
      <c r="Y95" s="99"/>
      <c r="Z95" s="99"/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47"/>
      <c r="J96" s="70"/>
      <c r="L96" s="4" t="s">
        <v>23</v>
      </c>
      <c r="M96" s="29">
        <v>15</v>
      </c>
      <c r="N96" s="36">
        <v>5</v>
      </c>
      <c r="O96" s="33">
        <f>SUM(M96:N96)</f>
        <v>20</v>
      </c>
      <c r="P96" s="34">
        <v>0</v>
      </c>
      <c r="Q96" s="35">
        <f>+P96+O96</f>
        <v>20</v>
      </c>
      <c r="R96" s="29">
        <v>14</v>
      </c>
      <c r="S96" s="36">
        <v>4</v>
      </c>
      <c r="T96" s="33">
        <f>SUM(R96:S96)</f>
        <v>18</v>
      </c>
      <c r="U96" s="34">
        <v>0</v>
      </c>
      <c r="V96" s="31">
        <f>T96+U96</f>
        <v>18</v>
      </c>
      <c r="W96" s="256">
        <f t="shared" si="56"/>
        <v>-9.999999999999998</v>
      </c>
    </row>
    <row r="97" spans="1:24" ht="13.5" thickBot="1">
      <c r="A97" s="70"/>
      <c r="B97" s="70"/>
      <c r="C97" s="70"/>
      <c r="D97" s="70"/>
      <c r="E97" s="70"/>
      <c r="F97" s="70"/>
      <c r="G97" s="70"/>
      <c r="H97" s="70"/>
      <c r="I97" s="247"/>
      <c r="J97" s="70"/>
      <c r="L97" s="4" t="s">
        <v>24</v>
      </c>
      <c r="M97" s="29">
        <v>3</v>
      </c>
      <c r="N97" s="36">
        <v>5</v>
      </c>
      <c r="O97" s="33">
        <f>SUM(M97:N97)</f>
        <v>8</v>
      </c>
      <c r="P97" s="52">
        <v>0</v>
      </c>
      <c r="Q97" s="35">
        <f>+P97+O97</f>
        <v>8</v>
      </c>
      <c r="R97" s="29">
        <v>9</v>
      </c>
      <c r="S97" s="36">
        <v>1</v>
      </c>
      <c r="T97" s="33">
        <f>SUM(R97:S97)</f>
        <v>10</v>
      </c>
      <c r="U97" s="52">
        <v>59</v>
      </c>
      <c r="V97" s="31">
        <f>T97+U97</f>
        <v>69</v>
      </c>
      <c r="W97" s="256">
        <f t="shared" si="56"/>
        <v>762.5</v>
      </c>
      <c r="X97" s="324"/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47"/>
      <c r="J98" s="70"/>
      <c r="L98" s="44" t="s">
        <v>25</v>
      </c>
      <c r="M98" s="45">
        <f aca="true" t="shared" si="58" ref="M98:V98">+M95+M96+M97</f>
        <v>23</v>
      </c>
      <c r="N98" s="45">
        <f t="shared" si="58"/>
        <v>13</v>
      </c>
      <c r="O98" s="47">
        <f t="shared" si="58"/>
        <v>36</v>
      </c>
      <c r="P98" s="47">
        <f t="shared" si="58"/>
        <v>0</v>
      </c>
      <c r="Q98" s="47">
        <f t="shared" si="58"/>
        <v>36</v>
      </c>
      <c r="R98" s="45">
        <f t="shared" si="58"/>
        <v>37</v>
      </c>
      <c r="S98" s="122">
        <f t="shared" si="58"/>
        <v>7</v>
      </c>
      <c r="T98" s="313">
        <f t="shared" si="58"/>
        <v>44</v>
      </c>
      <c r="U98" s="47">
        <f t="shared" si="58"/>
        <v>59</v>
      </c>
      <c r="V98" s="47">
        <f t="shared" si="58"/>
        <v>103</v>
      </c>
      <c r="W98" s="262">
        <f t="shared" si="56"/>
        <v>186.11111111111111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47"/>
      <c r="J99" s="70"/>
      <c r="L99" s="4" t="s">
        <v>27</v>
      </c>
      <c r="M99" s="29">
        <v>5</v>
      </c>
      <c r="N99" s="36">
        <v>1</v>
      </c>
      <c r="O99" s="33">
        <f>SUM(M99:N99)</f>
        <v>6</v>
      </c>
      <c r="P99" s="59">
        <v>0</v>
      </c>
      <c r="Q99" s="35">
        <f>+P99+O99</f>
        <v>6</v>
      </c>
      <c r="R99" s="29">
        <v>24</v>
      </c>
      <c r="S99" s="36">
        <v>1</v>
      </c>
      <c r="T99" s="33">
        <f>SUM(R99:S99)</f>
        <v>25</v>
      </c>
      <c r="U99" s="59">
        <v>0</v>
      </c>
      <c r="V99" s="31">
        <f>T99+U99</f>
        <v>25</v>
      </c>
      <c r="W99" s="256">
        <f t="shared" si="56"/>
        <v>316.6666666666667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47"/>
      <c r="J100" s="70"/>
      <c r="L100" s="4" t="s">
        <v>28</v>
      </c>
      <c r="M100" s="29">
        <v>6</v>
      </c>
      <c r="N100" s="36">
        <v>2</v>
      </c>
      <c r="O100" s="33">
        <f>SUM(M100:N100)</f>
        <v>8</v>
      </c>
      <c r="P100" s="34">
        <v>0</v>
      </c>
      <c r="Q100" s="35">
        <f>+P100+O100</f>
        <v>8</v>
      </c>
      <c r="R100" s="29">
        <v>11</v>
      </c>
      <c r="S100" s="36">
        <v>3</v>
      </c>
      <c r="T100" s="33">
        <f>SUM(R100:S100)</f>
        <v>14</v>
      </c>
      <c r="U100" s="34">
        <v>0</v>
      </c>
      <c r="V100" s="31">
        <f>T100+U100</f>
        <v>14</v>
      </c>
      <c r="W100" s="256">
        <f>IF(Q100=0,0,((V100/Q100)-1)*100)</f>
        <v>75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47"/>
      <c r="J101" s="70"/>
      <c r="L101" s="4" t="s">
        <v>29</v>
      </c>
      <c r="M101" s="29">
        <v>4</v>
      </c>
      <c r="N101" s="36">
        <v>3</v>
      </c>
      <c r="O101" s="33">
        <f>SUM(M101:N101)</f>
        <v>7</v>
      </c>
      <c r="P101" s="52">
        <v>0</v>
      </c>
      <c r="Q101" s="35">
        <f>+P101+O101</f>
        <v>7</v>
      </c>
      <c r="R101" s="29">
        <v>7</v>
      </c>
      <c r="S101" s="36">
        <v>4</v>
      </c>
      <c r="T101" s="33">
        <f>SUM(R101:S101)</f>
        <v>11</v>
      </c>
      <c r="U101" s="52">
        <v>0</v>
      </c>
      <c r="V101" s="31">
        <f>T101+U101</f>
        <v>11</v>
      </c>
      <c r="W101" s="256">
        <f t="shared" si="56"/>
        <v>57.14285714285714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47"/>
      <c r="J102" s="70"/>
      <c r="L102" s="39" t="s">
        <v>30</v>
      </c>
      <c r="M102" s="40">
        <f aca="true" t="shared" si="59" ref="M102:V102">+M99+M100+M101</f>
        <v>15</v>
      </c>
      <c r="N102" s="41">
        <f t="shared" si="59"/>
        <v>6</v>
      </c>
      <c r="O102" s="40">
        <f t="shared" si="59"/>
        <v>21</v>
      </c>
      <c r="P102" s="40">
        <f t="shared" si="59"/>
        <v>0</v>
      </c>
      <c r="Q102" s="40">
        <f t="shared" si="59"/>
        <v>21</v>
      </c>
      <c r="R102" s="40">
        <f t="shared" si="59"/>
        <v>42</v>
      </c>
      <c r="S102" s="154">
        <f t="shared" si="59"/>
        <v>8</v>
      </c>
      <c r="T102" s="40">
        <f t="shared" si="59"/>
        <v>50</v>
      </c>
      <c r="U102" s="40">
        <f t="shared" si="59"/>
        <v>0</v>
      </c>
      <c r="V102" s="43">
        <f t="shared" si="59"/>
        <v>50</v>
      </c>
      <c r="W102" s="258">
        <f t="shared" si="56"/>
        <v>138.0952380952381</v>
      </c>
    </row>
    <row r="103" spans="1:26" ht="14.25" thickBot="1" thickTop="1">
      <c r="A103" s="220"/>
      <c r="B103" s="232"/>
      <c r="C103" s="233"/>
      <c r="D103" s="233"/>
      <c r="E103" s="233"/>
      <c r="F103" s="233"/>
      <c r="G103" s="233"/>
      <c r="H103" s="233"/>
      <c r="I103" s="277"/>
      <c r="J103" s="70"/>
      <c r="L103" s="39" t="s">
        <v>66</v>
      </c>
      <c r="M103" s="42">
        <f aca="true" t="shared" si="60" ref="M103:V103">+M94+M98+M102</f>
        <v>47</v>
      </c>
      <c r="N103" s="121">
        <f t="shared" si="60"/>
        <v>37</v>
      </c>
      <c r="O103" s="40">
        <f t="shared" si="60"/>
        <v>84</v>
      </c>
      <c r="P103" s="40">
        <f t="shared" si="60"/>
        <v>0</v>
      </c>
      <c r="Q103" s="40">
        <f t="shared" si="60"/>
        <v>84</v>
      </c>
      <c r="R103" s="42">
        <f t="shared" si="60"/>
        <v>104</v>
      </c>
      <c r="S103" s="325">
        <f t="shared" si="60"/>
        <v>77</v>
      </c>
      <c r="T103" s="40">
        <f t="shared" si="60"/>
        <v>181</v>
      </c>
      <c r="U103" s="40">
        <f t="shared" si="60"/>
        <v>59</v>
      </c>
      <c r="V103" s="40">
        <f t="shared" si="60"/>
        <v>240</v>
      </c>
      <c r="W103" s="257">
        <f t="shared" si="56"/>
        <v>185.71428571428572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47"/>
      <c r="J104" s="70"/>
      <c r="L104" s="39" t="s">
        <v>9</v>
      </c>
      <c r="M104" s="42">
        <f aca="true" t="shared" si="61" ref="M104:V104">+M94+M98+M102+M90</f>
        <v>55</v>
      </c>
      <c r="N104" s="121">
        <f t="shared" si="61"/>
        <v>54</v>
      </c>
      <c r="O104" s="40">
        <f t="shared" si="61"/>
        <v>109</v>
      </c>
      <c r="P104" s="40">
        <f t="shared" si="61"/>
        <v>0</v>
      </c>
      <c r="Q104" s="40">
        <f t="shared" si="61"/>
        <v>109</v>
      </c>
      <c r="R104" s="42">
        <f t="shared" si="61"/>
        <v>138</v>
      </c>
      <c r="S104" s="325">
        <f t="shared" si="61"/>
        <v>116</v>
      </c>
      <c r="T104" s="40">
        <f t="shared" si="61"/>
        <v>254</v>
      </c>
      <c r="U104" s="40">
        <f t="shared" si="61"/>
        <v>59</v>
      </c>
      <c r="V104" s="40">
        <f t="shared" si="61"/>
        <v>313</v>
      </c>
      <c r="W104" s="257">
        <f t="shared" si="56"/>
        <v>187.15596330275227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47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47"/>
      <c r="J106" s="220"/>
      <c r="L106" s="336" t="s">
        <v>47</v>
      </c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</row>
    <row r="107" spans="2:23" ht="15.75">
      <c r="B107" s="70"/>
      <c r="C107" s="70"/>
      <c r="D107" s="70"/>
      <c r="E107" s="70"/>
      <c r="F107" s="70"/>
      <c r="G107" s="70"/>
      <c r="H107" s="70"/>
      <c r="I107" s="247"/>
      <c r="J107" s="220"/>
      <c r="L107" s="337" t="s">
        <v>48</v>
      </c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47"/>
      <c r="J108" s="220"/>
      <c r="W108" s="242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47"/>
      <c r="J109" s="220"/>
      <c r="L109" s="3"/>
      <c r="M109" s="347" t="s">
        <v>67</v>
      </c>
      <c r="N109" s="348"/>
      <c r="O109" s="348"/>
      <c r="P109" s="348"/>
      <c r="Q109" s="349"/>
      <c r="R109" s="338" t="s">
        <v>68</v>
      </c>
      <c r="S109" s="339"/>
      <c r="T109" s="339"/>
      <c r="U109" s="339"/>
      <c r="V109" s="340"/>
      <c r="W109" s="239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47"/>
      <c r="J110" s="220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0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47"/>
      <c r="J111" s="220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1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47"/>
      <c r="J112" s="220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07"/>
    </row>
    <row r="113" spans="2:23" ht="12.75">
      <c r="B113" s="70"/>
      <c r="C113" s="70"/>
      <c r="D113" s="70"/>
      <c r="E113" s="70"/>
      <c r="F113" s="70"/>
      <c r="G113" s="70"/>
      <c r="H113" s="70"/>
      <c r="I113" s="247"/>
      <c r="J113" s="220"/>
      <c r="L113" s="4" t="s">
        <v>14</v>
      </c>
      <c r="M113" s="29">
        <v>702</v>
      </c>
      <c r="N113" s="36">
        <v>969</v>
      </c>
      <c r="O113" s="51">
        <f>SUM(M113:N113)</f>
        <v>1671</v>
      </c>
      <c r="P113" s="34">
        <v>0</v>
      </c>
      <c r="Q113" s="31">
        <f>O113+P113</f>
        <v>1671</v>
      </c>
      <c r="R113" s="29">
        <v>1020</v>
      </c>
      <c r="S113" s="36">
        <v>1236</v>
      </c>
      <c r="T113" s="51">
        <f>SUM(R113:S113)</f>
        <v>2256</v>
      </c>
      <c r="U113" s="34">
        <v>0</v>
      </c>
      <c r="V113" s="31">
        <f>T113+U113</f>
        <v>2256</v>
      </c>
      <c r="W113" s="256">
        <f aca="true" t="shared" si="62" ref="W113:W130">IF(Q113=0,0,((V113/Q113)-1)*100)</f>
        <v>35.00897666068224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47"/>
      <c r="J114" s="220"/>
      <c r="L114" s="4" t="s">
        <v>15</v>
      </c>
      <c r="M114" s="29">
        <v>669</v>
      </c>
      <c r="N114" s="36">
        <v>984</v>
      </c>
      <c r="O114" s="51">
        <f>SUM(M114:N114)</f>
        <v>1653</v>
      </c>
      <c r="P114" s="34">
        <v>0</v>
      </c>
      <c r="Q114" s="31">
        <f>O114+P114</f>
        <v>1653</v>
      </c>
      <c r="R114" s="29">
        <v>889</v>
      </c>
      <c r="S114" s="36">
        <v>1299</v>
      </c>
      <c r="T114" s="51">
        <f>SUM(R114:S114)</f>
        <v>2188</v>
      </c>
      <c r="U114" s="34">
        <v>0</v>
      </c>
      <c r="V114" s="31">
        <f>T114+U114</f>
        <v>2188</v>
      </c>
      <c r="W114" s="256">
        <f t="shared" si="62"/>
        <v>32.365396249243794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47"/>
      <c r="J115" s="220"/>
      <c r="L115" s="4" t="s">
        <v>16</v>
      </c>
      <c r="M115" s="29">
        <v>781</v>
      </c>
      <c r="N115" s="36">
        <v>1132</v>
      </c>
      <c r="O115" s="51">
        <f>SUM(M115:N115)</f>
        <v>1913</v>
      </c>
      <c r="P115" s="34">
        <v>0</v>
      </c>
      <c r="Q115" s="31">
        <f>O115+P115</f>
        <v>1913</v>
      </c>
      <c r="R115" s="29">
        <v>803</v>
      </c>
      <c r="S115" s="36">
        <v>1239</v>
      </c>
      <c r="T115" s="51">
        <f>SUM(R115:S115)</f>
        <v>2042</v>
      </c>
      <c r="U115" s="34">
        <v>0</v>
      </c>
      <c r="V115" s="31">
        <f>T115+U115</f>
        <v>2042</v>
      </c>
      <c r="W115" s="256">
        <f t="shared" si="62"/>
        <v>6.7433350757971855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47"/>
      <c r="J116" s="220"/>
      <c r="L116" s="39" t="s">
        <v>58</v>
      </c>
      <c r="M116" s="40">
        <f>M113+M114+M115</f>
        <v>2152</v>
      </c>
      <c r="N116" s="41">
        <f>N113+N114+N115</f>
        <v>3085</v>
      </c>
      <c r="O116" s="40">
        <f>O113+O114+O115</f>
        <v>5237</v>
      </c>
      <c r="P116" s="40">
        <f>P113+P114+P115</f>
        <v>0</v>
      </c>
      <c r="Q116" s="42">
        <f>+Q113+Q114+Q115</f>
        <v>5237</v>
      </c>
      <c r="R116" s="40">
        <f>R113+R114+R115</f>
        <v>2712</v>
      </c>
      <c r="S116" s="41">
        <f>S113+S114+S115</f>
        <v>3774</v>
      </c>
      <c r="T116" s="40">
        <f>T113+T114+T115</f>
        <v>6486</v>
      </c>
      <c r="U116" s="40">
        <f>U113+U114+U115</f>
        <v>0</v>
      </c>
      <c r="V116" s="42">
        <f>+V113+V114+V115</f>
        <v>6486</v>
      </c>
      <c r="W116" s="257">
        <f t="shared" si="62"/>
        <v>23.849532174909307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47"/>
      <c r="J117" s="220"/>
      <c r="L117" s="4" t="s">
        <v>18</v>
      </c>
      <c r="M117" s="29">
        <v>676</v>
      </c>
      <c r="N117" s="36">
        <v>1082</v>
      </c>
      <c r="O117" s="33">
        <f>SUM(M117:N117)</f>
        <v>1758</v>
      </c>
      <c r="P117" s="34">
        <v>0</v>
      </c>
      <c r="Q117" s="35">
        <f>+P117+O117</f>
        <v>1758</v>
      </c>
      <c r="R117" s="29">
        <v>708</v>
      </c>
      <c r="S117" s="36">
        <v>1163</v>
      </c>
      <c r="T117" s="33">
        <f>SUM(R117:S117)</f>
        <v>1871</v>
      </c>
      <c r="U117" s="34">
        <v>0</v>
      </c>
      <c r="V117" s="31">
        <f>T117+U117</f>
        <v>1871</v>
      </c>
      <c r="W117" s="256">
        <f t="shared" si="62"/>
        <v>6.427758816837326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47"/>
      <c r="J118" s="220"/>
      <c r="L118" s="4" t="s">
        <v>19</v>
      </c>
      <c r="M118" s="29">
        <v>566</v>
      </c>
      <c r="N118" s="36">
        <v>985</v>
      </c>
      <c r="O118" s="33">
        <f>SUM(M118:N118)</f>
        <v>1551</v>
      </c>
      <c r="P118" s="34">
        <v>0</v>
      </c>
      <c r="Q118" s="35">
        <f>+P118+O118</f>
        <v>1551</v>
      </c>
      <c r="R118" s="29">
        <v>712</v>
      </c>
      <c r="S118" s="36">
        <v>1212</v>
      </c>
      <c r="T118" s="33">
        <f>SUM(R118:S118)</f>
        <v>1924</v>
      </c>
      <c r="U118" s="34">
        <v>0</v>
      </c>
      <c r="V118" s="31">
        <f>T118+U118</f>
        <v>1924</v>
      </c>
      <c r="W118" s="256">
        <f>IF(Q118=0,0,((V118/Q118)-1)*100)</f>
        <v>24.049000644745334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47"/>
      <c r="J119" s="220"/>
      <c r="L119" s="4" t="s">
        <v>20</v>
      </c>
      <c r="M119" s="29">
        <v>655</v>
      </c>
      <c r="N119" s="36">
        <v>995</v>
      </c>
      <c r="O119" s="33">
        <f>SUM(M119:N119)</f>
        <v>1650</v>
      </c>
      <c r="P119" s="34">
        <v>0</v>
      </c>
      <c r="Q119" s="35">
        <f>+P119+O119</f>
        <v>1650</v>
      </c>
      <c r="R119" s="29">
        <v>729</v>
      </c>
      <c r="S119" s="36">
        <v>1165</v>
      </c>
      <c r="T119" s="33">
        <f>SUM(R119:S119)</f>
        <v>1894</v>
      </c>
      <c r="U119" s="34">
        <v>0</v>
      </c>
      <c r="V119" s="31">
        <f>T119+U119</f>
        <v>1894</v>
      </c>
      <c r="W119" s="256">
        <f t="shared" si="62"/>
        <v>14.787878787878794</v>
      </c>
      <c r="Y119" s="99"/>
      <c r="Z119" s="99"/>
    </row>
    <row r="120" spans="1:26" ht="14.25" thickBot="1" thickTop="1">
      <c r="A120" s="70"/>
      <c r="B120" s="232"/>
      <c r="C120" s="233"/>
      <c r="D120" s="233"/>
      <c r="E120" s="233"/>
      <c r="F120" s="234"/>
      <c r="G120" s="234"/>
      <c r="H120" s="234"/>
      <c r="I120" s="277"/>
      <c r="J120" s="70"/>
      <c r="L120" s="44" t="s">
        <v>21</v>
      </c>
      <c r="M120" s="42">
        <f aca="true" t="shared" si="63" ref="M120:V120">M117+M118+M119</f>
        <v>1897</v>
      </c>
      <c r="N120" s="121">
        <f t="shared" si="63"/>
        <v>3062</v>
      </c>
      <c r="O120" s="40">
        <f t="shared" si="63"/>
        <v>4959</v>
      </c>
      <c r="P120" s="40">
        <f t="shared" si="63"/>
        <v>0</v>
      </c>
      <c r="Q120" s="40">
        <f t="shared" si="63"/>
        <v>4959</v>
      </c>
      <c r="R120" s="42">
        <f t="shared" si="63"/>
        <v>2149</v>
      </c>
      <c r="S120" s="121">
        <f t="shared" si="63"/>
        <v>3540</v>
      </c>
      <c r="T120" s="40">
        <f t="shared" si="63"/>
        <v>5689</v>
      </c>
      <c r="U120" s="40">
        <f t="shared" si="63"/>
        <v>0</v>
      </c>
      <c r="V120" s="40">
        <f t="shared" si="63"/>
        <v>5689</v>
      </c>
      <c r="W120" s="257">
        <f t="shared" si="62"/>
        <v>14.720709820528333</v>
      </c>
      <c r="Y120" s="99"/>
      <c r="Z120" s="99"/>
    </row>
    <row r="121" spans="2:26" ht="13.5" thickTop="1">
      <c r="B121" s="70"/>
      <c r="C121" s="70"/>
      <c r="D121" s="70"/>
      <c r="E121" s="70"/>
      <c r="F121" s="70"/>
      <c r="G121" s="70"/>
      <c r="H121" s="70"/>
      <c r="I121" s="247"/>
      <c r="J121" s="220"/>
      <c r="L121" s="4" t="s">
        <v>22</v>
      </c>
      <c r="M121" s="29">
        <v>686</v>
      </c>
      <c r="N121" s="36">
        <v>835</v>
      </c>
      <c r="O121" s="33">
        <f>SUM(M121:N121)</f>
        <v>1521</v>
      </c>
      <c r="P121" s="34">
        <v>0</v>
      </c>
      <c r="Q121" s="35">
        <f>+P121+O121</f>
        <v>1521</v>
      </c>
      <c r="R121" s="29">
        <v>587</v>
      </c>
      <c r="S121" s="36">
        <v>912</v>
      </c>
      <c r="T121" s="33">
        <f>SUM(R121:S121)</f>
        <v>1499</v>
      </c>
      <c r="U121" s="34">
        <v>0</v>
      </c>
      <c r="V121" s="31">
        <f>SUM(T121:U121)</f>
        <v>1499</v>
      </c>
      <c r="W121" s="256">
        <f t="shared" si="62"/>
        <v>-1.4464168310322156</v>
      </c>
      <c r="Y121" s="99"/>
      <c r="Z121" s="99"/>
    </row>
    <row r="122" spans="2:23" ht="12.75">
      <c r="B122" s="70"/>
      <c r="C122" s="70"/>
      <c r="D122" s="70"/>
      <c r="E122" s="70"/>
      <c r="F122" s="70"/>
      <c r="G122" s="70"/>
      <c r="H122" s="70"/>
      <c r="I122" s="247"/>
      <c r="J122" s="220"/>
      <c r="L122" s="4" t="s">
        <v>23</v>
      </c>
      <c r="M122" s="29">
        <v>744</v>
      </c>
      <c r="N122" s="36">
        <v>847</v>
      </c>
      <c r="O122" s="33">
        <f>SUM(M122:N122)</f>
        <v>1591</v>
      </c>
      <c r="P122" s="34">
        <v>0</v>
      </c>
      <c r="Q122" s="35">
        <f>+P122+O122</f>
        <v>1591</v>
      </c>
      <c r="R122" s="29">
        <v>623</v>
      </c>
      <c r="S122" s="36">
        <v>901</v>
      </c>
      <c r="T122" s="33">
        <f>SUM(R122:S122)</f>
        <v>1524</v>
      </c>
      <c r="U122" s="34">
        <v>0</v>
      </c>
      <c r="V122" s="31">
        <f>SUM(T122:U122)</f>
        <v>1524</v>
      </c>
      <c r="W122" s="256">
        <f t="shared" si="62"/>
        <v>-4.2111879321181656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47"/>
      <c r="J123" s="220"/>
      <c r="L123" s="4" t="s">
        <v>24</v>
      </c>
      <c r="M123" s="29">
        <v>766</v>
      </c>
      <c r="N123" s="36">
        <v>873</v>
      </c>
      <c r="O123" s="51">
        <f>SUM(M123:N123)</f>
        <v>1639</v>
      </c>
      <c r="P123" s="52">
        <v>0</v>
      </c>
      <c r="Q123" s="35">
        <f>+P123+O123</f>
        <v>1639</v>
      </c>
      <c r="R123" s="29">
        <v>632</v>
      </c>
      <c r="S123" s="36">
        <v>853</v>
      </c>
      <c r="T123" s="51">
        <f>SUM(R123:S123)</f>
        <v>1485</v>
      </c>
      <c r="U123" s="52">
        <v>0</v>
      </c>
      <c r="V123" s="31">
        <f>SUM(T123:U123)</f>
        <v>1485</v>
      </c>
      <c r="W123" s="256">
        <f t="shared" si="62"/>
        <v>-9.395973154362414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47"/>
      <c r="J124" s="220"/>
      <c r="L124" s="44" t="s">
        <v>25</v>
      </c>
      <c r="M124" s="45">
        <f aca="true" t="shared" si="64" ref="M124:V124">+M121+M122+M123</f>
        <v>2196</v>
      </c>
      <c r="N124" s="45">
        <f t="shared" si="64"/>
        <v>2555</v>
      </c>
      <c r="O124" s="47">
        <f t="shared" si="64"/>
        <v>4751</v>
      </c>
      <c r="P124" s="47">
        <f t="shared" si="64"/>
        <v>0</v>
      </c>
      <c r="Q124" s="47">
        <f t="shared" si="64"/>
        <v>4751</v>
      </c>
      <c r="R124" s="45">
        <f t="shared" si="64"/>
        <v>1842</v>
      </c>
      <c r="S124" s="45">
        <f t="shared" si="64"/>
        <v>2666</v>
      </c>
      <c r="T124" s="47">
        <f t="shared" si="64"/>
        <v>4508</v>
      </c>
      <c r="U124" s="47">
        <f t="shared" si="64"/>
        <v>0</v>
      </c>
      <c r="V124" s="47">
        <f t="shared" si="64"/>
        <v>4508</v>
      </c>
      <c r="W124" s="262">
        <f t="shared" si="62"/>
        <v>-5.114712692064827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47"/>
      <c r="J125" s="220"/>
      <c r="L125" s="4" t="s">
        <v>27</v>
      </c>
      <c r="M125" s="29">
        <v>726</v>
      </c>
      <c r="N125" s="36">
        <v>976</v>
      </c>
      <c r="O125" s="51">
        <f>SUM(M125:N125)</f>
        <v>1702</v>
      </c>
      <c r="P125" s="59">
        <v>0</v>
      </c>
      <c r="Q125" s="35">
        <f>+P125+O125</f>
        <v>1702</v>
      </c>
      <c r="R125" s="29">
        <v>580</v>
      </c>
      <c r="S125" s="36">
        <v>948</v>
      </c>
      <c r="T125" s="51">
        <f>SUM(R125:S125)</f>
        <v>1528</v>
      </c>
      <c r="U125" s="59">
        <v>0</v>
      </c>
      <c r="V125" s="31">
        <f>T125+U125</f>
        <v>1528</v>
      </c>
      <c r="W125" s="256">
        <f t="shared" si="62"/>
        <v>-10.223266745005876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47"/>
      <c r="J126" s="220"/>
      <c r="L126" s="4" t="s">
        <v>28</v>
      </c>
      <c r="M126" s="29">
        <v>720</v>
      </c>
      <c r="N126" s="36">
        <v>990</v>
      </c>
      <c r="O126" s="33">
        <f>SUM(M126:N126)</f>
        <v>1710</v>
      </c>
      <c r="P126" s="34">
        <v>0</v>
      </c>
      <c r="Q126" s="35">
        <f>+P126+O126</f>
        <v>1710</v>
      </c>
      <c r="R126" s="29">
        <v>595</v>
      </c>
      <c r="S126" s="36">
        <v>998</v>
      </c>
      <c r="T126" s="33">
        <f>SUM(R126:S126)</f>
        <v>1593</v>
      </c>
      <c r="U126" s="34">
        <v>0</v>
      </c>
      <c r="V126" s="31">
        <f>SUM(T126:U126)</f>
        <v>1593</v>
      </c>
      <c r="W126" s="256">
        <f>IF(Q126=0,0,((V126/Q126)-1)*100)</f>
        <v>-6.842105263157894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47"/>
      <c r="J127" s="220"/>
      <c r="L127" s="4" t="s">
        <v>29</v>
      </c>
      <c r="M127" s="29">
        <v>765</v>
      </c>
      <c r="N127" s="36">
        <v>954</v>
      </c>
      <c r="O127" s="33">
        <f>SUM(M127:N127)</f>
        <v>1719</v>
      </c>
      <c r="P127" s="52">
        <v>0</v>
      </c>
      <c r="Q127" s="35">
        <f>+P127+O127</f>
        <v>1719</v>
      </c>
      <c r="R127" s="29">
        <v>514</v>
      </c>
      <c r="S127" s="36">
        <v>908</v>
      </c>
      <c r="T127" s="33">
        <f>SUM(R127:S127)</f>
        <v>1422</v>
      </c>
      <c r="U127" s="52">
        <v>0</v>
      </c>
      <c r="V127" s="31">
        <f>SUM(T127:U127)</f>
        <v>1422</v>
      </c>
      <c r="W127" s="256">
        <f t="shared" si="62"/>
        <v>-17.277486910994767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47"/>
      <c r="J128" s="220"/>
      <c r="L128" s="39" t="s">
        <v>30</v>
      </c>
      <c r="M128" s="40">
        <f aca="true" t="shared" si="65" ref="M128:V128">+M125+M126+M127</f>
        <v>2211</v>
      </c>
      <c r="N128" s="41">
        <f t="shared" si="65"/>
        <v>2920</v>
      </c>
      <c r="O128" s="40">
        <f t="shared" si="65"/>
        <v>5131</v>
      </c>
      <c r="P128" s="40">
        <f t="shared" si="65"/>
        <v>0</v>
      </c>
      <c r="Q128" s="40">
        <f t="shared" si="65"/>
        <v>5131</v>
      </c>
      <c r="R128" s="40">
        <f t="shared" si="65"/>
        <v>1689</v>
      </c>
      <c r="S128" s="41">
        <f t="shared" si="65"/>
        <v>2854</v>
      </c>
      <c r="T128" s="40">
        <f t="shared" si="65"/>
        <v>4543</v>
      </c>
      <c r="U128" s="40">
        <f t="shared" si="65"/>
        <v>0</v>
      </c>
      <c r="V128" s="43">
        <f t="shared" si="65"/>
        <v>4543</v>
      </c>
      <c r="W128" s="258">
        <f t="shared" si="62"/>
        <v>-11.459754433833558</v>
      </c>
    </row>
    <row r="129" spans="1:26" ht="14.25" thickBot="1" thickTop="1">
      <c r="A129" s="220"/>
      <c r="B129" s="232"/>
      <c r="C129" s="233"/>
      <c r="D129" s="233"/>
      <c r="E129" s="233"/>
      <c r="F129" s="233"/>
      <c r="G129" s="233"/>
      <c r="H129" s="233"/>
      <c r="I129" s="277"/>
      <c r="J129" s="220"/>
      <c r="L129" s="39" t="s">
        <v>66</v>
      </c>
      <c r="M129" s="42">
        <f aca="true" t="shared" si="66" ref="M129:V129">+M120+M124+M128</f>
        <v>6304</v>
      </c>
      <c r="N129" s="121">
        <f t="shared" si="66"/>
        <v>8537</v>
      </c>
      <c r="O129" s="40">
        <f t="shared" si="66"/>
        <v>14841</v>
      </c>
      <c r="P129" s="40">
        <f t="shared" si="66"/>
        <v>0</v>
      </c>
      <c r="Q129" s="40">
        <f t="shared" si="66"/>
        <v>14841</v>
      </c>
      <c r="R129" s="42">
        <f t="shared" si="66"/>
        <v>5680</v>
      </c>
      <c r="S129" s="121">
        <f t="shared" si="66"/>
        <v>9060</v>
      </c>
      <c r="T129" s="40">
        <f t="shared" si="66"/>
        <v>14740</v>
      </c>
      <c r="U129" s="40">
        <f t="shared" si="66"/>
        <v>0</v>
      </c>
      <c r="V129" s="40">
        <f t="shared" si="66"/>
        <v>14740</v>
      </c>
      <c r="W129" s="257">
        <f t="shared" si="62"/>
        <v>-0.6805471329425217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47"/>
      <c r="J130" s="220"/>
      <c r="L130" s="39" t="s">
        <v>9</v>
      </c>
      <c r="M130" s="42">
        <f aca="true" t="shared" si="67" ref="M130:V130">+M120+M124+M128+M116</f>
        <v>8456</v>
      </c>
      <c r="N130" s="121">
        <f t="shared" si="67"/>
        <v>11622</v>
      </c>
      <c r="O130" s="40">
        <f t="shared" si="67"/>
        <v>20078</v>
      </c>
      <c r="P130" s="40">
        <f t="shared" si="67"/>
        <v>0</v>
      </c>
      <c r="Q130" s="40">
        <f t="shared" si="67"/>
        <v>20078</v>
      </c>
      <c r="R130" s="42">
        <f t="shared" si="67"/>
        <v>8392</v>
      </c>
      <c r="S130" s="121">
        <f t="shared" si="67"/>
        <v>12834</v>
      </c>
      <c r="T130" s="40">
        <f t="shared" si="67"/>
        <v>21226</v>
      </c>
      <c r="U130" s="40">
        <f t="shared" si="67"/>
        <v>0</v>
      </c>
      <c r="V130" s="40">
        <f t="shared" si="67"/>
        <v>21226</v>
      </c>
      <c r="W130" s="257">
        <f t="shared" si="62"/>
        <v>5.717700966231698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47"/>
      <c r="J131" s="220"/>
      <c r="L131" s="63" t="s">
        <v>64</v>
      </c>
      <c r="W131" s="243"/>
    </row>
    <row r="132" spans="2:23" ht="12.75">
      <c r="B132" s="70"/>
      <c r="C132" s="70"/>
      <c r="D132" s="70"/>
      <c r="E132" s="70"/>
      <c r="F132" s="70"/>
      <c r="G132" s="70"/>
      <c r="H132" s="70"/>
      <c r="I132" s="247"/>
      <c r="J132" s="220"/>
      <c r="L132" s="336" t="s">
        <v>49</v>
      </c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</row>
    <row r="133" spans="2:23" ht="15.75">
      <c r="B133" s="70"/>
      <c r="C133" s="70"/>
      <c r="D133" s="70"/>
      <c r="E133" s="70"/>
      <c r="F133" s="70"/>
      <c r="G133" s="70"/>
      <c r="H133" s="70"/>
      <c r="I133" s="247"/>
      <c r="J133" s="220"/>
      <c r="L133" s="337" t="s">
        <v>60</v>
      </c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47"/>
      <c r="J134" s="220"/>
      <c r="W134" s="242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47"/>
      <c r="J135" s="220"/>
      <c r="L135" s="3"/>
      <c r="M135" s="347" t="s">
        <v>67</v>
      </c>
      <c r="N135" s="348"/>
      <c r="O135" s="348"/>
      <c r="P135" s="348"/>
      <c r="Q135" s="349"/>
      <c r="R135" s="338" t="s">
        <v>68</v>
      </c>
      <c r="S135" s="339"/>
      <c r="T135" s="339"/>
      <c r="U135" s="339"/>
      <c r="V135" s="340"/>
      <c r="W135" s="239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47"/>
      <c r="J136" s="220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0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47"/>
      <c r="J137" s="220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1"/>
    </row>
    <row r="138" spans="2:23" ht="4.5" customHeight="1" thickBot="1" thickTop="1">
      <c r="B138" s="70"/>
      <c r="C138" s="70"/>
      <c r="D138" s="70"/>
      <c r="E138" s="70"/>
      <c r="F138" s="70"/>
      <c r="G138" s="70"/>
      <c r="H138" s="70"/>
      <c r="I138" s="247"/>
      <c r="J138" s="220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07"/>
    </row>
    <row r="139" spans="2:23" ht="13.5" thickTop="1">
      <c r="B139" s="70"/>
      <c r="C139" s="70"/>
      <c r="D139" s="70"/>
      <c r="E139" s="70"/>
      <c r="F139" s="70"/>
      <c r="G139" s="70"/>
      <c r="H139" s="70"/>
      <c r="I139" s="247"/>
      <c r="J139" s="220"/>
      <c r="L139" s="4" t="s">
        <v>14</v>
      </c>
      <c r="M139" s="29">
        <f aca="true" t="shared" si="68" ref="M139:N141">+M87+M113</f>
        <v>704</v>
      </c>
      <c r="N139" s="36">
        <f t="shared" si="68"/>
        <v>974</v>
      </c>
      <c r="O139" s="33">
        <f>M139+N139</f>
        <v>1678</v>
      </c>
      <c r="P139" s="34">
        <f>+P87+P113</f>
        <v>0</v>
      </c>
      <c r="Q139" s="31">
        <f>O139+P139</f>
        <v>1678</v>
      </c>
      <c r="R139" s="127">
        <f aca="true" t="shared" si="69" ref="R139:S141">+R113+R87</f>
        <v>1028</v>
      </c>
      <c r="S139" s="128">
        <f t="shared" si="69"/>
        <v>1240</v>
      </c>
      <c r="T139" s="33">
        <f>R139+S139</f>
        <v>2268</v>
      </c>
      <c r="U139" s="29">
        <f>+U113+U87</f>
        <v>0</v>
      </c>
      <c r="V139" s="33">
        <f>T139+U139</f>
        <v>2268</v>
      </c>
      <c r="W139" s="256">
        <f aca="true" t="shared" si="70" ref="W139:W156">IF(Q139=0,0,((V139/Q139)-1)*100)</f>
        <v>35.16090584028606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47"/>
      <c r="J140" s="220"/>
      <c r="L140" s="4" t="s">
        <v>15</v>
      </c>
      <c r="M140" s="29">
        <f t="shared" si="68"/>
        <v>672</v>
      </c>
      <c r="N140" s="36">
        <f t="shared" si="68"/>
        <v>990</v>
      </c>
      <c r="O140" s="33">
        <f>M140+N140</f>
        <v>1662</v>
      </c>
      <c r="P140" s="34">
        <f>+P88+P114</f>
        <v>0</v>
      </c>
      <c r="Q140" s="35">
        <f>O140+P140</f>
        <v>1662</v>
      </c>
      <c r="R140" s="127">
        <f t="shared" si="69"/>
        <v>909</v>
      </c>
      <c r="S140" s="30">
        <f t="shared" si="69"/>
        <v>1314</v>
      </c>
      <c r="T140" s="33">
        <f>R140+S140</f>
        <v>2223</v>
      </c>
      <c r="U140" s="29">
        <f>+U114+U88</f>
        <v>0</v>
      </c>
      <c r="V140" s="33">
        <f>T140+U140</f>
        <v>2223</v>
      </c>
      <c r="W140" s="256">
        <f t="shared" si="70"/>
        <v>33.75451263537905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47"/>
      <c r="J141" s="220"/>
      <c r="L141" s="4" t="s">
        <v>16</v>
      </c>
      <c r="M141" s="29">
        <f t="shared" si="68"/>
        <v>784</v>
      </c>
      <c r="N141" s="36">
        <f t="shared" si="68"/>
        <v>1138</v>
      </c>
      <c r="O141" s="33">
        <f>+O89+O115</f>
        <v>1922</v>
      </c>
      <c r="P141" s="34">
        <f>+P89+P115</f>
        <v>0</v>
      </c>
      <c r="Q141" s="35">
        <f>+Q89+Q115</f>
        <v>1922</v>
      </c>
      <c r="R141" s="127">
        <f t="shared" si="69"/>
        <v>809</v>
      </c>
      <c r="S141" s="38">
        <f t="shared" si="69"/>
        <v>1259</v>
      </c>
      <c r="T141" s="33">
        <f>R141+S141</f>
        <v>2068</v>
      </c>
      <c r="U141" s="29">
        <f>+U115+U89</f>
        <v>0</v>
      </c>
      <c r="V141" s="33">
        <f>T141+U141</f>
        <v>2068</v>
      </c>
      <c r="W141" s="256">
        <f t="shared" si="70"/>
        <v>7.596253902185213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47"/>
      <c r="J142" s="220"/>
      <c r="L142" s="39" t="s">
        <v>58</v>
      </c>
      <c r="M142" s="40">
        <f>M141+M139+M140</f>
        <v>2160</v>
      </c>
      <c r="N142" s="41">
        <f>N141+N139+N140</f>
        <v>3102</v>
      </c>
      <c r="O142" s="40">
        <f>O141+O139+O140</f>
        <v>5262</v>
      </c>
      <c r="P142" s="40">
        <f>P141+P139+P140</f>
        <v>0</v>
      </c>
      <c r="Q142" s="42">
        <f>Q141+Q139+Q140</f>
        <v>5262</v>
      </c>
      <c r="R142" s="40">
        <f>+R139+R140+R141</f>
        <v>2746</v>
      </c>
      <c r="S142" s="41">
        <f>+S139+S140+S141</f>
        <v>3813</v>
      </c>
      <c r="T142" s="40">
        <f>+T139+T140+T141</f>
        <v>6559</v>
      </c>
      <c r="U142" s="40">
        <f>+U139+U140+U141</f>
        <v>0</v>
      </c>
      <c r="V142" s="43">
        <f>+V140+V139+V141</f>
        <v>6559</v>
      </c>
      <c r="W142" s="262">
        <f t="shared" si="70"/>
        <v>24.64842265298366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47"/>
      <c r="J143" s="220"/>
      <c r="L143" s="4" t="s">
        <v>18</v>
      </c>
      <c r="M143" s="29">
        <f aca="true" t="shared" si="71" ref="M143:N145">+M91+M117</f>
        <v>680</v>
      </c>
      <c r="N143" s="36">
        <f t="shared" si="71"/>
        <v>1087</v>
      </c>
      <c r="O143" s="33">
        <f>M143+N143</f>
        <v>1767</v>
      </c>
      <c r="P143" s="34">
        <f>+P91+P117</f>
        <v>0</v>
      </c>
      <c r="Q143" s="35">
        <f>O143+P143</f>
        <v>1767</v>
      </c>
      <c r="R143" s="29">
        <f>+R91+R117</f>
        <v>713</v>
      </c>
      <c r="S143" s="36">
        <f>+S91+S117</f>
        <v>1182</v>
      </c>
      <c r="T143" s="33">
        <f>+T91+T117</f>
        <v>1895</v>
      </c>
      <c r="U143" s="34">
        <f>+U91+U117</f>
        <v>0</v>
      </c>
      <c r="V143" s="31">
        <f>+V91+V117</f>
        <v>1895</v>
      </c>
      <c r="W143" s="256">
        <f t="shared" si="70"/>
        <v>7.243916242218451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47"/>
      <c r="J144" s="220"/>
      <c r="L144" s="4" t="s">
        <v>19</v>
      </c>
      <c r="M144" s="29">
        <f t="shared" si="71"/>
        <v>569</v>
      </c>
      <c r="N144" s="36">
        <f t="shared" si="71"/>
        <v>992</v>
      </c>
      <c r="O144" s="33">
        <f>M144+N144</f>
        <v>1561</v>
      </c>
      <c r="P144" s="34">
        <f>+P92+P118</f>
        <v>0</v>
      </c>
      <c r="Q144" s="35">
        <f>O144+P144</f>
        <v>1561</v>
      </c>
      <c r="R144" s="29">
        <f>+R92+R118</f>
        <v>721</v>
      </c>
      <c r="S144" s="36">
        <f>+S92+S118</f>
        <v>1237</v>
      </c>
      <c r="T144" s="33">
        <f>R144+S144</f>
        <v>1958</v>
      </c>
      <c r="U144" s="34">
        <f>+U92+U118</f>
        <v>0</v>
      </c>
      <c r="V144" s="31">
        <f>T144+U144</f>
        <v>1958</v>
      </c>
      <c r="W144" s="256">
        <f t="shared" si="70"/>
        <v>25.432415118513774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47"/>
      <c r="J145" s="220"/>
      <c r="L145" s="4" t="s">
        <v>20</v>
      </c>
      <c r="M145" s="29">
        <f t="shared" si="71"/>
        <v>657</v>
      </c>
      <c r="N145" s="36">
        <f t="shared" si="71"/>
        <v>1001</v>
      </c>
      <c r="O145" s="33">
        <f>+O93+O119</f>
        <v>1658</v>
      </c>
      <c r="P145" s="34">
        <f>+P93+P119</f>
        <v>0</v>
      </c>
      <c r="Q145" s="35">
        <f>+Q93+Q119</f>
        <v>1658</v>
      </c>
      <c r="R145" s="29">
        <f>+R93+R119</f>
        <v>740</v>
      </c>
      <c r="S145" s="36">
        <f>+S93+S119</f>
        <v>1183</v>
      </c>
      <c r="T145" s="61">
        <f>+T93+T119</f>
        <v>1923</v>
      </c>
      <c r="U145" s="34">
        <f>+U93+U119</f>
        <v>0</v>
      </c>
      <c r="V145" s="31">
        <f>+V93+V119</f>
        <v>1923</v>
      </c>
      <c r="W145" s="256">
        <f t="shared" si="70"/>
        <v>15.983112183353443</v>
      </c>
    </row>
    <row r="146" spans="1:26" ht="14.25" thickBot="1" thickTop="1">
      <c r="A146" s="70"/>
      <c r="B146" s="232"/>
      <c r="C146" s="233"/>
      <c r="D146" s="233"/>
      <c r="E146" s="233"/>
      <c r="F146" s="234"/>
      <c r="G146" s="234"/>
      <c r="H146" s="234"/>
      <c r="I146" s="277"/>
      <c r="J146" s="70"/>
      <c r="L146" s="44" t="s">
        <v>21</v>
      </c>
      <c r="M146" s="42">
        <f aca="true" t="shared" si="72" ref="M146:V146">M143+M144+M145</f>
        <v>1906</v>
      </c>
      <c r="N146" s="121">
        <f t="shared" si="72"/>
        <v>3080</v>
      </c>
      <c r="O146" s="40">
        <f t="shared" si="72"/>
        <v>4986</v>
      </c>
      <c r="P146" s="40">
        <f t="shared" si="72"/>
        <v>0</v>
      </c>
      <c r="Q146" s="40">
        <f t="shared" si="72"/>
        <v>4986</v>
      </c>
      <c r="R146" s="42">
        <f t="shared" si="72"/>
        <v>2174</v>
      </c>
      <c r="S146" s="121">
        <f t="shared" si="72"/>
        <v>3602</v>
      </c>
      <c r="T146" s="40">
        <f t="shared" si="72"/>
        <v>5776</v>
      </c>
      <c r="U146" s="40">
        <f t="shared" si="72"/>
        <v>0</v>
      </c>
      <c r="V146" s="40">
        <f t="shared" si="72"/>
        <v>5776</v>
      </c>
      <c r="W146" s="257">
        <f t="shared" si="70"/>
        <v>15.844364219815477</v>
      </c>
      <c r="Y146" s="99"/>
      <c r="Z146" s="99"/>
    </row>
    <row r="147" spans="2:26" ht="13.5" thickTop="1">
      <c r="B147" s="70"/>
      <c r="C147" s="70"/>
      <c r="D147" s="70"/>
      <c r="E147" s="70"/>
      <c r="F147" s="70"/>
      <c r="G147" s="70"/>
      <c r="H147" s="70"/>
      <c r="I147" s="247"/>
      <c r="J147" s="220"/>
      <c r="L147" s="4" t="s">
        <v>22</v>
      </c>
      <c r="M147" s="29">
        <f>+M95+M121</f>
        <v>691</v>
      </c>
      <c r="N147" s="36">
        <f>+N95+N121</f>
        <v>838</v>
      </c>
      <c r="O147" s="33">
        <f>+O95+O121</f>
        <v>1529</v>
      </c>
      <c r="P147" s="34">
        <f>+P95+P121</f>
        <v>0</v>
      </c>
      <c r="Q147" s="35">
        <f>+Q95+Q121</f>
        <v>1529</v>
      </c>
      <c r="R147" s="29">
        <f>+R121+R95</f>
        <v>601</v>
      </c>
      <c r="S147" s="36">
        <f>+S121+S95</f>
        <v>914</v>
      </c>
      <c r="T147" s="33">
        <f>R147+S147</f>
        <v>1515</v>
      </c>
      <c r="U147" s="34">
        <f>+U121+U95</f>
        <v>0</v>
      </c>
      <c r="V147" s="31">
        <f>T147+U147</f>
        <v>1515</v>
      </c>
      <c r="W147" s="256">
        <f t="shared" si="70"/>
        <v>-0.915631131458472</v>
      </c>
      <c r="Y147" s="99"/>
      <c r="Z147" s="99"/>
    </row>
    <row r="148" spans="2:23" ht="12.75">
      <c r="B148" s="70"/>
      <c r="C148" s="70"/>
      <c r="D148" s="70"/>
      <c r="E148" s="70"/>
      <c r="F148" s="70"/>
      <c r="G148" s="70"/>
      <c r="H148" s="70"/>
      <c r="I148" s="247"/>
      <c r="J148" s="220"/>
      <c r="L148" s="4" t="s">
        <v>23</v>
      </c>
      <c r="M148" s="29">
        <f>+M96+M122</f>
        <v>759</v>
      </c>
      <c r="N148" s="36">
        <f>+N96+N122</f>
        <v>852</v>
      </c>
      <c r="O148" s="33">
        <f>M148+N148</f>
        <v>1611</v>
      </c>
      <c r="P148" s="34">
        <f>+P96+P122</f>
        <v>0</v>
      </c>
      <c r="Q148" s="35">
        <f>O148+P148</f>
        <v>1611</v>
      </c>
      <c r="R148" s="29">
        <f>R122+R96</f>
        <v>637</v>
      </c>
      <c r="S148" s="36">
        <f>S122+S96</f>
        <v>905</v>
      </c>
      <c r="T148" s="33">
        <f>R148+S148</f>
        <v>1542</v>
      </c>
      <c r="U148" s="34">
        <f>U122+U96</f>
        <v>0</v>
      </c>
      <c r="V148" s="31">
        <f>T148+U148</f>
        <v>1542</v>
      </c>
      <c r="W148" s="256">
        <f t="shared" si="70"/>
        <v>-4.283054003724396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47"/>
      <c r="J149" s="220"/>
      <c r="L149" s="4" t="s">
        <v>24</v>
      </c>
      <c r="M149" s="29">
        <f>+M97+M123</f>
        <v>769</v>
      </c>
      <c r="N149" s="36">
        <f>+N97+N123</f>
        <v>878</v>
      </c>
      <c r="O149" s="33">
        <f>M149+N149</f>
        <v>1647</v>
      </c>
      <c r="P149" s="34">
        <f>+P97+P123</f>
        <v>0</v>
      </c>
      <c r="Q149" s="35">
        <f>O149+P149</f>
        <v>1647</v>
      </c>
      <c r="R149" s="288">
        <f>+R123+R97</f>
        <v>641</v>
      </c>
      <c r="S149" s="289">
        <f>+S123+S97</f>
        <v>854</v>
      </c>
      <c r="T149" s="33">
        <f>+T123+T97</f>
        <v>1495</v>
      </c>
      <c r="U149" s="335">
        <f>+U123+U97</f>
        <v>59</v>
      </c>
      <c r="V149" s="33">
        <f>+V123+V97</f>
        <v>1554</v>
      </c>
      <c r="W149" s="256">
        <f t="shared" si="70"/>
        <v>-5.64663023679417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47"/>
      <c r="J150" s="70"/>
      <c r="L150" s="44" t="s">
        <v>25</v>
      </c>
      <c r="M150" s="45">
        <f aca="true" t="shared" si="73" ref="M150:V150">+M147+M148+M149</f>
        <v>2219</v>
      </c>
      <c r="N150" s="45">
        <f t="shared" si="73"/>
        <v>2568</v>
      </c>
      <c r="O150" s="47">
        <f t="shared" si="73"/>
        <v>4787</v>
      </c>
      <c r="P150" s="47">
        <f t="shared" si="73"/>
        <v>0</v>
      </c>
      <c r="Q150" s="47">
        <f t="shared" si="73"/>
        <v>4787</v>
      </c>
      <c r="R150" s="45">
        <f t="shared" si="73"/>
        <v>1879</v>
      </c>
      <c r="S150" s="45">
        <f t="shared" si="73"/>
        <v>2673</v>
      </c>
      <c r="T150" s="47">
        <f t="shared" si="73"/>
        <v>4552</v>
      </c>
      <c r="U150" s="47">
        <f t="shared" si="73"/>
        <v>59</v>
      </c>
      <c r="V150" s="47">
        <f t="shared" si="73"/>
        <v>4611</v>
      </c>
      <c r="W150" s="262">
        <f t="shared" si="70"/>
        <v>-3.6766241905159758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47"/>
      <c r="J151" s="70"/>
      <c r="L151" s="4" t="s">
        <v>27</v>
      </c>
      <c r="M151" s="29">
        <f aca="true" t="shared" si="74" ref="M151:N153">+M99+M125</f>
        <v>731</v>
      </c>
      <c r="N151" s="36">
        <f t="shared" si="74"/>
        <v>977</v>
      </c>
      <c r="O151" s="33">
        <f>M151+N151</f>
        <v>1708</v>
      </c>
      <c r="P151" s="34">
        <f>+P99+P125</f>
        <v>0</v>
      </c>
      <c r="Q151" s="35">
        <f>+Q99+Q125</f>
        <v>1708</v>
      </c>
      <c r="R151" s="29">
        <f>+R125+R99</f>
        <v>604</v>
      </c>
      <c r="S151" s="36">
        <f>+S125+S99</f>
        <v>949</v>
      </c>
      <c r="T151" s="33">
        <f>R151+S151</f>
        <v>1553</v>
      </c>
      <c r="U151" s="34">
        <f>+U125+U99</f>
        <v>0</v>
      </c>
      <c r="V151" s="31">
        <f>T151+U151</f>
        <v>1553</v>
      </c>
      <c r="W151" s="256">
        <f t="shared" si="70"/>
        <v>-9.074941451990636</v>
      </c>
    </row>
    <row r="152" spans="2:23" ht="12.75">
      <c r="B152" s="298"/>
      <c r="C152" s="146"/>
      <c r="D152" s="146"/>
      <c r="E152" s="234"/>
      <c r="F152" s="146"/>
      <c r="G152" s="146"/>
      <c r="H152" s="234"/>
      <c r="I152" s="295"/>
      <c r="J152" s="70"/>
      <c r="L152" s="4" t="s">
        <v>28</v>
      </c>
      <c r="M152" s="29">
        <f t="shared" si="74"/>
        <v>726</v>
      </c>
      <c r="N152" s="36">
        <f t="shared" si="74"/>
        <v>992</v>
      </c>
      <c r="O152" s="33">
        <f>+O100+O126</f>
        <v>1718</v>
      </c>
      <c r="P152" s="34">
        <f>+P100+P126</f>
        <v>0</v>
      </c>
      <c r="Q152" s="35">
        <f>+Q100+Q126</f>
        <v>1718</v>
      </c>
      <c r="R152" s="29">
        <f>+R100+R126</f>
        <v>606</v>
      </c>
      <c r="S152" s="36">
        <f>+S100+S126</f>
        <v>1001</v>
      </c>
      <c r="T152" s="33">
        <f>+T100+T126</f>
        <v>1607</v>
      </c>
      <c r="U152" s="34">
        <f>+U100+U126</f>
        <v>0</v>
      </c>
      <c r="V152" s="31">
        <f>+V100+V126</f>
        <v>1607</v>
      </c>
      <c r="W152" s="256">
        <f>IF(Q152=0,0,((V152/Q152)-1)*100)</f>
        <v>-6.461001164144353</v>
      </c>
    </row>
    <row r="153" spans="2:25" ht="13.5" thickBot="1">
      <c r="B153" s="70"/>
      <c r="C153" s="70"/>
      <c r="D153" s="70"/>
      <c r="E153" s="70"/>
      <c r="F153" s="70"/>
      <c r="G153" s="70"/>
      <c r="H153" s="70"/>
      <c r="I153" s="247"/>
      <c r="J153" s="220"/>
      <c r="L153" s="4" t="s">
        <v>29</v>
      </c>
      <c r="M153" s="29">
        <f t="shared" si="74"/>
        <v>769</v>
      </c>
      <c r="N153" s="36">
        <f t="shared" si="74"/>
        <v>957</v>
      </c>
      <c r="O153" s="33">
        <f>M153+N153</f>
        <v>1726</v>
      </c>
      <c r="P153" s="34">
        <f>+P101+P127</f>
        <v>0</v>
      </c>
      <c r="Q153" s="35">
        <f>O153+P153</f>
        <v>1726</v>
      </c>
      <c r="R153" s="127">
        <f>R127+R101</f>
        <v>521</v>
      </c>
      <c r="S153" s="38">
        <f>S127+S101</f>
        <v>912</v>
      </c>
      <c r="T153" s="33">
        <f>R153+S153</f>
        <v>1433</v>
      </c>
      <c r="U153" s="127">
        <f>U127+U101</f>
        <v>0</v>
      </c>
      <c r="V153" s="61">
        <f>T153+U153</f>
        <v>1433</v>
      </c>
      <c r="W153" s="256">
        <f t="shared" si="70"/>
        <v>-16.975666280417144</v>
      </c>
      <c r="Y153" s="50"/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47"/>
      <c r="J154" s="220"/>
      <c r="L154" s="39" t="s">
        <v>30</v>
      </c>
      <c r="M154" s="40">
        <f aca="true" t="shared" si="75" ref="M154:V154">+M151+M152+M153</f>
        <v>2226</v>
      </c>
      <c r="N154" s="41">
        <f t="shared" si="75"/>
        <v>2926</v>
      </c>
      <c r="O154" s="40">
        <f t="shared" si="75"/>
        <v>5152</v>
      </c>
      <c r="P154" s="40">
        <f t="shared" si="75"/>
        <v>0</v>
      </c>
      <c r="Q154" s="43">
        <f t="shared" si="75"/>
        <v>5152</v>
      </c>
      <c r="R154" s="40">
        <f t="shared" si="75"/>
        <v>1731</v>
      </c>
      <c r="S154" s="41">
        <f t="shared" si="75"/>
        <v>2862</v>
      </c>
      <c r="T154" s="40">
        <f t="shared" si="75"/>
        <v>4593</v>
      </c>
      <c r="U154" s="40">
        <f t="shared" si="75"/>
        <v>0</v>
      </c>
      <c r="V154" s="43">
        <f t="shared" si="75"/>
        <v>4593</v>
      </c>
      <c r="W154" s="258">
        <f t="shared" si="70"/>
        <v>-10.850155279503104</v>
      </c>
    </row>
    <row r="155" spans="1:26" ht="14.25" thickBot="1" thickTop="1">
      <c r="A155" s="220"/>
      <c r="B155" s="232"/>
      <c r="C155" s="233"/>
      <c r="D155" s="233"/>
      <c r="E155" s="233"/>
      <c r="F155" s="233"/>
      <c r="G155" s="233"/>
      <c r="H155" s="233"/>
      <c r="I155" s="277"/>
      <c r="J155" s="220"/>
      <c r="L155" s="39" t="s">
        <v>66</v>
      </c>
      <c r="M155" s="42">
        <f aca="true" t="shared" si="76" ref="M155:V155">+M146+M150+M154</f>
        <v>6351</v>
      </c>
      <c r="N155" s="121">
        <f t="shared" si="76"/>
        <v>8574</v>
      </c>
      <c r="O155" s="40">
        <f t="shared" si="76"/>
        <v>14925</v>
      </c>
      <c r="P155" s="40">
        <f t="shared" si="76"/>
        <v>0</v>
      </c>
      <c r="Q155" s="40">
        <f t="shared" si="76"/>
        <v>14925</v>
      </c>
      <c r="R155" s="42">
        <f t="shared" si="76"/>
        <v>5784</v>
      </c>
      <c r="S155" s="121">
        <f t="shared" si="76"/>
        <v>9137</v>
      </c>
      <c r="T155" s="40">
        <f t="shared" si="76"/>
        <v>14921</v>
      </c>
      <c r="U155" s="40">
        <f t="shared" si="76"/>
        <v>59</v>
      </c>
      <c r="V155" s="40">
        <f t="shared" si="76"/>
        <v>14980</v>
      </c>
      <c r="W155" s="257">
        <f t="shared" si="70"/>
        <v>0.368509212730328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47"/>
      <c r="J156" s="220"/>
      <c r="L156" s="39" t="s">
        <v>9</v>
      </c>
      <c r="M156" s="42">
        <f aca="true" t="shared" si="77" ref="M156:V156">+M146+M150+M154+M142</f>
        <v>8511</v>
      </c>
      <c r="N156" s="121">
        <f t="shared" si="77"/>
        <v>11676</v>
      </c>
      <c r="O156" s="40">
        <f t="shared" si="77"/>
        <v>20187</v>
      </c>
      <c r="P156" s="40">
        <f t="shared" si="77"/>
        <v>0</v>
      </c>
      <c r="Q156" s="40">
        <f t="shared" si="77"/>
        <v>20187</v>
      </c>
      <c r="R156" s="42">
        <f t="shared" si="77"/>
        <v>8530</v>
      </c>
      <c r="S156" s="121">
        <f t="shared" si="77"/>
        <v>12950</v>
      </c>
      <c r="T156" s="40">
        <f t="shared" si="77"/>
        <v>21480</v>
      </c>
      <c r="U156" s="40">
        <f t="shared" si="77"/>
        <v>59</v>
      </c>
      <c r="V156" s="40">
        <f t="shared" si="77"/>
        <v>21539</v>
      </c>
      <c r="W156" s="257">
        <f t="shared" si="70"/>
        <v>6.697379501659473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47"/>
      <c r="J157" s="220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47"/>
      <c r="J158" s="220"/>
      <c r="L158" s="336" t="s">
        <v>51</v>
      </c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</row>
    <row r="159" spans="2:23" ht="15.75">
      <c r="B159" s="70"/>
      <c r="C159" s="70"/>
      <c r="D159" s="70"/>
      <c r="E159" s="70"/>
      <c r="F159" s="70"/>
      <c r="G159" s="70"/>
      <c r="H159" s="70"/>
      <c r="I159" s="247"/>
      <c r="J159" s="220"/>
      <c r="L159" s="337" t="s">
        <v>52</v>
      </c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47"/>
      <c r="J160" s="220"/>
      <c r="W160" s="242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47"/>
      <c r="J161" s="220"/>
      <c r="L161" s="3"/>
      <c r="M161" s="347" t="s">
        <v>67</v>
      </c>
      <c r="N161" s="348"/>
      <c r="O161" s="348"/>
      <c r="P161" s="348"/>
      <c r="Q161" s="349"/>
      <c r="R161" s="338" t="s">
        <v>68</v>
      </c>
      <c r="S161" s="339"/>
      <c r="T161" s="339"/>
      <c r="U161" s="339"/>
      <c r="V161" s="340"/>
      <c r="W161" s="239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47"/>
      <c r="J162" s="220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0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47"/>
      <c r="J163" s="220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1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47"/>
      <c r="J164" s="220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07"/>
    </row>
    <row r="165" spans="2:23" ht="12.75">
      <c r="B165" s="70"/>
      <c r="C165" s="70"/>
      <c r="D165" s="70"/>
      <c r="E165" s="70"/>
      <c r="F165" s="70"/>
      <c r="G165" s="70"/>
      <c r="H165" s="70"/>
      <c r="I165" s="247"/>
      <c r="J165" s="220"/>
      <c r="L165" s="4" t="s">
        <v>14</v>
      </c>
      <c r="M165" s="29">
        <v>0</v>
      </c>
      <c r="N165" s="36">
        <v>0</v>
      </c>
      <c r="O165" s="33"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v>0</v>
      </c>
      <c r="U165" s="34">
        <v>0</v>
      </c>
      <c r="V165" s="31">
        <v>0</v>
      </c>
      <c r="W165" s="32">
        <f aca="true" t="shared" si="78" ref="W165:W18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47"/>
      <c r="J166" s="220"/>
      <c r="L166" s="4" t="s">
        <v>15</v>
      </c>
      <c r="M166" s="29">
        <v>0</v>
      </c>
      <c r="N166" s="36">
        <v>0</v>
      </c>
      <c r="O166" s="33"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v>0</v>
      </c>
      <c r="U166" s="34">
        <v>0</v>
      </c>
      <c r="V166" s="31">
        <v>0</v>
      </c>
      <c r="W166" s="32">
        <f t="shared" si="78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47"/>
      <c r="J167" s="220"/>
      <c r="L167" s="12" t="s">
        <v>16</v>
      </c>
      <c r="M167" s="29">
        <v>0</v>
      </c>
      <c r="N167" s="36">
        <v>0</v>
      </c>
      <c r="O167" s="33">
        <v>0</v>
      </c>
      <c r="P167" s="34">
        <v>0</v>
      </c>
      <c r="Q167" s="35">
        <f>O167+P167</f>
        <v>0</v>
      </c>
      <c r="R167" s="29">
        <v>0</v>
      </c>
      <c r="S167" s="36">
        <v>0</v>
      </c>
      <c r="T167" s="33">
        <v>0</v>
      </c>
      <c r="U167" s="34">
        <v>0</v>
      </c>
      <c r="V167" s="31">
        <v>0</v>
      </c>
      <c r="W167" s="32">
        <f t="shared" si="78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47"/>
      <c r="J168" s="220"/>
      <c r="L168" s="39" t="s">
        <v>58</v>
      </c>
      <c r="M168" s="40">
        <f>M167+M165+M166</f>
        <v>0</v>
      </c>
      <c r="N168" s="41">
        <f>N167+N165+N166</f>
        <v>0</v>
      </c>
      <c r="O168" s="40">
        <f>O167+O165+O166</f>
        <v>0</v>
      </c>
      <c r="P168" s="40">
        <f>P167+P165+P166</f>
        <v>0</v>
      </c>
      <c r="Q168" s="40">
        <f aca="true" t="shared" si="79" ref="Q168:V168">Q167+Q165+Q166</f>
        <v>0</v>
      </c>
      <c r="R168" s="40">
        <f t="shared" si="79"/>
        <v>0</v>
      </c>
      <c r="S168" s="41">
        <f t="shared" si="79"/>
        <v>0</v>
      </c>
      <c r="T168" s="40">
        <f t="shared" si="79"/>
        <v>0</v>
      </c>
      <c r="U168" s="40">
        <f t="shared" si="79"/>
        <v>0</v>
      </c>
      <c r="V168" s="40">
        <f t="shared" si="79"/>
        <v>0</v>
      </c>
      <c r="W168" s="54">
        <f t="shared" si="78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47"/>
      <c r="J169" s="220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>O169+P169</f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32">
        <f t="shared" si="78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47"/>
      <c r="J170" s="220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T170+U170</f>
        <v>0</v>
      </c>
      <c r="W170" s="32">
        <f t="shared" si="78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47"/>
      <c r="J171" s="220"/>
      <c r="L171" s="4" t="s">
        <v>20</v>
      </c>
      <c r="M171" s="29">
        <v>0</v>
      </c>
      <c r="N171" s="36">
        <v>0</v>
      </c>
      <c r="O171" s="33">
        <f>+N171+M171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+S171+R171</f>
        <v>0</v>
      </c>
      <c r="U171" s="34">
        <v>0</v>
      </c>
      <c r="V171" s="31">
        <f>+U171+T171</f>
        <v>0</v>
      </c>
      <c r="W171" s="32">
        <f t="shared" si="78"/>
        <v>0</v>
      </c>
    </row>
    <row r="172" spans="1:23" ht="14.25" thickBot="1" thickTop="1">
      <c r="A172" s="70"/>
      <c r="B172" s="232"/>
      <c r="C172" s="233"/>
      <c r="D172" s="233"/>
      <c r="E172" s="233"/>
      <c r="F172" s="234"/>
      <c r="G172" s="234"/>
      <c r="H172" s="234"/>
      <c r="I172" s="277"/>
      <c r="J172" s="70"/>
      <c r="L172" s="44" t="s">
        <v>21</v>
      </c>
      <c r="M172" s="42">
        <f aca="true" t="shared" si="80" ref="M172:V172">M169+M170+M171</f>
        <v>0</v>
      </c>
      <c r="N172" s="121">
        <f t="shared" si="80"/>
        <v>0</v>
      </c>
      <c r="O172" s="40">
        <f t="shared" si="80"/>
        <v>0</v>
      </c>
      <c r="P172" s="40">
        <f t="shared" si="80"/>
        <v>0</v>
      </c>
      <c r="Q172" s="40">
        <f t="shared" si="80"/>
        <v>0</v>
      </c>
      <c r="R172" s="42">
        <f t="shared" si="80"/>
        <v>0</v>
      </c>
      <c r="S172" s="121">
        <f t="shared" si="80"/>
        <v>0</v>
      </c>
      <c r="T172" s="40">
        <f t="shared" si="80"/>
        <v>0</v>
      </c>
      <c r="U172" s="40">
        <f t="shared" si="80"/>
        <v>0</v>
      </c>
      <c r="V172" s="40">
        <f t="shared" si="80"/>
        <v>0</v>
      </c>
      <c r="W172" s="54">
        <f t="shared" si="78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47"/>
      <c r="J173" s="220"/>
      <c r="L173" s="4" t="s">
        <v>22</v>
      </c>
      <c r="M173" s="29">
        <v>0</v>
      </c>
      <c r="N173" s="36">
        <v>0</v>
      </c>
      <c r="O173" s="33">
        <f>SUM(M173:N173)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SUM(R173:S173)</f>
        <v>0</v>
      </c>
      <c r="U173" s="34">
        <v>0</v>
      </c>
      <c r="V173" s="31">
        <f>SUM(T173:U173)</f>
        <v>0</v>
      </c>
      <c r="W173" s="32">
        <f t="shared" si="78"/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47"/>
      <c r="J174" s="220"/>
      <c r="L174" s="4" t="s">
        <v>23</v>
      </c>
      <c r="M174" s="29">
        <v>0</v>
      </c>
      <c r="N174" s="36">
        <v>0</v>
      </c>
      <c r="O174" s="33">
        <f>SUM(M174:N174)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f>SUM(R174:S174)</f>
        <v>0</v>
      </c>
      <c r="U174" s="34">
        <v>0</v>
      </c>
      <c r="V174" s="31">
        <f>SUM(T174:U174)</f>
        <v>0</v>
      </c>
      <c r="W174" s="32">
        <f t="shared" si="78"/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47"/>
      <c r="J175" s="220"/>
      <c r="L175" s="4" t="s">
        <v>24</v>
      </c>
      <c r="M175" s="29">
        <v>0</v>
      </c>
      <c r="N175" s="36">
        <v>0</v>
      </c>
      <c r="O175" s="51">
        <f>SUM(M175:N175)</f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f>SUM(R175:S175)</f>
        <v>0</v>
      </c>
      <c r="U175" s="52">
        <v>0</v>
      </c>
      <c r="V175" s="31">
        <f>SUM(T175:U175)</f>
        <v>0</v>
      </c>
      <c r="W175" s="32">
        <f t="shared" si="78"/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47"/>
      <c r="J176" s="220"/>
      <c r="L176" s="39" t="s">
        <v>25</v>
      </c>
      <c r="M176" s="40">
        <f aca="true" t="shared" si="81" ref="M176:V176">+M173+M174+M175</f>
        <v>0</v>
      </c>
      <c r="N176" s="41">
        <f t="shared" si="81"/>
        <v>0</v>
      </c>
      <c r="O176" s="40">
        <f t="shared" si="81"/>
        <v>0</v>
      </c>
      <c r="P176" s="40">
        <f t="shared" si="81"/>
        <v>0</v>
      </c>
      <c r="Q176" s="41">
        <f t="shared" si="81"/>
        <v>0</v>
      </c>
      <c r="R176" s="40">
        <f t="shared" si="81"/>
        <v>0</v>
      </c>
      <c r="S176" s="41">
        <f t="shared" si="81"/>
        <v>0</v>
      </c>
      <c r="T176" s="40">
        <f t="shared" si="81"/>
        <v>0</v>
      </c>
      <c r="U176" s="40">
        <f t="shared" si="81"/>
        <v>0</v>
      </c>
      <c r="V176" s="42">
        <f t="shared" si="81"/>
        <v>0</v>
      </c>
      <c r="W176" s="54">
        <f t="shared" si="78"/>
        <v>0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47"/>
      <c r="J177" s="220"/>
      <c r="L177" s="4" t="s">
        <v>27</v>
      </c>
      <c r="M177" s="29">
        <v>0</v>
      </c>
      <c r="N177" s="36">
        <v>0</v>
      </c>
      <c r="O177" s="51">
        <f>M177+N177</f>
        <v>0</v>
      </c>
      <c r="P177" s="59">
        <v>0</v>
      </c>
      <c r="Q177" s="35">
        <f>O177+P177</f>
        <v>0</v>
      </c>
      <c r="R177" s="29">
        <v>0</v>
      </c>
      <c r="S177" s="36">
        <v>0</v>
      </c>
      <c r="T177" s="51">
        <f>R177+S177</f>
        <v>0</v>
      </c>
      <c r="U177" s="59">
        <v>0</v>
      </c>
      <c r="V177" s="31">
        <f>T177+U177</f>
        <v>0</v>
      </c>
      <c r="W177" s="32">
        <f t="shared" si="78"/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47"/>
      <c r="J178" s="220"/>
      <c r="L178" s="4" t="s">
        <v>28</v>
      </c>
      <c r="M178" s="29">
        <v>0</v>
      </c>
      <c r="N178" s="36">
        <v>0</v>
      </c>
      <c r="O178" s="51">
        <f>M178+N178</f>
        <v>0</v>
      </c>
      <c r="P178" s="34">
        <v>0</v>
      </c>
      <c r="Q178" s="35">
        <f>O178+P178</f>
        <v>0</v>
      </c>
      <c r="R178" s="29">
        <v>0</v>
      </c>
      <c r="S178" s="36">
        <v>0</v>
      </c>
      <c r="T178" s="51">
        <f>R178+S178</f>
        <v>0</v>
      </c>
      <c r="U178" s="34">
        <v>0</v>
      </c>
      <c r="V178" s="51">
        <f>T178+U178</f>
        <v>0</v>
      </c>
      <c r="W178" s="32">
        <f>IF(Q178=0,0,((V178/Q178)-1)*100)</f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47"/>
      <c r="J179" s="220"/>
      <c r="L179" s="4" t="s">
        <v>29</v>
      </c>
      <c r="M179" s="29">
        <v>0</v>
      </c>
      <c r="N179" s="36">
        <v>0</v>
      </c>
      <c r="O179" s="33">
        <f>M179+N179</f>
        <v>0</v>
      </c>
      <c r="P179" s="52">
        <v>0</v>
      </c>
      <c r="Q179" s="35">
        <f>O179+P179</f>
        <v>0</v>
      </c>
      <c r="R179" s="29">
        <v>0</v>
      </c>
      <c r="S179" s="36">
        <v>0</v>
      </c>
      <c r="T179" s="33">
        <f>R179+S179</f>
        <v>0</v>
      </c>
      <c r="U179" s="52">
        <v>0</v>
      </c>
      <c r="V179" s="31">
        <f>T179+U179</f>
        <v>0</v>
      </c>
      <c r="W179" s="32">
        <f t="shared" si="78"/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47"/>
      <c r="J180" s="220"/>
      <c r="L180" s="39" t="s">
        <v>30</v>
      </c>
      <c r="M180" s="40">
        <f aca="true" t="shared" si="82" ref="M180:V180">+M177+M178+M179</f>
        <v>0</v>
      </c>
      <c r="N180" s="41">
        <f t="shared" si="82"/>
        <v>0</v>
      </c>
      <c r="O180" s="40">
        <f t="shared" si="82"/>
        <v>0</v>
      </c>
      <c r="P180" s="40">
        <f t="shared" si="82"/>
        <v>0</v>
      </c>
      <c r="Q180" s="43">
        <f t="shared" si="82"/>
        <v>0</v>
      </c>
      <c r="R180" s="40">
        <f t="shared" si="82"/>
        <v>0</v>
      </c>
      <c r="S180" s="41">
        <f t="shared" si="82"/>
        <v>0</v>
      </c>
      <c r="T180" s="40">
        <f t="shared" si="82"/>
        <v>0</v>
      </c>
      <c r="U180" s="40">
        <f t="shared" si="82"/>
        <v>0</v>
      </c>
      <c r="V180" s="42">
        <f t="shared" si="82"/>
        <v>0</v>
      </c>
      <c r="W180" s="54">
        <f t="shared" si="78"/>
        <v>0</v>
      </c>
    </row>
    <row r="181" spans="1:23" ht="14.25" thickBot="1" thickTop="1">
      <c r="A181" s="220"/>
      <c r="B181" s="232"/>
      <c r="C181" s="233"/>
      <c r="D181" s="233"/>
      <c r="E181" s="233"/>
      <c r="F181" s="233"/>
      <c r="G181" s="233"/>
      <c r="H181" s="233"/>
      <c r="I181" s="277"/>
      <c r="J181" s="220"/>
      <c r="L181" s="39" t="s">
        <v>66</v>
      </c>
      <c r="M181" s="42">
        <f aca="true" t="shared" si="83" ref="M181:V181">+M172+M176+M180</f>
        <v>0</v>
      </c>
      <c r="N181" s="121">
        <f t="shared" si="83"/>
        <v>0</v>
      </c>
      <c r="O181" s="40">
        <f t="shared" si="83"/>
        <v>0</v>
      </c>
      <c r="P181" s="40">
        <f t="shared" si="83"/>
        <v>0</v>
      </c>
      <c r="Q181" s="40">
        <f t="shared" si="83"/>
        <v>0</v>
      </c>
      <c r="R181" s="42">
        <f t="shared" si="83"/>
        <v>0</v>
      </c>
      <c r="S181" s="121">
        <f t="shared" si="83"/>
        <v>0</v>
      </c>
      <c r="T181" s="40">
        <f t="shared" si="83"/>
        <v>0</v>
      </c>
      <c r="U181" s="40">
        <f t="shared" si="83"/>
        <v>0</v>
      </c>
      <c r="V181" s="40">
        <f t="shared" si="83"/>
        <v>0</v>
      </c>
      <c r="W181" s="54">
        <f t="shared" si="78"/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47"/>
      <c r="J182" s="220"/>
      <c r="L182" s="39" t="s">
        <v>9</v>
      </c>
      <c r="M182" s="40">
        <f aca="true" t="shared" si="84" ref="M182:V182">+M172+M176+M180+M168</f>
        <v>0</v>
      </c>
      <c r="N182" s="41">
        <f t="shared" si="84"/>
        <v>0</v>
      </c>
      <c r="O182" s="40">
        <f t="shared" si="84"/>
        <v>0</v>
      </c>
      <c r="P182" s="40">
        <f t="shared" si="84"/>
        <v>0</v>
      </c>
      <c r="Q182" s="40">
        <f t="shared" si="84"/>
        <v>0</v>
      </c>
      <c r="R182" s="40">
        <f t="shared" si="84"/>
        <v>0</v>
      </c>
      <c r="S182" s="41">
        <f t="shared" si="84"/>
        <v>0</v>
      </c>
      <c r="T182" s="40">
        <f t="shared" si="84"/>
        <v>0</v>
      </c>
      <c r="U182" s="40">
        <f t="shared" si="84"/>
        <v>0</v>
      </c>
      <c r="V182" s="40">
        <f t="shared" si="84"/>
        <v>0</v>
      </c>
      <c r="W182" s="54">
        <f t="shared" si="78"/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47"/>
      <c r="J183" s="220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47"/>
      <c r="J184" s="220"/>
      <c r="L184" s="336" t="s">
        <v>53</v>
      </c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</row>
    <row r="185" spans="2:23" ht="15.75">
      <c r="B185" s="70"/>
      <c r="C185" s="70"/>
      <c r="D185" s="70"/>
      <c r="E185" s="70"/>
      <c r="F185" s="70"/>
      <c r="G185" s="70"/>
      <c r="H185" s="70"/>
      <c r="I185" s="247"/>
      <c r="J185" s="220"/>
      <c r="L185" s="337" t="s">
        <v>54</v>
      </c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47"/>
      <c r="J186" s="220"/>
      <c r="W186" s="242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47"/>
      <c r="J187" s="220"/>
      <c r="L187" s="3"/>
      <c r="M187" s="347" t="s">
        <v>67</v>
      </c>
      <c r="N187" s="348"/>
      <c r="O187" s="348"/>
      <c r="P187" s="348"/>
      <c r="Q187" s="349"/>
      <c r="R187" s="338" t="s">
        <v>68</v>
      </c>
      <c r="S187" s="339"/>
      <c r="T187" s="339"/>
      <c r="U187" s="339"/>
      <c r="V187" s="340"/>
      <c r="W187" s="239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47"/>
      <c r="J188" s="220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0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47"/>
      <c r="J189" s="220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1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47"/>
      <c r="J190" s="220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07"/>
    </row>
    <row r="191" spans="2:23" ht="12.75">
      <c r="B191" s="70"/>
      <c r="C191" s="70"/>
      <c r="D191" s="70"/>
      <c r="E191" s="70"/>
      <c r="F191" s="70"/>
      <c r="G191" s="70"/>
      <c r="H191" s="70"/>
      <c r="I191" s="247"/>
      <c r="J191" s="220"/>
      <c r="L191" s="4" t="s">
        <v>14</v>
      </c>
      <c r="M191" s="29">
        <v>18</v>
      </c>
      <c r="N191" s="36">
        <v>19</v>
      </c>
      <c r="O191" s="51">
        <f>SUM(M191:N191)</f>
        <v>37</v>
      </c>
      <c r="P191" s="34">
        <v>0</v>
      </c>
      <c r="Q191" s="31">
        <f>O191+P191</f>
        <v>37</v>
      </c>
      <c r="R191" s="29">
        <v>0</v>
      </c>
      <c r="S191" s="36">
        <v>0</v>
      </c>
      <c r="T191" s="51">
        <f>SUM(R191:S191)</f>
        <v>0</v>
      </c>
      <c r="U191" s="34">
        <v>0</v>
      </c>
      <c r="V191" s="31">
        <f>T191+U191</f>
        <v>0</v>
      </c>
      <c r="W191" s="302">
        <f aca="true" t="shared" si="85" ref="W191:W199">IF(Q191=0,0,((V191/Q191)-1)*100)</f>
        <v>-100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47"/>
      <c r="J192" s="220"/>
      <c r="L192" s="4" t="s">
        <v>15</v>
      </c>
      <c r="M192" s="29">
        <v>14</v>
      </c>
      <c r="N192" s="36">
        <v>19</v>
      </c>
      <c r="O192" s="51">
        <f>SUM(M192:N192)</f>
        <v>33</v>
      </c>
      <c r="P192" s="34">
        <v>0</v>
      </c>
      <c r="Q192" s="31">
        <f>O192+P192</f>
        <v>33</v>
      </c>
      <c r="R192" s="29">
        <v>0</v>
      </c>
      <c r="S192" s="36">
        <v>0</v>
      </c>
      <c r="T192" s="51">
        <f>SUM(R192:S192)</f>
        <v>0</v>
      </c>
      <c r="U192" s="34">
        <v>0</v>
      </c>
      <c r="V192" s="31">
        <f>T192+U192</f>
        <v>0</v>
      </c>
      <c r="W192" s="283">
        <f t="shared" si="85"/>
        <v>-100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47"/>
      <c r="J193" s="220"/>
      <c r="L193" s="4" t="s">
        <v>16</v>
      </c>
      <c r="M193" s="29">
        <v>11</v>
      </c>
      <c r="N193" s="36">
        <v>21</v>
      </c>
      <c r="O193" s="51">
        <f>SUM(M193:N193)</f>
        <v>32</v>
      </c>
      <c r="P193" s="52">
        <v>0</v>
      </c>
      <c r="Q193" s="31">
        <f>O193+P193</f>
        <v>32</v>
      </c>
      <c r="R193" s="29">
        <v>0</v>
      </c>
      <c r="S193" s="36">
        <v>0</v>
      </c>
      <c r="T193" s="51">
        <f>SUM(R193:S193)</f>
        <v>0</v>
      </c>
      <c r="U193" s="52">
        <v>0</v>
      </c>
      <c r="V193" s="31">
        <f>T193+U193</f>
        <v>0</v>
      </c>
      <c r="W193" s="283">
        <f t="shared" si="85"/>
        <v>-100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47"/>
      <c r="J194" s="220"/>
      <c r="L194" s="39" t="s">
        <v>58</v>
      </c>
      <c r="M194" s="40">
        <f>M191+M192+M193</f>
        <v>43</v>
      </c>
      <c r="N194" s="41">
        <f>N191+N192+N193</f>
        <v>59</v>
      </c>
      <c r="O194" s="40">
        <f>O191+O192+O193</f>
        <v>102</v>
      </c>
      <c r="P194" s="40">
        <f>P191+P192+P193</f>
        <v>0</v>
      </c>
      <c r="Q194" s="42">
        <f>+Q191+Q192+Q193</f>
        <v>102</v>
      </c>
      <c r="R194" s="40">
        <f>R191+R192+R193</f>
        <v>0</v>
      </c>
      <c r="S194" s="154">
        <f>S191+S192+S193</f>
        <v>0</v>
      </c>
      <c r="T194" s="40">
        <f>T191+T192+T193</f>
        <v>0</v>
      </c>
      <c r="U194" s="40">
        <f>U191+U192+U193</f>
        <v>0</v>
      </c>
      <c r="V194" s="42">
        <f>+V191+V192+V193</f>
        <v>0</v>
      </c>
      <c r="W194" s="284">
        <f t="shared" si="85"/>
        <v>-100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47"/>
      <c r="J195" s="220"/>
      <c r="L195" s="4" t="s">
        <v>18</v>
      </c>
      <c r="M195" s="29">
        <v>14</v>
      </c>
      <c r="N195" s="36">
        <v>24</v>
      </c>
      <c r="O195" s="33">
        <f>SUM(M195:N195)</f>
        <v>38</v>
      </c>
      <c r="P195" s="34">
        <v>0</v>
      </c>
      <c r="Q195" s="35">
        <f>+P195+O195</f>
        <v>38</v>
      </c>
      <c r="R195" s="29">
        <v>0</v>
      </c>
      <c r="S195" s="36">
        <v>0</v>
      </c>
      <c r="T195" s="33">
        <f>SUM(R195:S195)</f>
        <v>0</v>
      </c>
      <c r="U195" s="34">
        <v>0</v>
      </c>
      <c r="V195" s="31">
        <f>T195+U195</f>
        <v>0</v>
      </c>
      <c r="W195" s="283">
        <f t="shared" si="85"/>
        <v>-100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47"/>
      <c r="J196" s="220"/>
      <c r="L196" s="4" t="s">
        <v>19</v>
      </c>
      <c r="M196" s="29">
        <v>10</v>
      </c>
      <c r="N196" s="36">
        <v>25</v>
      </c>
      <c r="O196" s="33">
        <f>SUM(M196:N196)</f>
        <v>35</v>
      </c>
      <c r="P196" s="34">
        <v>0</v>
      </c>
      <c r="Q196" s="35">
        <f>+P196+O196</f>
        <v>35</v>
      </c>
      <c r="R196" s="29">
        <v>0</v>
      </c>
      <c r="S196" s="36">
        <v>0</v>
      </c>
      <c r="T196" s="33">
        <f>SUM(R196:S196)</f>
        <v>0</v>
      </c>
      <c r="U196" s="34">
        <v>0</v>
      </c>
      <c r="V196" s="31">
        <f>T196+U196</f>
        <v>0</v>
      </c>
      <c r="W196" s="311">
        <f>IF(Q196=0,0,((V196/Q196)-1)*100)</f>
        <v>-100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47"/>
      <c r="J197" s="220"/>
      <c r="L197" s="4" t="s">
        <v>20</v>
      </c>
      <c r="M197" s="29">
        <v>16</v>
      </c>
      <c r="N197" s="36">
        <v>32</v>
      </c>
      <c r="O197" s="33">
        <f>SUM(M197:N197)</f>
        <v>48</v>
      </c>
      <c r="P197" s="34">
        <v>0</v>
      </c>
      <c r="Q197" s="35">
        <f>+P197+O197</f>
        <v>48</v>
      </c>
      <c r="R197" s="29">
        <v>0</v>
      </c>
      <c r="S197" s="36">
        <v>0</v>
      </c>
      <c r="T197" s="33">
        <f>SUM(R197:S197)</f>
        <v>0</v>
      </c>
      <c r="U197" s="34">
        <v>0</v>
      </c>
      <c r="V197" s="31">
        <f>T197+U197</f>
        <v>0</v>
      </c>
      <c r="W197" s="283">
        <f>IF(Q197=0,0,((V197/Q197)-1)*100)</f>
        <v>-100</v>
      </c>
    </row>
    <row r="198" spans="1:23" ht="14.25" thickBot="1" thickTop="1">
      <c r="A198" s="70"/>
      <c r="B198" s="232"/>
      <c r="C198" s="233"/>
      <c r="D198" s="233"/>
      <c r="E198" s="233"/>
      <c r="F198" s="234"/>
      <c r="G198" s="234"/>
      <c r="H198" s="234"/>
      <c r="I198" s="277"/>
      <c r="J198" s="70"/>
      <c r="L198" s="44" t="s">
        <v>21</v>
      </c>
      <c r="M198" s="42">
        <f aca="true" t="shared" si="86" ref="M198:V198">M195+M196+M197</f>
        <v>40</v>
      </c>
      <c r="N198" s="121">
        <f t="shared" si="86"/>
        <v>81</v>
      </c>
      <c r="O198" s="40">
        <f t="shared" si="86"/>
        <v>121</v>
      </c>
      <c r="P198" s="40">
        <f t="shared" si="86"/>
        <v>0</v>
      </c>
      <c r="Q198" s="40">
        <f t="shared" si="86"/>
        <v>121</v>
      </c>
      <c r="R198" s="42">
        <f t="shared" si="86"/>
        <v>0</v>
      </c>
      <c r="S198" s="325">
        <f t="shared" si="86"/>
        <v>0</v>
      </c>
      <c r="T198" s="40">
        <f t="shared" si="86"/>
        <v>0</v>
      </c>
      <c r="U198" s="40">
        <f t="shared" si="86"/>
        <v>0</v>
      </c>
      <c r="V198" s="40">
        <f t="shared" si="86"/>
        <v>0</v>
      </c>
      <c r="W198" s="54">
        <f>IF(Q198=0,0,((V198/Q198)-1)*100)</f>
        <v>-100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47"/>
      <c r="J199" s="220"/>
      <c r="L199" s="4" t="s">
        <v>22</v>
      </c>
      <c r="M199" s="29">
        <v>9</v>
      </c>
      <c r="N199" s="36">
        <v>19</v>
      </c>
      <c r="O199" s="33">
        <f>SUM(M199:N199)</f>
        <v>28</v>
      </c>
      <c r="P199" s="34">
        <v>0</v>
      </c>
      <c r="Q199" s="35">
        <f>+P199+O199</f>
        <v>28</v>
      </c>
      <c r="R199" s="29">
        <v>0</v>
      </c>
      <c r="S199" s="36">
        <v>0</v>
      </c>
      <c r="T199" s="33">
        <f>SUM(R199:S199)</f>
        <v>0</v>
      </c>
      <c r="U199" s="34">
        <v>0</v>
      </c>
      <c r="V199" s="31">
        <f>SUM(T199:U199)</f>
        <v>0</v>
      </c>
      <c r="W199" s="256">
        <f t="shared" si="85"/>
        <v>-100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47"/>
      <c r="J200" s="220"/>
      <c r="L200" s="4" t="s">
        <v>23</v>
      </c>
      <c r="M200" s="29">
        <v>14</v>
      </c>
      <c r="N200" s="36">
        <v>21</v>
      </c>
      <c r="O200" s="33">
        <f>SUM(M200:N200)</f>
        <v>35</v>
      </c>
      <c r="P200" s="34">
        <v>0</v>
      </c>
      <c r="Q200" s="35">
        <f>+P200+O200</f>
        <v>35</v>
      </c>
      <c r="R200" s="29">
        <v>0</v>
      </c>
      <c r="S200" s="36">
        <v>0</v>
      </c>
      <c r="T200" s="33">
        <f>SUM(R200:S200)</f>
        <v>0</v>
      </c>
      <c r="U200" s="34">
        <v>0</v>
      </c>
      <c r="V200" s="31">
        <f>SUM(T200:U200)</f>
        <v>0</v>
      </c>
      <c r="W200" s="256">
        <f aca="true" t="shared" si="87" ref="W200:W208">IF(Q200=0,0,((V200/Q200)-1)*100)</f>
        <v>-100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47"/>
      <c r="J201" s="220"/>
      <c r="L201" s="4" t="s">
        <v>24</v>
      </c>
      <c r="M201" s="29">
        <v>9</v>
      </c>
      <c r="N201" s="36">
        <v>26</v>
      </c>
      <c r="O201" s="51">
        <f>SUM(M201:N201)</f>
        <v>35</v>
      </c>
      <c r="P201" s="52">
        <v>0</v>
      </c>
      <c r="Q201" s="35">
        <f>+P201+O201</f>
        <v>35</v>
      </c>
      <c r="R201" s="29">
        <v>0</v>
      </c>
      <c r="S201" s="36">
        <v>0</v>
      </c>
      <c r="T201" s="51">
        <f>SUM(R201:S201)</f>
        <v>0</v>
      </c>
      <c r="U201" s="52">
        <v>0</v>
      </c>
      <c r="V201" s="31">
        <f>SUM(T201:U201)</f>
        <v>0</v>
      </c>
      <c r="W201" s="256">
        <f t="shared" si="87"/>
        <v>-100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47"/>
      <c r="J202" s="220"/>
      <c r="L202" s="39" t="s">
        <v>25</v>
      </c>
      <c r="M202" s="40">
        <f aca="true" t="shared" si="88" ref="M202:V202">+M199+M200+M201</f>
        <v>32</v>
      </c>
      <c r="N202" s="41">
        <f t="shared" si="88"/>
        <v>66</v>
      </c>
      <c r="O202" s="40">
        <f t="shared" si="88"/>
        <v>98</v>
      </c>
      <c r="P202" s="40">
        <f t="shared" si="88"/>
        <v>0</v>
      </c>
      <c r="Q202" s="40">
        <f t="shared" si="88"/>
        <v>98</v>
      </c>
      <c r="R202" s="40">
        <f t="shared" si="88"/>
        <v>0</v>
      </c>
      <c r="S202" s="154">
        <f t="shared" si="88"/>
        <v>0</v>
      </c>
      <c r="T202" s="40">
        <f t="shared" si="88"/>
        <v>0</v>
      </c>
      <c r="U202" s="40">
        <f t="shared" si="88"/>
        <v>0</v>
      </c>
      <c r="V202" s="40">
        <f t="shared" si="88"/>
        <v>0</v>
      </c>
      <c r="W202" s="257">
        <f t="shared" si="87"/>
        <v>-100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47"/>
      <c r="J203" s="220"/>
      <c r="L203" s="4" t="s">
        <v>27</v>
      </c>
      <c r="M203" s="29">
        <v>0</v>
      </c>
      <c r="N203" s="36">
        <v>20</v>
      </c>
      <c r="O203" s="51">
        <f>SUM(M203:N203)</f>
        <v>20</v>
      </c>
      <c r="P203" s="59">
        <v>0</v>
      </c>
      <c r="Q203" s="35">
        <f>+P203+O203</f>
        <v>20</v>
      </c>
      <c r="R203" s="29">
        <v>0</v>
      </c>
      <c r="S203" s="36">
        <v>0</v>
      </c>
      <c r="T203" s="51">
        <f>SUM(R203:S203)</f>
        <v>0</v>
      </c>
      <c r="U203" s="59">
        <v>0</v>
      </c>
      <c r="V203" s="31">
        <f>T203+U203</f>
        <v>0</v>
      </c>
      <c r="W203" s="256">
        <f t="shared" si="87"/>
        <v>-100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47"/>
      <c r="J204" s="220"/>
      <c r="L204" s="4" t="s">
        <v>28</v>
      </c>
      <c r="M204" s="29">
        <v>0</v>
      </c>
      <c r="N204" s="36">
        <v>0</v>
      </c>
      <c r="O204" s="33">
        <f>SUM(M204:N204)</f>
        <v>0</v>
      </c>
      <c r="P204" s="34">
        <v>0</v>
      </c>
      <c r="Q204" s="35">
        <f>+P204+O204</f>
        <v>0</v>
      </c>
      <c r="R204" s="29">
        <v>0</v>
      </c>
      <c r="S204" s="36">
        <v>0</v>
      </c>
      <c r="T204" s="33">
        <f>SUM(R204:S204)</f>
        <v>0</v>
      </c>
      <c r="U204" s="34">
        <v>0</v>
      </c>
      <c r="V204" s="31">
        <f>SUM(T204:U204)</f>
        <v>0</v>
      </c>
      <c r="W204" s="256">
        <f>IF(Q204=0,0,((V204/Q204)-1)*100)</f>
        <v>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47"/>
      <c r="J205" s="220"/>
      <c r="L205" s="4" t="s">
        <v>29</v>
      </c>
      <c r="M205" s="29">
        <v>0</v>
      </c>
      <c r="N205" s="36">
        <v>0</v>
      </c>
      <c r="O205" s="33">
        <f>SUM(M205:N205)</f>
        <v>0</v>
      </c>
      <c r="P205" s="52">
        <v>0</v>
      </c>
      <c r="Q205" s="35">
        <f>+P205+O205</f>
        <v>0</v>
      </c>
      <c r="R205" s="29">
        <v>0</v>
      </c>
      <c r="S205" s="36">
        <v>0</v>
      </c>
      <c r="T205" s="33">
        <f>SUM(R205:S205)</f>
        <v>0</v>
      </c>
      <c r="U205" s="52">
        <v>0</v>
      </c>
      <c r="V205" s="31">
        <f>SUM(T205:U205)</f>
        <v>0</v>
      </c>
      <c r="W205" s="256">
        <f t="shared" si="87"/>
        <v>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47"/>
      <c r="J206" s="220"/>
      <c r="L206" s="39" t="s">
        <v>30</v>
      </c>
      <c r="M206" s="40">
        <f aca="true" t="shared" si="89" ref="M206:V206">+M203+M204+M205</f>
        <v>0</v>
      </c>
      <c r="N206" s="41">
        <f t="shared" si="89"/>
        <v>20</v>
      </c>
      <c r="O206" s="40">
        <f t="shared" si="89"/>
        <v>20</v>
      </c>
      <c r="P206" s="40">
        <f t="shared" si="89"/>
        <v>0</v>
      </c>
      <c r="Q206" s="43">
        <f t="shared" si="89"/>
        <v>20</v>
      </c>
      <c r="R206" s="40">
        <f t="shared" si="89"/>
        <v>0</v>
      </c>
      <c r="S206" s="154">
        <f t="shared" si="89"/>
        <v>0</v>
      </c>
      <c r="T206" s="40">
        <f t="shared" si="89"/>
        <v>0</v>
      </c>
      <c r="U206" s="40">
        <f t="shared" si="89"/>
        <v>0</v>
      </c>
      <c r="V206" s="43">
        <f t="shared" si="89"/>
        <v>0</v>
      </c>
      <c r="W206" s="257">
        <f t="shared" si="87"/>
        <v>-100</v>
      </c>
    </row>
    <row r="207" spans="1:23" ht="14.25" thickBot="1" thickTop="1">
      <c r="A207" s="220"/>
      <c r="B207" s="232"/>
      <c r="C207" s="233"/>
      <c r="D207" s="233"/>
      <c r="E207" s="233"/>
      <c r="F207" s="233"/>
      <c r="G207" s="233"/>
      <c r="H207" s="233"/>
      <c r="I207" s="277"/>
      <c r="J207" s="220"/>
      <c r="L207" s="39" t="s">
        <v>66</v>
      </c>
      <c r="M207" s="42">
        <f aca="true" t="shared" si="90" ref="M207:V207">+M198+M202+M206</f>
        <v>72</v>
      </c>
      <c r="N207" s="121">
        <f t="shared" si="90"/>
        <v>167</v>
      </c>
      <c r="O207" s="40">
        <f t="shared" si="90"/>
        <v>239</v>
      </c>
      <c r="P207" s="40">
        <f t="shared" si="90"/>
        <v>0</v>
      </c>
      <c r="Q207" s="40">
        <f t="shared" si="90"/>
        <v>239</v>
      </c>
      <c r="R207" s="42">
        <f t="shared" si="90"/>
        <v>0</v>
      </c>
      <c r="S207" s="325">
        <f t="shared" si="90"/>
        <v>0</v>
      </c>
      <c r="T207" s="40">
        <f t="shared" si="90"/>
        <v>0</v>
      </c>
      <c r="U207" s="40">
        <f t="shared" si="90"/>
        <v>0</v>
      </c>
      <c r="V207" s="40">
        <f t="shared" si="90"/>
        <v>0</v>
      </c>
      <c r="W207" s="257">
        <f t="shared" si="87"/>
        <v>-100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47"/>
      <c r="J208" s="220"/>
      <c r="L208" s="39" t="s">
        <v>9</v>
      </c>
      <c r="M208" s="42">
        <f aca="true" t="shared" si="91" ref="M208:V208">+M198+M202+M206+M194</f>
        <v>115</v>
      </c>
      <c r="N208" s="121">
        <f t="shared" si="91"/>
        <v>226</v>
      </c>
      <c r="O208" s="40">
        <f t="shared" si="91"/>
        <v>341</v>
      </c>
      <c r="P208" s="40">
        <f t="shared" si="91"/>
        <v>0</v>
      </c>
      <c r="Q208" s="40">
        <f t="shared" si="91"/>
        <v>341</v>
      </c>
      <c r="R208" s="42">
        <f t="shared" si="91"/>
        <v>0</v>
      </c>
      <c r="S208" s="325">
        <f t="shared" si="91"/>
        <v>0</v>
      </c>
      <c r="T208" s="40">
        <f t="shared" si="91"/>
        <v>0</v>
      </c>
      <c r="U208" s="40">
        <f t="shared" si="91"/>
        <v>0</v>
      </c>
      <c r="V208" s="40">
        <f t="shared" si="91"/>
        <v>0</v>
      </c>
      <c r="W208" s="257">
        <f t="shared" si="87"/>
        <v>-100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47"/>
      <c r="J209" s="220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47"/>
      <c r="J210" s="220"/>
      <c r="L210" s="129" t="s">
        <v>61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45"/>
    </row>
    <row r="211" spans="2:23" ht="12.75">
      <c r="B211" s="70"/>
      <c r="C211" s="70"/>
      <c r="D211" s="70"/>
      <c r="E211" s="70"/>
      <c r="F211" s="70"/>
      <c r="G211" s="70"/>
      <c r="H211" s="70"/>
      <c r="I211" s="247"/>
      <c r="J211" s="220"/>
      <c r="L211" s="336" t="s">
        <v>55</v>
      </c>
      <c r="M211" s="336"/>
      <c r="N211" s="336"/>
      <c r="O211" s="336"/>
      <c r="P211" s="336"/>
      <c r="Q211" s="336"/>
      <c r="R211" s="336"/>
      <c r="S211" s="336"/>
      <c r="T211" s="336"/>
      <c r="U211" s="336"/>
      <c r="V211" s="336"/>
      <c r="W211" s="336"/>
    </row>
    <row r="212" spans="2:23" ht="16.5" thickBot="1">
      <c r="B212" s="70"/>
      <c r="C212" s="70"/>
      <c r="D212" s="70"/>
      <c r="E212" s="70"/>
      <c r="F212" s="70"/>
      <c r="G212" s="70"/>
      <c r="H212" s="70"/>
      <c r="I212" s="247"/>
      <c r="J212" s="220"/>
      <c r="L212" s="337" t="s">
        <v>56</v>
      </c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47"/>
      <c r="J213" s="220"/>
      <c r="L213" s="3"/>
      <c r="M213" s="347" t="s">
        <v>67</v>
      </c>
      <c r="N213" s="348"/>
      <c r="O213" s="348"/>
      <c r="P213" s="348"/>
      <c r="Q213" s="349"/>
      <c r="R213" s="338" t="s">
        <v>68</v>
      </c>
      <c r="S213" s="339"/>
      <c r="T213" s="339"/>
      <c r="U213" s="339"/>
      <c r="V213" s="340"/>
      <c r="W213" s="239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47"/>
      <c r="J214" s="220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0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47"/>
      <c r="J215" s="220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1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47"/>
      <c r="J216" s="220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07"/>
    </row>
    <row r="217" spans="2:23" ht="12.75">
      <c r="B217" s="70"/>
      <c r="C217" s="70"/>
      <c r="D217" s="70"/>
      <c r="E217" s="70"/>
      <c r="F217" s="70"/>
      <c r="G217" s="70"/>
      <c r="H217" s="70"/>
      <c r="I217" s="247"/>
      <c r="J217" s="220"/>
      <c r="L217" s="4" t="s">
        <v>14</v>
      </c>
      <c r="M217" s="29">
        <f aca="true" t="shared" si="92" ref="M217:V217">+M165+M191</f>
        <v>18</v>
      </c>
      <c r="N217" s="36">
        <f t="shared" si="92"/>
        <v>19</v>
      </c>
      <c r="O217" s="33">
        <f t="shared" si="92"/>
        <v>37</v>
      </c>
      <c r="P217" s="34">
        <f t="shared" si="92"/>
        <v>0</v>
      </c>
      <c r="Q217" s="35">
        <f t="shared" si="92"/>
        <v>37</v>
      </c>
      <c r="R217" s="29">
        <f t="shared" si="92"/>
        <v>0</v>
      </c>
      <c r="S217" s="36">
        <f t="shared" si="92"/>
        <v>0</v>
      </c>
      <c r="T217" s="33">
        <f t="shared" si="92"/>
        <v>0</v>
      </c>
      <c r="U217" s="34">
        <f t="shared" si="92"/>
        <v>0</v>
      </c>
      <c r="V217" s="31">
        <f t="shared" si="92"/>
        <v>0</v>
      </c>
      <c r="W217" s="256">
        <f aca="true" t="shared" si="93" ref="W217:W234">IF(Q217=0,0,((V217/Q217)-1)*100)</f>
        <v>-100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47"/>
      <c r="J218" s="220"/>
      <c r="L218" s="4" t="s">
        <v>15</v>
      </c>
      <c r="M218" s="29">
        <f aca="true" t="shared" si="94" ref="M218:V218">+M166+M192</f>
        <v>14</v>
      </c>
      <c r="N218" s="36">
        <f t="shared" si="94"/>
        <v>19</v>
      </c>
      <c r="O218" s="33">
        <f t="shared" si="94"/>
        <v>33</v>
      </c>
      <c r="P218" s="34">
        <f t="shared" si="94"/>
        <v>0</v>
      </c>
      <c r="Q218" s="35">
        <f t="shared" si="94"/>
        <v>33</v>
      </c>
      <c r="R218" s="29">
        <f t="shared" si="94"/>
        <v>0</v>
      </c>
      <c r="S218" s="36">
        <f t="shared" si="94"/>
        <v>0</v>
      </c>
      <c r="T218" s="33">
        <f t="shared" si="94"/>
        <v>0</v>
      </c>
      <c r="U218" s="34">
        <f t="shared" si="94"/>
        <v>0</v>
      </c>
      <c r="V218" s="31">
        <f t="shared" si="94"/>
        <v>0</v>
      </c>
      <c r="W218" s="32">
        <f t="shared" si="93"/>
        <v>-100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47"/>
      <c r="J219" s="220"/>
      <c r="L219" s="12" t="s">
        <v>16</v>
      </c>
      <c r="M219" s="29">
        <f aca="true" t="shared" si="95" ref="M219:V219">+M167+M193</f>
        <v>11</v>
      </c>
      <c r="N219" s="36">
        <f t="shared" si="95"/>
        <v>21</v>
      </c>
      <c r="O219" s="33">
        <f t="shared" si="95"/>
        <v>32</v>
      </c>
      <c r="P219" s="34">
        <f t="shared" si="95"/>
        <v>0</v>
      </c>
      <c r="Q219" s="35">
        <f t="shared" si="95"/>
        <v>32</v>
      </c>
      <c r="R219" s="29">
        <f t="shared" si="95"/>
        <v>0</v>
      </c>
      <c r="S219" s="36">
        <f t="shared" si="95"/>
        <v>0</v>
      </c>
      <c r="T219" s="33">
        <f t="shared" si="95"/>
        <v>0</v>
      </c>
      <c r="U219" s="34">
        <f t="shared" si="95"/>
        <v>0</v>
      </c>
      <c r="V219" s="31">
        <f t="shared" si="95"/>
        <v>0</v>
      </c>
      <c r="W219" s="32">
        <f t="shared" si="93"/>
        <v>-100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47"/>
      <c r="J220" s="220"/>
      <c r="L220" s="39" t="s">
        <v>17</v>
      </c>
      <c r="M220" s="40">
        <f aca="true" t="shared" si="96" ref="M220:V220">+M168+M194</f>
        <v>43</v>
      </c>
      <c r="N220" s="41">
        <f t="shared" si="96"/>
        <v>59</v>
      </c>
      <c r="O220" s="40">
        <f t="shared" si="96"/>
        <v>102</v>
      </c>
      <c r="P220" s="40">
        <f t="shared" si="96"/>
        <v>0</v>
      </c>
      <c r="Q220" s="40">
        <f t="shared" si="96"/>
        <v>102</v>
      </c>
      <c r="R220" s="40">
        <f t="shared" si="96"/>
        <v>0</v>
      </c>
      <c r="S220" s="41">
        <f t="shared" si="96"/>
        <v>0</v>
      </c>
      <c r="T220" s="40">
        <f t="shared" si="96"/>
        <v>0</v>
      </c>
      <c r="U220" s="40">
        <f t="shared" si="96"/>
        <v>0</v>
      </c>
      <c r="V220" s="42">
        <f t="shared" si="96"/>
        <v>0</v>
      </c>
      <c r="W220" s="54">
        <f t="shared" si="93"/>
        <v>-100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47"/>
      <c r="J221" s="220"/>
      <c r="L221" s="4" t="s">
        <v>18</v>
      </c>
      <c r="M221" s="29">
        <f aca="true" t="shared" si="97" ref="M221:V221">+M169+M195</f>
        <v>14</v>
      </c>
      <c r="N221" s="36">
        <f t="shared" si="97"/>
        <v>24</v>
      </c>
      <c r="O221" s="33">
        <f t="shared" si="97"/>
        <v>38</v>
      </c>
      <c r="P221" s="34">
        <f t="shared" si="97"/>
        <v>0</v>
      </c>
      <c r="Q221" s="35">
        <f t="shared" si="97"/>
        <v>38</v>
      </c>
      <c r="R221" s="29">
        <f t="shared" si="97"/>
        <v>0</v>
      </c>
      <c r="S221" s="36">
        <f t="shared" si="97"/>
        <v>0</v>
      </c>
      <c r="T221" s="33">
        <f t="shared" si="97"/>
        <v>0</v>
      </c>
      <c r="U221" s="34">
        <f t="shared" si="97"/>
        <v>0</v>
      </c>
      <c r="V221" s="31">
        <f t="shared" si="97"/>
        <v>0</v>
      </c>
      <c r="W221" s="32">
        <f t="shared" si="93"/>
        <v>-100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47"/>
      <c r="J222" s="220"/>
      <c r="L222" s="4" t="s">
        <v>19</v>
      </c>
      <c r="M222" s="29">
        <f aca="true" t="shared" si="98" ref="M222:V222">+M170+M196</f>
        <v>10</v>
      </c>
      <c r="N222" s="36">
        <f t="shared" si="98"/>
        <v>25</v>
      </c>
      <c r="O222" s="33">
        <f t="shared" si="98"/>
        <v>35</v>
      </c>
      <c r="P222" s="34">
        <f t="shared" si="98"/>
        <v>0</v>
      </c>
      <c r="Q222" s="35">
        <f t="shared" si="98"/>
        <v>35</v>
      </c>
      <c r="R222" s="29">
        <f t="shared" si="98"/>
        <v>0</v>
      </c>
      <c r="S222" s="36">
        <f t="shared" si="98"/>
        <v>0</v>
      </c>
      <c r="T222" s="33">
        <f t="shared" si="98"/>
        <v>0</v>
      </c>
      <c r="U222" s="34">
        <f t="shared" si="98"/>
        <v>0</v>
      </c>
      <c r="V222" s="31">
        <f t="shared" si="98"/>
        <v>0</v>
      </c>
      <c r="W222" s="32">
        <f>IF(Q222=0,0,((V222/Q222)-1)*100)</f>
        <v>-100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47"/>
      <c r="J223" s="220"/>
      <c r="L223" s="4" t="s">
        <v>20</v>
      </c>
      <c r="M223" s="29">
        <f aca="true" t="shared" si="99" ref="M223:V223">+M171+M197</f>
        <v>16</v>
      </c>
      <c r="N223" s="36">
        <f t="shared" si="99"/>
        <v>32</v>
      </c>
      <c r="O223" s="33">
        <f t="shared" si="99"/>
        <v>48</v>
      </c>
      <c r="P223" s="34">
        <f t="shared" si="99"/>
        <v>0</v>
      </c>
      <c r="Q223" s="35">
        <f t="shared" si="99"/>
        <v>48</v>
      </c>
      <c r="R223" s="29">
        <f t="shared" si="99"/>
        <v>0</v>
      </c>
      <c r="S223" s="36">
        <f t="shared" si="99"/>
        <v>0</v>
      </c>
      <c r="T223" s="33">
        <f t="shared" si="99"/>
        <v>0</v>
      </c>
      <c r="U223" s="34">
        <f t="shared" si="99"/>
        <v>0</v>
      </c>
      <c r="V223" s="31">
        <f t="shared" si="99"/>
        <v>0</v>
      </c>
      <c r="W223" s="32">
        <f t="shared" si="93"/>
        <v>-100</v>
      </c>
    </row>
    <row r="224" spans="1:23" ht="14.25" thickBot="1" thickTop="1">
      <c r="A224" s="70"/>
      <c r="B224" s="232"/>
      <c r="C224" s="233"/>
      <c r="D224" s="233"/>
      <c r="E224" s="233"/>
      <c r="F224" s="234"/>
      <c r="G224" s="234"/>
      <c r="H224" s="234"/>
      <c r="I224" s="277"/>
      <c r="J224" s="70"/>
      <c r="L224" s="44" t="s">
        <v>21</v>
      </c>
      <c r="M224" s="42">
        <f aca="true" t="shared" si="100" ref="M224:V224">M221+M222+M223</f>
        <v>40</v>
      </c>
      <c r="N224" s="121">
        <f t="shared" si="100"/>
        <v>81</v>
      </c>
      <c r="O224" s="40">
        <f t="shared" si="100"/>
        <v>121</v>
      </c>
      <c r="P224" s="40">
        <f t="shared" si="100"/>
        <v>0</v>
      </c>
      <c r="Q224" s="40">
        <f t="shared" si="100"/>
        <v>121</v>
      </c>
      <c r="R224" s="42">
        <f t="shared" si="100"/>
        <v>0</v>
      </c>
      <c r="S224" s="121">
        <f t="shared" si="100"/>
        <v>0</v>
      </c>
      <c r="T224" s="40">
        <f t="shared" si="100"/>
        <v>0</v>
      </c>
      <c r="U224" s="40">
        <f t="shared" si="100"/>
        <v>0</v>
      </c>
      <c r="V224" s="40">
        <f t="shared" si="100"/>
        <v>0</v>
      </c>
      <c r="W224" s="257">
        <f t="shared" si="93"/>
        <v>-100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47"/>
      <c r="J225" s="70"/>
      <c r="L225" s="4" t="s">
        <v>22</v>
      </c>
      <c r="M225" s="29">
        <f aca="true" t="shared" si="101" ref="M225:V225">+M173+M199</f>
        <v>9</v>
      </c>
      <c r="N225" s="36">
        <f t="shared" si="101"/>
        <v>19</v>
      </c>
      <c r="O225" s="33">
        <f t="shared" si="101"/>
        <v>28</v>
      </c>
      <c r="P225" s="34">
        <f t="shared" si="101"/>
        <v>0</v>
      </c>
      <c r="Q225" s="35">
        <f t="shared" si="101"/>
        <v>28</v>
      </c>
      <c r="R225" s="29">
        <f t="shared" si="101"/>
        <v>0</v>
      </c>
      <c r="S225" s="36">
        <f t="shared" si="101"/>
        <v>0</v>
      </c>
      <c r="T225" s="33">
        <f t="shared" si="101"/>
        <v>0</v>
      </c>
      <c r="U225" s="34">
        <f t="shared" si="101"/>
        <v>0</v>
      </c>
      <c r="V225" s="31">
        <f t="shared" si="101"/>
        <v>0</v>
      </c>
      <c r="W225" s="256">
        <f t="shared" si="93"/>
        <v>-100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47"/>
      <c r="J226" s="70"/>
      <c r="L226" s="4" t="s">
        <v>23</v>
      </c>
      <c r="M226" s="29">
        <f aca="true" t="shared" si="102" ref="M226:V226">+M174+M200</f>
        <v>14</v>
      </c>
      <c r="N226" s="36">
        <f t="shared" si="102"/>
        <v>21</v>
      </c>
      <c r="O226" s="33">
        <f t="shared" si="102"/>
        <v>35</v>
      </c>
      <c r="P226" s="34">
        <f t="shared" si="102"/>
        <v>0</v>
      </c>
      <c r="Q226" s="35">
        <f t="shared" si="102"/>
        <v>35</v>
      </c>
      <c r="R226" s="29">
        <f t="shared" si="102"/>
        <v>0</v>
      </c>
      <c r="S226" s="36">
        <f t="shared" si="102"/>
        <v>0</v>
      </c>
      <c r="T226" s="33">
        <f t="shared" si="102"/>
        <v>0</v>
      </c>
      <c r="U226" s="34">
        <f t="shared" si="102"/>
        <v>0</v>
      </c>
      <c r="V226" s="31">
        <f t="shared" si="102"/>
        <v>0</v>
      </c>
      <c r="W226" s="256">
        <f t="shared" si="93"/>
        <v>-100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47"/>
      <c r="J227" s="220"/>
      <c r="L227" s="4" t="s">
        <v>24</v>
      </c>
      <c r="M227" s="29">
        <f aca="true" t="shared" si="103" ref="M227:V227">+M175+M201</f>
        <v>9</v>
      </c>
      <c r="N227" s="36">
        <f t="shared" si="103"/>
        <v>26</v>
      </c>
      <c r="O227" s="33">
        <f t="shared" si="103"/>
        <v>35</v>
      </c>
      <c r="P227" s="34">
        <f t="shared" si="103"/>
        <v>0</v>
      </c>
      <c r="Q227" s="35">
        <f t="shared" si="103"/>
        <v>35</v>
      </c>
      <c r="R227" s="29">
        <f t="shared" si="103"/>
        <v>0</v>
      </c>
      <c r="S227" s="36">
        <f t="shared" si="103"/>
        <v>0</v>
      </c>
      <c r="T227" s="51">
        <f t="shared" si="103"/>
        <v>0</v>
      </c>
      <c r="U227" s="52">
        <f t="shared" si="103"/>
        <v>0</v>
      </c>
      <c r="V227" s="31">
        <f t="shared" si="103"/>
        <v>0</v>
      </c>
      <c r="W227" s="256">
        <f t="shared" si="93"/>
        <v>-100</v>
      </c>
    </row>
    <row r="228" spans="1:23" ht="14.25" thickBot="1" thickTop="1">
      <c r="A228" s="220"/>
      <c r="B228" s="232"/>
      <c r="C228" s="233"/>
      <c r="D228" s="233"/>
      <c r="E228" s="233"/>
      <c r="F228" s="233"/>
      <c r="G228" s="233"/>
      <c r="H228" s="233"/>
      <c r="I228" s="277"/>
      <c r="J228" s="220"/>
      <c r="L228" s="39" t="s">
        <v>25</v>
      </c>
      <c r="M228" s="42">
        <f aca="true" t="shared" si="104" ref="M228:V228">+M225+M226+M227</f>
        <v>32</v>
      </c>
      <c r="N228" s="121">
        <f t="shared" si="104"/>
        <v>66</v>
      </c>
      <c r="O228" s="40">
        <f t="shared" si="104"/>
        <v>98</v>
      </c>
      <c r="P228" s="40">
        <f t="shared" si="104"/>
        <v>0</v>
      </c>
      <c r="Q228" s="40">
        <f t="shared" si="104"/>
        <v>98</v>
      </c>
      <c r="R228" s="42">
        <f t="shared" si="104"/>
        <v>0</v>
      </c>
      <c r="S228" s="121">
        <f t="shared" si="104"/>
        <v>0</v>
      </c>
      <c r="T228" s="40">
        <f t="shared" si="104"/>
        <v>0</v>
      </c>
      <c r="U228" s="40">
        <f t="shared" si="104"/>
        <v>0</v>
      </c>
      <c r="V228" s="40">
        <f t="shared" si="104"/>
        <v>0</v>
      </c>
      <c r="W228" s="257">
        <f t="shared" si="93"/>
        <v>-100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47"/>
      <c r="L229" s="4" t="s">
        <v>27</v>
      </c>
      <c r="M229" s="29">
        <f aca="true" t="shared" si="105" ref="M229:V229">+M177+M203</f>
        <v>0</v>
      </c>
      <c r="N229" s="36">
        <f t="shared" si="105"/>
        <v>20</v>
      </c>
      <c r="O229" s="33">
        <f t="shared" si="105"/>
        <v>20</v>
      </c>
      <c r="P229" s="34">
        <f t="shared" si="105"/>
        <v>0</v>
      </c>
      <c r="Q229" s="35">
        <f t="shared" si="105"/>
        <v>20</v>
      </c>
      <c r="R229" s="29">
        <f t="shared" si="105"/>
        <v>0</v>
      </c>
      <c r="S229" s="36">
        <f t="shared" si="105"/>
        <v>0</v>
      </c>
      <c r="T229" s="51">
        <f t="shared" si="105"/>
        <v>0</v>
      </c>
      <c r="U229" s="59">
        <f t="shared" si="105"/>
        <v>0</v>
      </c>
      <c r="V229" s="31">
        <f t="shared" si="105"/>
        <v>0</v>
      </c>
      <c r="W229" s="256">
        <f t="shared" si="93"/>
        <v>-100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47"/>
      <c r="L230" s="4" t="s">
        <v>28</v>
      </c>
      <c r="M230" s="29">
        <f aca="true" t="shared" si="106" ref="M230:V230">+M178+M204</f>
        <v>0</v>
      </c>
      <c r="N230" s="36">
        <f t="shared" si="106"/>
        <v>0</v>
      </c>
      <c r="O230" s="33">
        <f t="shared" si="106"/>
        <v>0</v>
      </c>
      <c r="P230" s="34">
        <f t="shared" si="106"/>
        <v>0</v>
      </c>
      <c r="Q230" s="35">
        <f t="shared" si="106"/>
        <v>0</v>
      </c>
      <c r="R230" s="29">
        <f t="shared" si="106"/>
        <v>0</v>
      </c>
      <c r="S230" s="36">
        <f t="shared" si="106"/>
        <v>0</v>
      </c>
      <c r="T230" s="51">
        <f t="shared" si="106"/>
        <v>0</v>
      </c>
      <c r="U230" s="34">
        <f t="shared" si="106"/>
        <v>0</v>
      </c>
      <c r="V230" s="31">
        <f t="shared" si="106"/>
        <v>0</v>
      </c>
      <c r="W230" s="256">
        <f>IF(Q230=0,0,((V230/Q230)-1)*100)</f>
        <v>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47"/>
      <c r="L231" s="4" t="s">
        <v>29</v>
      </c>
      <c r="M231" s="29">
        <f aca="true" t="shared" si="107" ref="M231:V231">+M179+M205</f>
        <v>0</v>
      </c>
      <c r="N231" s="36">
        <f t="shared" si="107"/>
        <v>0</v>
      </c>
      <c r="O231" s="33">
        <f t="shared" si="107"/>
        <v>0</v>
      </c>
      <c r="P231" s="52">
        <f t="shared" si="107"/>
        <v>0</v>
      </c>
      <c r="Q231" s="35">
        <f t="shared" si="107"/>
        <v>0</v>
      </c>
      <c r="R231" s="29">
        <f t="shared" si="107"/>
        <v>0</v>
      </c>
      <c r="S231" s="36">
        <f t="shared" si="107"/>
        <v>0</v>
      </c>
      <c r="T231" s="33">
        <f t="shared" si="107"/>
        <v>0</v>
      </c>
      <c r="U231" s="52">
        <f t="shared" si="107"/>
        <v>0</v>
      </c>
      <c r="V231" s="31">
        <f t="shared" si="107"/>
        <v>0</v>
      </c>
      <c r="W231" s="256">
        <f t="shared" si="93"/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47"/>
      <c r="L232" s="39" t="s">
        <v>30</v>
      </c>
      <c r="M232" s="40">
        <f aca="true" t="shared" si="108" ref="M232:V232">+M229+M230+M231</f>
        <v>0</v>
      </c>
      <c r="N232" s="41">
        <f t="shared" si="108"/>
        <v>20</v>
      </c>
      <c r="O232" s="40">
        <f t="shared" si="108"/>
        <v>20</v>
      </c>
      <c r="P232" s="40">
        <f t="shared" si="108"/>
        <v>0</v>
      </c>
      <c r="Q232" s="43">
        <f t="shared" si="108"/>
        <v>20</v>
      </c>
      <c r="R232" s="40">
        <f t="shared" si="108"/>
        <v>0</v>
      </c>
      <c r="S232" s="41">
        <f t="shared" si="108"/>
        <v>0</v>
      </c>
      <c r="T232" s="40">
        <f t="shared" si="108"/>
        <v>0</v>
      </c>
      <c r="U232" s="40">
        <f t="shared" si="108"/>
        <v>0</v>
      </c>
      <c r="V232" s="42">
        <f t="shared" si="108"/>
        <v>0</v>
      </c>
      <c r="W232" s="257">
        <f t="shared" si="93"/>
        <v>-100</v>
      </c>
    </row>
    <row r="233" spans="1:23" ht="14.25" thickBot="1" thickTop="1">
      <c r="A233" s="70"/>
      <c r="B233" s="232"/>
      <c r="C233" s="233"/>
      <c r="D233" s="233"/>
      <c r="E233" s="233"/>
      <c r="F233" s="233"/>
      <c r="G233" s="233"/>
      <c r="H233" s="233"/>
      <c r="I233" s="277"/>
      <c r="J233" s="70"/>
      <c r="L233" s="39" t="s">
        <v>66</v>
      </c>
      <c r="M233" s="42">
        <f aca="true" t="shared" si="109" ref="M233:V233">+M224+M228+M232</f>
        <v>72</v>
      </c>
      <c r="N233" s="121">
        <f t="shared" si="109"/>
        <v>167</v>
      </c>
      <c r="O233" s="40">
        <f t="shared" si="109"/>
        <v>239</v>
      </c>
      <c r="P233" s="40">
        <f t="shared" si="109"/>
        <v>0</v>
      </c>
      <c r="Q233" s="40">
        <f t="shared" si="109"/>
        <v>239</v>
      </c>
      <c r="R233" s="42">
        <f t="shared" si="109"/>
        <v>0</v>
      </c>
      <c r="S233" s="121">
        <f t="shared" si="109"/>
        <v>0</v>
      </c>
      <c r="T233" s="40">
        <f t="shared" si="109"/>
        <v>0</v>
      </c>
      <c r="U233" s="40">
        <f t="shared" si="109"/>
        <v>0</v>
      </c>
      <c r="V233" s="40">
        <f t="shared" si="109"/>
        <v>0</v>
      </c>
      <c r="W233" s="257">
        <f t="shared" si="93"/>
        <v>-100</v>
      </c>
    </row>
    <row r="234" spans="12:23" ht="14.25" thickBot="1" thickTop="1">
      <c r="L234" s="39" t="s">
        <v>9</v>
      </c>
      <c r="M234" s="40">
        <f aca="true" t="shared" si="110" ref="M234:V234">+M224+M228+M232+M220</f>
        <v>115</v>
      </c>
      <c r="N234" s="41">
        <f t="shared" si="110"/>
        <v>226</v>
      </c>
      <c r="O234" s="40">
        <f t="shared" si="110"/>
        <v>341</v>
      </c>
      <c r="P234" s="40">
        <f t="shared" si="110"/>
        <v>0</v>
      </c>
      <c r="Q234" s="40">
        <f t="shared" si="110"/>
        <v>341</v>
      </c>
      <c r="R234" s="40">
        <f t="shared" si="110"/>
        <v>0</v>
      </c>
      <c r="S234" s="41">
        <f t="shared" si="110"/>
        <v>0</v>
      </c>
      <c r="T234" s="40">
        <f t="shared" si="110"/>
        <v>0</v>
      </c>
      <c r="U234" s="40">
        <f t="shared" si="110"/>
        <v>0</v>
      </c>
      <c r="V234" s="40">
        <f t="shared" si="110"/>
        <v>0</v>
      </c>
      <c r="W234" s="257">
        <f t="shared" si="93"/>
        <v>-100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L132:W132"/>
    <mergeCell ref="L133:W133"/>
    <mergeCell ref="L158:W158"/>
    <mergeCell ref="M135:Q135"/>
    <mergeCell ref="R135:V135"/>
    <mergeCell ref="L159:W159"/>
    <mergeCell ref="M213:Q213"/>
    <mergeCell ref="R213:V213"/>
    <mergeCell ref="L184:W184"/>
    <mergeCell ref="L185:W185"/>
    <mergeCell ref="M187:Q187"/>
    <mergeCell ref="R187:V187"/>
    <mergeCell ref="L211:W211"/>
    <mergeCell ref="L212:W212"/>
    <mergeCell ref="L80:W80"/>
    <mergeCell ref="L81:W81"/>
    <mergeCell ref="M83:Q83"/>
    <mergeCell ref="R83:V83"/>
    <mergeCell ref="M109:Q109"/>
    <mergeCell ref="R109:V109"/>
    <mergeCell ref="L106:W106"/>
    <mergeCell ref="L107:W107"/>
    <mergeCell ref="B54:I54"/>
    <mergeCell ref="L54:W54"/>
    <mergeCell ref="B55:I55"/>
    <mergeCell ref="L55:W55"/>
    <mergeCell ref="C57:E57"/>
    <mergeCell ref="F57:H57"/>
    <mergeCell ref="M57:Q57"/>
    <mergeCell ref="R57:V57"/>
    <mergeCell ref="C31:E31"/>
    <mergeCell ref="F31:H31"/>
    <mergeCell ref="M31:Q31"/>
    <mergeCell ref="R31:V31"/>
    <mergeCell ref="B28:I28"/>
    <mergeCell ref="L28:W28"/>
    <mergeCell ref="B29:I29"/>
    <mergeCell ref="L29:W29"/>
    <mergeCell ref="C5:E5"/>
    <mergeCell ref="F5:H5"/>
    <mergeCell ref="M5:Q5"/>
    <mergeCell ref="R5:V5"/>
    <mergeCell ref="B2:I2"/>
    <mergeCell ref="L2:W2"/>
    <mergeCell ref="B3:I3"/>
    <mergeCell ref="L3:W3"/>
  </mergeCells>
  <printOptions horizontalCentered="1"/>
  <pageMargins left="0.2755905511811024" right="0.2755905511811024" top="0.36" bottom="0.3" header="0.18" footer="0.17"/>
  <pageSetup fitToHeight="1" fitToWidth="1" horizontalDpi="600" verticalDpi="600" orientation="landscape" paperSize="9" scale="53" r:id="rId1"/>
  <headerFooter alignWithMargins="0">
    <oddHeader>&amp;LMonthly Air Transport Statistics : Chiang Mai International Airport</oddHeader>
    <oddFooter>&amp;LAir Transport Information Division, Corporate Strategy Department&amp;C&amp;D&amp;R&amp;T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A1">
      <selection activeCell="J10" sqref="J10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9.851562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20" width="12.57421875" style="1" customWidth="1"/>
    <col min="21" max="21" width="9.28125" style="1" customWidth="1"/>
    <col min="22" max="22" width="11.00390625" style="1" customWidth="1"/>
    <col min="23" max="23" width="11.7109375" style="119" bestFit="1" customWidth="1"/>
    <col min="24" max="24" width="7.00390625" style="119" bestFit="1" customWidth="1"/>
    <col min="25" max="25" width="6.8515625" style="1" bestFit="1" customWidth="1"/>
    <col min="26" max="26" width="7.00390625" style="1" customWidth="1"/>
    <col min="27" max="27" width="7.00390625" style="304" customWidth="1"/>
    <col min="28" max="16384" width="7.00390625" style="1" customWidth="1"/>
  </cols>
  <sheetData>
    <row r="2" spans="2:23" ht="12.75">
      <c r="B2" s="336" t="s">
        <v>0</v>
      </c>
      <c r="C2" s="336"/>
      <c r="D2" s="336"/>
      <c r="E2" s="336"/>
      <c r="F2" s="336"/>
      <c r="G2" s="336"/>
      <c r="H2" s="336"/>
      <c r="I2" s="336"/>
      <c r="L2" s="336" t="s">
        <v>1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ht="15.75">
      <c r="B3" s="337" t="s">
        <v>2</v>
      </c>
      <c r="C3" s="337"/>
      <c r="D3" s="337"/>
      <c r="E3" s="337"/>
      <c r="F3" s="337"/>
      <c r="G3" s="337"/>
      <c r="H3" s="337"/>
      <c r="I3" s="337"/>
      <c r="L3" s="337" t="s">
        <v>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ht="13.5" thickBot="1"/>
    <row r="5" spans="2:23" ht="17.25" thickBot="1" thickTop="1">
      <c r="B5" s="3"/>
      <c r="C5" s="341" t="s">
        <v>67</v>
      </c>
      <c r="D5" s="342"/>
      <c r="E5" s="343"/>
      <c r="F5" s="344" t="s">
        <v>68</v>
      </c>
      <c r="G5" s="345"/>
      <c r="H5" s="346"/>
      <c r="I5" s="239" t="s">
        <v>4</v>
      </c>
      <c r="L5" s="3"/>
      <c r="M5" s="347" t="s">
        <v>67</v>
      </c>
      <c r="N5" s="348"/>
      <c r="O5" s="348"/>
      <c r="P5" s="348"/>
      <c r="Q5" s="349"/>
      <c r="R5" s="338" t="s">
        <v>68</v>
      </c>
      <c r="S5" s="339"/>
      <c r="T5" s="339"/>
      <c r="U5" s="339"/>
      <c r="V5" s="340"/>
      <c r="W5" s="23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0" t="s">
        <v>6</v>
      </c>
    </row>
    <row r="7" spans="2:23" ht="13.5" thickBot="1">
      <c r="B7" s="12"/>
      <c r="C7" s="13" t="s">
        <v>7</v>
      </c>
      <c r="D7" s="230" t="s">
        <v>8</v>
      </c>
      <c r="E7" s="14" t="s">
        <v>9</v>
      </c>
      <c r="F7" s="13" t="s">
        <v>7</v>
      </c>
      <c r="G7" s="230" t="s">
        <v>8</v>
      </c>
      <c r="H7" s="14" t="s">
        <v>9</v>
      </c>
      <c r="I7" s="24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1"/>
    </row>
    <row r="8" spans="2:23" ht="6" customHeight="1" thickTop="1">
      <c r="B8" s="4"/>
      <c r="C8" s="20"/>
      <c r="D8" s="21"/>
      <c r="E8" s="130"/>
      <c r="F8" s="20"/>
      <c r="G8" s="21"/>
      <c r="H8" s="22"/>
      <c r="I8" s="244"/>
      <c r="L8" s="4"/>
      <c r="M8" s="23"/>
      <c r="N8" s="24"/>
      <c r="O8" s="131"/>
      <c r="P8" s="132"/>
      <c r="Q8" s="27"/>
      <c r="R8" s="23"/>
      <c r="S8" s="24"/>
      <c r="T8" s="25"/>
      <c r="U8" s="132"/>
      <c r="V8" s="28"/>
      <c r="W8" s="207"/>
    </row>
    <row r="9" spans="2:23" ht="12.75">
      <c r="B9" s="4" t="s">
        <v>14</v>
      </c>
      <c r="C9" s="71">
        <v>69</v>
      </c>
      <c r="D9" s="72">
        <v>75</v>
      </c>
      <c r="E9" s="51">
        <f>C9+D9</f>
        <v>144</v>
      </c>
      <c r="F9" s="71">
        <v>68</v>
      </c>
      <c r="G9" s="72">
        <v>83</v>
      </c>
      <c r="H9" s="73">
        <f>F9+G9</f>
        <v>151</v>
      </c>
      <c r="I9" s="256">
        <f aca="true" t="shared" si="0" ref="I9:I26">IF(E9=0,0,((H9/E9)-1)*100)</f>
        <v>4.861111111111116</v>
      </c>
      <c r="L9" s="4" t="s">
        <v>14</v>
      </c>
      <c r="M9" s="137">
        <v>6764</v>
      </c>
      <c r="N9" s="135">
        <v>13102</v>
      </c>
      <c r="O9" s="31">
        <f>M9+N9</f>
        <v>19866</v>
      </c>
      <c r="P9" s="138">
        <v>0</v>
      </c>
      <c r="Q9" s="136">
        <f>O9+P9</f>
        <v>19866</v>
      </c>
      <c r="R9" s="137">
        <v>8040</v>
      </c>
      <c r="S9" s="135">
        <v>13102</v>
      </c>
      <c r="T9" s="31">
        <f>R9+S9</f>
        <v>21142</v>
      </c>
      <c r="U9" s="138">
        <v>8</v>
      </c>
      <c r="V9" s="31">
        <f>T9+U9</f>
        <v>21150</v>
      </c>
      <c r="W9" s="256">
        <f aca="true" t="shared" si="1" ref="W9:W26">IF(Q9=0,0,((V9/Q9)-1)*100)</f>
        <v>6.463304137722736</v>
      </c>
    </row>
    <row r="10" spans="2:23" ht="12.75">
      <c r="B10" s="4" t="s">
        <v>15</v>
      </c>
      <c r="C10" s="71">
        <v>67</v>
      </c>
      <c r="D10" s="72">
        <v>63</v>
      </c>
      <c r="E10" s="33">
        <f>C10+D10</f>
        <v>130</v>
      </c>
      <c r="F10" s="71">
        <v>96</v>
      </c>
      <c r="G10" s="72">
        <v>89</v>
      </c>
      <c r="H10" s="73">
        <f>F10+G10</f>
        <v>185</v>
      </c>
      <c r="I10" s="256">
        <f t="shared" si="0"/>
        <v>42.307692307692314</v>
      </c>
      <c r="L10" s="4" t="s">
        <v>15</v>
      </c>
      <c r="M10" s="137">
        <v>8635</v>
      </c>
      <c r="N10" s="135">
        <v>5482</v>
      </c>
      <c r="O10" s="31">
        <f>M10+N10</f>
        <v>14117</v>
      </c>
      <c r="P10" s="138">
        <v>0</v>
      </c>
      <c r="Q10" s="136">
        <f>O10+P10</f>
        <v>14117</v>
      </c>
      <c r="R10" s="137">
        <v>14683</v>
      </c>
      <c r="S10" s="135">
        <v>8365</v>
      </c>
      <c r="T10" s="31">
        <f>R10+S10</f>
        <v>23048</v>
      </c>
      <c r="U10" s="138">
        <v>0</v>
      </c>
      <c r="V10" s="31">
        <f>T10+U10</f>
        <v>23048</v>
      </c>
      <c r="W10" s="256">
        <f t="shared" si="1"/>
        <v>63.264149606856975</v>
      </c>
    </row>
    <row r="11" spans="2:23" ht="13.5" thickBot="1">
      <c r="B11" s="4" t="s">
        <v>16</v>
      </c>
      <c r="C11" s="74">
        <v>87</v>
      </c>
      <c r="D11" s="75">
        <v>79</v>
      </c>
      <c r="E11" s="61">
        <f>C11+D11</f>
        <v>166</v>
      </c>
      <c r="F11" s="74">
        <v>82</v>
      </c>
      <c r="G11" s="75">
        <v>83</v>
      </c>
      <c r="H11" s="73">
        <f>F11+G11</f>
        <v>165</v>
      </c>
      <c r="I11" s="256">
        <f t="shared" si="0"/>
        <v>-0.6024096385542133</v>
      </c>
      <c r="L11" s="140" t="s">
        <v>16</v>
      </c>
      <c r="M11" s="133">
        <v>12118</v>
      </c>
      <c r="N11" s="36">
        <v>8874</v>
      </c>
      <c r="O11" s="61">
        <f>M11+N11</f>
        <v>20992</v>
      </c>
      <c r="P11" s="52">
        <v>0</v>
      </c>
      <c r="Q11" s="136">
        <f>O11+P11</f>
        <v>20992</v>
      </c>
      <c r="R11" s="133">
        <v>9818</v>
      </c>
      <c r="S11" s="36">
        <v>9283</v>
      </c>
      <c r="T11" s="61">
        <f>R11+S11</f>
        <v>19101</v>
      </c>
      <c r="U11" s="52">
        <v>151</v>
      </c>
      <c r="V11" s="31">
        <f>T11+U11</f>
        <v>19252</v>
      </c>
      <c r="W11" s="256">
        <f t="shared" si="1"/>
        <v>-8.288871951219512</v>
      </c>
    </row>
    <row r="12" spans="2:23" ht="14.25" thickBot="1" thickTop="1">
      <c r="B12" s="39" t="s">
        <v>58</v>
      </c>
      <c r="C12" s="76">
        <f>C9+C10+C11</f>
        <v>223</v>
      </c>
      <c r="D12" s="77">
        <f>D9+D10+D11</f>
        <v>217</v>
      </c>
      <c r="E12" s="40">
        <f>+E9+E10+E11</f>
        <v>440</v>
      </c>
      <c r="F12" s="76">
        <f>F9+F10+F11</f>
        <v>246</v>
      </c>
      <c r="G12" s="77">
        <f>G9+G10+G11</f>
        <v>255</v>
      </c>
      <c r="H12" s="78">
        <f>H10+H9+H11</f>
        <v>501</v>
      </c>
      <c r="I12" s="257">
        <f t="shared" si="0"/>
        <v>13.863636363636367</v>
      </c>
      <c r="L12" s="39" t="s">
        <v>58</v>
      </c>
      <c r="M12" s="40">
        <f aca="true" t="shared" si="2" ref="M12:V12">+M9+M10+M11</f>
        <v>27517</v>
      </c>
      <c r="N12" s="141">
        <f t="shared" si="2"/>
        <v>27458</v>
      </c>
      <c r="O12" s="142">
        <f t="shared" si="2"/>
        <v>54975</v>
      </c>
      <c r="P12" s="142">
        <f t="shared" si="2"/>
        <v>0</v>
      </c>
      <c r="Q12" s="142">
        <f t="shared" si="2"/>
        <v>54975</v>
      </c>
      <c r="R12" s="40">
        <f t="shared" si="2"/>
        <v>32541</v>
      </c>
      <c r="S12" s="141">
        <f t="shared" si="2"/>
        <v>30750</v>
      </c>
      <c r="T12" s="142">
        <f t="shared" si="2"/>
        <v>63291</v>
      </c>
      <c r="U12" s="142">
        <f t="shared" si="2"/>
        <v>159</v>
      </c>
      <c r="V12" s="142">
        <f t="shared" si="2"/>
        <v>63450</v>
      </c>
      <c r="W12" s="257">
        <f t="shared" si="1"/>
        <v>15.416098226466568</v>
      </c>
    </row>
    <row r="13" spans="2:23" ht="13.5" thickTop="1">
      <c r="B13" s="4" t="s">
        <v>18</v>
      </c>
      <c r="C13" s="71">
        <v>65</v>
      </c>
      <c r="D13" s="90">
        <v>67</v>
      </c>
      <c r="E13" s="73">
        <f>C13+D13</f>
        <v>132</v>
      </c>
      <c r="F13" s="71">
        <f>76+4</f>
        <v>80</v>
      </c>
      <c r="G13" s="90">
        <f>76+3</f>
        <v>79</v>
      </c>
      <c r="H13" s="73">
        <f>+F13+G13</f>
        <v>159</v>
      </c>
      <c r="I13" s="264">
        <f t="shared" si="0"/>
        <v>20.45454545454546</v>
      </c>
      <c r="L13" s="4" t="s">
        <v>18</v>
      </c>
      <c r="M13" s="29">
        <v>7866</v>
      </c>
      <c r="N13" s="36">
        <v>8020</v>
      </c>
      <c r="O13" s="33">
        <f>+M13+N13</f>
        <v>15886</v>
      </c>
      <c r="P13" s="34">
        <v>0</v>
      </c>
      <c r="Q13" s="31">
        <f>O13+P13</f>
        <v>15886</v>
      </c>
      <c r="R13" s="29">
        <v>8257</v>
      </c>
      <c r="S13" s="36">
        <v>8292</v>
      </c>
      <c r="T13" s="33">
        <f>+R13+S13</f>
        <v>16549</v>
      </c>
      <c r="U13" s="34">
        <v>0</v>
      </c>
      <c r="V13" s="31">
        <f>+T13+U13</f>
        <v>16549</v>
      </c>
      <c r="W13" s="264">
        <f t="shared" si="1"/>
        <v>4.173486088379708</v>
      </c>
    </row>
    <row r="14" spans="2:23" ht="12.75">
      <c r="B14" s="4" t="s">
        <v>19</v>
      </c>
      <c r="C14" s="29">
        <v>61</v>
      </c>
      <c r="D14" s="60">
        <v>61</v>
      </c>
      <c r="E14" s="73">
        <f>C14+D14</f>
        <v>122</v>
      </c>
      <c r="F14" s="29">
        <v>66</v>
      </c>
      <c r="G14" s="60">
        <v>66</v>
      </c>
      <c r="H14" s="31">
        <f>+G14+F14</f>
        <v>132</v>
      </c>
      <c r="I14" s="32">
        <f t="shared" si="0"/>
        <v>8.196721311475418</v>
      </c>
      <c r="L14" s="4" t="s">
        <v>19</v>
      </c>
      <c r="M14" s="29">
        <v>7889</v>
      </c>
      <c r="N14" s="36">
        <v>7800</v>
      </c>
      <c r="O14" s="33">
        <f>+N14+M14</f>
        <v>15689</v>
      </c>
      <c r="P14" s="34">
        <v>0</v>
      </c>
      <c r="Q14" s="31">
        <f>O14+P14</f>
        <v>15689</v>
      </c>
      <c r="R14" s="29">
        <v>8034</v>
      </c>
      <c r="S14" s="36">
        <v>8294</v>
      </c>
      <c r="T14" s="33">
        <f>+S14+R14</f>
        <v>16328</v>
      </c>
      <c r="U14" s="34">
        <v>0</v>
      </c>
      <c r="V14" s="31">
        <f>+U14+T14</f>
        <v>16328</v>
      </c>
      <c r="W14" s="256">
        <f t="shared" si="1"/>
        <v>4.072917330613812</v>
      </c>
    </row>
    <row r="15" spans="2:23" ht="13.5" thickBot="1">
      <c r="B15" s="4" t="s">
        <v>20</v>
      </c>
      <c r="C15" s="29">
        <v>65</v>
      </c>
      <c r="D15" s="60">
        <v>65</v>
      </c>
      <c r="E15" s="73">
        <f>C15+D15</f>
        <v>130</v>
      </c>
      <c r="F15" s="29">
        <f>67+23</f>
        <v>90</v>
      </c>
      <c r="G15" s="60">
        <f>67+21</f>
        <v>88</v>
      </c>
      <c r="H15" s="31">
        <f>+G15+F15</f>
        <v>178</v>
      </c>
      <c r="I15" s="256">
        <f t="shared" si="0"/>
        <v>36.92307692307693</v>
      </c>
      <c r="L15" s="4" t="s">
        <v>20</v>
      </c>
      <c r="M15" s="29">
        <v>8424</v>
      </c>
      <c r="N15" s="36">
        <v>8278</v>
      </c>
      <c r="O15" s="33">
        <f>+N15+M15</f>
        <v>16702</v>
      </c>
      <c r="P15" s="34">
        <v>187</v>
      </c>
      <c r="Q15" s="31">
        <f>O15+P15</f>
        <v>16889</v>
      </c>
      <c r="R15" s="29">
        <v>9336</v>
      </c>
      <c r="S15" s="36">
        <v>9403</v>
      </c>
      <c r="T15" s="33">
        <f>+S15+R15</f>
        <v>18739</v>
      </c>
      <c r="U15" s="34">
        <v>0</v>
      </c>
      <c r="V15" s="31">
        <f>+U15+T15</f>
        <v>18739</v>
      </c>
      <c r="W15" s="256">
        <f t="shared" si="1"/>
        <v>10.953875303451955</v>
      </c>
    </row>
    <row r="16" spans="2:23" ht="14.25" thickBot="1" thickTop="1">
      <c r="B16" s="39" t="s">
        <v>21</v>
      </c>
      <c r="C16" s="76">
        <f aca="true" t="shared" si="3" ref="C16:H16">C13+C14+C15</f>
        <v>191</v>
      </c>
      <c r="D16" s="143">
        <f t="shared" si="3"/>
        <v>193</v>
      </c>
      <c r="E16" s="83">
        <f t="shared" si="3"/>
        <v>384</v>
      </c>
      <c r="F16" s="76">
        <f t="shared" si="3"/>
        <v>236</v>
      </c>
      <c r="G16" s="143">
        <f t="shared" si="3"/>
        <v>233</v>
      </c>
      <c r="H16" s="83">
        <f t="shared" si="3"/>
        <v>469</v>
      </c>
      <c r="I16" s="258">
        <f>IF(E16=0,0,((H16/E16)-1)*100)</f>
        <v>22.135416666666675</v>
      </c>
      <c r="L16" s="39" t="s">
        <v>21</v>
      </c>
      <c r="M16" s="144">
        <f aca="true" t="shared" si="4" ref="M16:V16">M13+M14+M15</f>
        <v>24179</v>
      </c>
      <c r="N16" s="49">
        <f t="shared" si="4"/>
        <v>24098</v>
      </c>
      <c r="O16" s="122">
        <f t="shared" si="4"/>
        <v>48277</v>
      </c>
      <c r="P16" s="47">
        <f t="shared" si="4"/>
        <v>187</v>
      </c>
      <c r="Q16" s="49">
        <f t="shared" si="4"/>
        <v>48464</v>
      </c>
      <c r="R16" s="144">
        <f t="shared" si="4"/>
        <v>25627</v>
      </c>
      <c r="S16" s="49">
        <f t="shared" si="4"/>
        <v>25989</v>
      </c>
      <c r="T16" s="122">
        <f t="shared" si="4"/>
        <v>51616</v>
      </c>
      <c r="U16" s="47">
        <f t="shared" si="4"/>
        <v>0</v>
      </c>
      <c r="V16" s="122">
        <f t="shared" si="4"/>
        <v>51616</v>
      </c>
      <c r="W16" s="258">
        <f>IF(Q16=0,0,((V16/Q16)-1)*100)</f>
        <v>6.503796632552006</v>
      </c>
    </row>
    <row r="17" spans="2:23" ht="13.5" thickTop="1">
      <c r="B17" s="4" t="s">
        <v>22</v>
      </c>
      <c r="C17" s="145">
        <v>67</v>
      </c>
      <c r="D17" s="146">
        <v>67</v>
      </c>
      <c r="E17" s="312">
        <f>C17+D17</f>
        <v>134</v>
      </c>
      <c r="F17" s="145">
        <v>67</v>
      </c>
      <c r="G17" s="146">
        <v>69</v>
      </c>
      <c r="H17" s="51">
        <f>+G17+F17</f>
        <v>136</v>
      </c>
      <c r="I17" s="256">
        <f t="shared" si="0"/>
        <v>1.4925373134328401</v>
      </c>
      <c r="L17" s="4" t="s">
        <v>22</v>
      </c>
      <c r="M17" s="177">
        <v>8322</v>
      </c>
      <c r="N17" s="135">
        <v>8038</v>
      </c>
      <c r="O17" s="31">
        <f>+M17+N17</f>
        <v>16360</v>
      </c>
      <c r="P17" s="138">
        <v>0</v>
      </c>
      <c r="Q17" s="147">
        <f>O17+P17</f>
        <v>16360</v>
      </c>
      <c r="R17" s="177">
        <v>7371</v>
      </c>
      <c r="S17" s="135">
        <v>7441</v>
      </c>
      <c r="T17" s="31">
        <f>+R17+S17</f>
        <v>14812</v>
      </c>
      <c r="U17" s="138">
        <v>0</v>
      </c>
      <c r="V17" s="31">
        <f>+T17+U17</f>
        <v>14812</v>
      </c>
      <c r="W17" s="267">
        <f t="shared" si="1"/>
        <v>-9.462102689486551</v>
      </c>
    </row>
    <row r="18" spans="2:23" ht="12.75">
      <c r="B18" s="4" t="s">
        <v>23</v>
      </c>
      <c r="C18" s="79">
        <v>71</v>
      </c>
      <c r="D18" s="146">
        <v>70</v>
      </c>
      <c r="E18" s="51">
        <f>C18+D18</f>
        <v>141</v>
      </c>
      <c r="F18" s="79">
        <v>67</v>
      </c>
      <c r="G18" s="146">
        <v>67</v>
      </c>
      <c r="H18" s="51">
        <f>+G18+F18</f>
        <v>134</v>
      </c>
      <c r="I18" s="256">
        <f>IF(E18=0,0,((H18/E18)-1)*100)</f>
        <v>-4.964539007092195</v>
      </c>
      <c r="L18" s="4" t="s">
        <v>23</v>
      </c>
      <c r="M18" s="36">
        <v>8534</v>
      </c>
      <c r="N18" s="216">
        <v>8386</v>
      </c>
      <c r="O18" s="31">
        <f>+M18+N18</f>
        <v>16920</v>
      </c>
      <c r="P18" s="138">
        <v>0</v>
      </c>
      <c r="Q18" s="136">
        <f>O18+P18</f>
        <v>16920</v>
      </c>
      <c r="R18" s="36">
        <v>7742</v>
      </c>
      <c r="S18" s="216">
        <v>7578</v>
      </c>
      <c r="T18" s="31">
        <f>+R18+S18</f>
        <v>15320</v>
      </c>
      <c r="U18" s="138">
        <v>188</v>
      </c>
      <c r="V18" s="31">
        <f>+T18+U18</f>
        <v>15508</v>
      </c>
      <c r="W18" s="268">
        <f>IF(Q18=0,0,((V18/Q18)-1)*100)</f>
        <v>-8.345153664302597</v>
      </c>
    </row>
    <row r="19" spans="2:23" ht="13.5" thickBot="1">
      <c r="B19" s="4" t="s">
        <v>24</v>
      </c>
      <c r="C19" s="79">
        <v>61</v>
      </c>
      <c r="D19" s="146">
        <v>61</v>
      </c>
      <c r="E19" s="51">
        <f>C19+D19</f>
        <v>122</v>
      </c>
      <c r="F19" s="79">
        <v>67</v>
      </c>
      <c r="G19" s="146">
        <v>67</v>
      </c>
      <c r="H19" s="51">
        <f>+G19+F19</f>
        <v>134</v>
      </c>
      <c r="I19" s="256">
        <f t="shared" si="0"/>
        <v>9.836065573770503</v>
      </c>
      <c r="J19" s="50"/>
      <c r="L19" s="4" t="s">
        <v>24</v>
      </c>
      <c r="M19" s="36">
        <v>7859</v>
      </c>
      <c r="N19" s="216">
        <v>7973</v>
      </c>
      <c r="O19" s="31">
        <f>+M19+N19</f>
        <v>15832</v>
      </c>
      <c r="P19" s="148">
        <v>0</v>
      </c>
      <c r="Q19" s="136">
        <f>O19+P19</f>
        <v>15832</v>
      </c>
      <c r="R19" s="36">
        <v>8072</v>
      </c>
      <c r="S19" s="216">
        <v>8184</v>
      </c>
      <c r="T19" s="31">
        <f>+R19+S19</f>
        <v>16256</v>
      </c>
      <c r="U19" s="148">
        <v>174</v>
      </c>
      <c r="V19" s="31">
        <f>+T19+U19</f>
        <v>16430</v>
      </c>
      <c r="W19" s="269">
        <f t="shared" si="1"/>
        <v>3.7771601819100553</v>
      </c>
    </row>
    <row r="20" spans="2:23" ht="15.75" customHeight="1" thickBot="1" thickTop="1">
      <c r="B20" s="44" t="s">
        <v>25</v>
      </c>
      <c r="C20" s="144">
        <f aca="true" t="shared" si="5" ref="C20:H20">+C17+C18+C19</f>
        <v>199</v>
      </c>
      <c r="D20" s="122">
        <f t="shared" si="5"/>
        <v>198</v>
      </c>
      <c r="E20" s="313">
        <f t="shared" si="5"/>
        <v>397</v>
      </c>
      <c r="F20" s="144">
        <f t="shared" si="5"/>
        <v>201</v>
      </c>
      <c r="G20" s="122">
        <f t="shared" si="5"/>
        <v>203</v>
      </c>
      <c r="H20" s="149">
        <f t="shared" si="5"/>
        <v>404</v>
      </c>
      <c r="I20" s="257">
        <f t="shared" si="0"/>
        <v>1.7632241813602123</v>
      </c>
      <c r="J20" s="55"/>
      <c r="K20" s="56"/>
      <c r="L20" s="44" t="s">
        <v>25</v>
      </c>
      <c r="M20" s="163">
        <f aca="true" t="shared" si="6" ref="M20:V20">+M17+M18+M19</f>
        <v>24715</v>
      </c>
      <c r="N20" s="46">
        <f t="shared" si="6"/>
        <v>24397</v>
      </c>
      <c r="O20" s="47">
        <f t="shared" si="6"/>
        <v>49112</v>
      </c>
      <c r="P20" s="47">
        <f t="shared" si="6"/>
        <v>0</v>
      </c>
      <c r="Q20" s="47">
        <f t="shared" si="6"/>
        <v>49112</v>
      </c>
      <c r="R20" s="163">
        <f t="shared" si="6"/>
        <v>23185</v>
      </c>
      <c r="S20" s="46">
        <f t="shared" si="6"/>
        <v>23203</v>
      </c>
      <c r="T20" s="47">
        <f t="shared" si="6"/>
        <v>46388</v>
      </c>
      <c r="U20" s="47">
        <f t="shared" si="6"/>
        <v>362</v>
      </c>
      <c r="V20" s="47">
        <f t="shared" si="6"/>
        <v>46750</v>
      </c>
      <c r="W20" s="258">
        <f t="shared" si="1"/>
        <v>-4.809415214204272</v>
      </c>
    </row>
    <row r="21" spans="2:23" ht="13.5" thickTop="1">
      <c r="B21" s="4" t="s">
        <v>26</v>
      </c>
      <c r="C21" s="29">
        <v>63</v>
      </c>
      <c r="D21" s="36">
        <v>62</v>
      </c>
      <c r="E21" s="51">
        <f>C21+D21</f>
        <v>125</v>
      </c>
      <c r="F21" s="29">
        <v>67</v>
      </c>
      <c r="G21" s="36">
        <v>67</v>
      </c>
      <c r="H21" s="223">
        <f>+G21+F21</f>
        <v>134</v>
      </c>
      <c r="I21" s="265">
        <f>IF(E21=0,0,((H21/E21)-1)*100)</f>
        <v>7.200000000000006</v>
      </c>
      <c r="L21" s="4" t="s">
        <v>26</v>
      </c>
      <c r="M21" s="36">
        <v>8559</v>
      </c>
      <c r="N21" s="216">
        <v>8500</v>
      </c>
      <c r="O21" s="31">
        <f>+M21+N21</f>
        <v>17059</v>
      </c>
      <c r="P21" s="152">
        <v>0</v>
      </c>
      <c r="Q21" s="136">
        <f>O21+P21</f>
        <v>17059</v>
      </c>
      <c r="R21" s="36">
        <v>7961</v>
      </c>
      <c r="S21" s="216">
        <v>7976</v>
      </c>
      <c r="T21" s="31">
        <f>+R21+S21</f>
        <v>15937</v>
      </c>
      <c r="U21" s="152">
        <v>261</v>
      </c>
      <c r="V21" s="31">
        <f>+T21+U21</f>
        <v>16198</v>
      </c>
      <c r="W21" s="270">
        <f>IF(Q21=0,0,((V21/Q21)-1)*100)</f>
        <v>-5.047189167008614</v>
      </c>
    </row>
    <row r="22" spans="2:23" ht="12.75">
      <c r="B22" s="4" t="s">
        <v>28</v>
      </c>
      <c r="C22" s="29">
        <v>75</v>
      </c>
      <c r="D22" s="30">
        <v>74</v>
      </c>
      <c r="E22" s="31">
        <f>C22+D22</f>
        <v>149</v>
      </c>
      <c r="F22" s="29">
        <v>77</v>
      </c>
      <c r="G22" s="30">
        <v>77</v>
      </c>
      <c r="H22" s="222">
        <f>+G22+F22</f>
        <v>154</v>
      </c>
      <c r="I22" s="265">
        <f>IF(E22=0,0,((H22/E22)-1)*100)</f>
        <v>3.3557046979865834</v>
      </c>
      <c r="L22" s="4" t="s">
        <v>28</v>
      </c>
      <c r="M22" s="36">
        <v>8207</v>
      </c>
      <c r="N22" s="216">
        <v>7896</v>
      </c>
      <c r="O22" s="31">
        <f>+M22+N22</f>
        <v>16103</v>
      </c>
      <c r="P22" s="138">
        <v>0</v>
      </c>
      <c r="Q22" s="136">
        <f>O22+P22</f>
        <v>16103</v>
      </c>
      <c r="R22" s="36">
        <v>8554</v>
      </c>
      <c r="S22" s="216">
        <v>8504</v>
      </c>
      <c r="T22" s="31">
        <f>+R22+S22</f>
        <v>17058</v>
      </c>
      <c r="U22" s="138">
        <v>77</v>
      </c>
      <c r="V22" s="31">
        <f>+T22+U22</f>
        <v>17135</v>
      </c>
      <c r="W22" s="269">
        <f>IF(Q22=0,0,((V22/Q22)-1)*100)</f>
        <v>6.408743712351739</v>
      </c>
    </row>
    <row r="23" spans="2:23" ht="13.5" thickBot="1">
      <c r="B23" s="4" t="s">
        <v>29</v>
      </c>
      <c r="C23" s="37">
        <v>68</v>
      </c>
      <c r="D23" s="30">
        <v>72</v>
      </c>
      <c r="E23" s="31">
        <f>C23+D23</f>
        <v>140</v>
      </c>
      <c r="F23" s="37">
        <v>100</v>
      </c>
      <c r="G23" s="30">
        <v>99</v>
      </c>
      <c r="H23" s="222">
        <f>+G23+F23</f>
        <v>199</v>
      </c>
      <c r="I23" s="266">
        <f t="shared" si="0"/>
        <v>42.142857142857146</v>
      </c>
      <c r="L23" s="4" t="s">
        <v>29</v>
      </c>
      <c r="M23" s="36">
        <v>8305</v>
      </c>
      <c r="N23" s="227">
        <v>10134</v>
      </c>
      <c r="O23" s="31">
        <f>+M23+N23</f>
        <v>18439</v>
      </c>
      <c r="P23" s="52">
        <v>0</v>
      </c>
      <c r="Q23" s="153">
        <f>O23+P23</f>
        <v>18439</v>
      </c>
      <c r="R23" s="36">
        <v>7760</v>
      </c>
      <c r="S23" s="227">
        <v>13156</v>
      </c>
      <c r="T23" s="31">
        <f>+R23+S23</f>
        <v>20916</v>
      </c>
      <c r="U23" s="52">
        <v>89</v>
      </c>
      <c r="V23" s="31">
        <f>+T23+U23</f>
        <v>21005</v>
      </c>
      <c r="W23" s="271">
        <f t="shared" si="1"/>
        <v>13.916155973751287</v>
      </c>
    </row>
    <row r="24" spans="2:23" ht="14.25" thickBot="1" thickTop="1">
      <c r="B24" s="44" t="s">
        <v>30</v>
      </c>
      <c r="C24" s="40">
        <f aca="true" t="shared" si="7" ref="C24:H24">+C21+C22+C23</f>
        <v>206</v>
      </c>
      <c r="D24" s="53">
        <f t="shared" si="7"/>
        <v>208</v>
      </c>
      <c r="E24" s="53">
        <f t="shared" si="7"/>
        <v>414</v>
      </c>
      <c r="F24" s="40">
        <f t="shared" si="7"/>
        <v>244</v>
      </c>
      <c r="G24" s="121">
        <f t="shared" si="7"/>
        <v>243</v>
      </c>
      <c r="H24" s="41">
        <f t="shared" si="7"/>
        <v>487</v>
      </c>
      <c r="I24" s="257">
        <f t="shared" si="0"/>
        <v>17.63285024154588</v>
      </c>
      <c r="L24" s="44" t="s">
        <v>30</v>
      </c>
      <c r="M24" s="45">
        <f aca="true" t="shared" si="8" ref="M24:V24">+M21+M22+M23</f>
        <v>25071</v>
      </c>
      <c r="N24" s="49">
        <f t="shared" si="8"/>
        <v>26530</v>
      </c>
      <c r="O24" s="122">
        <f t="shared" si="8"/>
        <v>51601</v>
      </c>
      <c r="P24" s="47">
        <f t="shared" si="8"/>
        <v>0</v>
      </c>
      <c r="Q24" s="122">
        <f t="shared" si="8"/>
        <v>51601</v>
      </c>
      <c r="R24" s="224">
        <f t="shared" si="8"/>
        <v>24275</v>
      </c>
      <c r="S24" s="225">
        <f t="shared" si="8"/>
        <v>29636</v>
      </c>
      <c r="T24" s="122">
        <f t="shared" si="8"/>
        <v>53911</v>
      </c>
      <c r="U24" s="226">
        <f t="shared" si="8"/>
        <v>427</v>
      </c>
      <c r="V24" s="122">
        <f t="shared" si="8"/>
        <v>54338</v>
      </c>
      <c r="W24" s="272">
        <f t="shared" si="1"/>
        <v>5.30416077207807</v>
      </c>
    </row>
    <row r="25" spans="2:23" ht="14.25" thickBot="1" thickTop="1">
      <c r="B25" s="39" t="s">
        <v>66</v>
      </c>
      <c r="C25" s="40">
        <f aca="true" t="shared" si="9" ref="C25:H25">+C16+C20+C24</f>
        <v>596</v>
      </c>
      <c r="D25" s="41">
        <f t="shared" si="9"/>
        <v>599</v>
      </c>
      <c r="E25" s="40">
        <f t="shared" si="9"/>
        <v>1195</v>
      </c>
      <c r="F25" s="76">
        <f t="shared" si="9"/>
        <v>681</v>
      </c>
      <c r="G25" s="77">
        <f t="shared" si="9"/>
        <v>679</v>
      </c>
      <c r="H25" s="78">
        <f t="shared" si="9"/>
        <v>1360</v>
      </c>
      <c r="I25" s="257">
        <f t="shared" si="0"/>
        <v>13.807531380753147</v>
      </c>
      <c r="L25" s="39" t="s">
        <v>66</v>
      </c>
      <c r="M25" s="40">
        <f aca="true" t="shared" si="10" ref="M25:V25">+M16+M20+M24</f>
        <v>73965</v>
      </c>
      <c r="N25" s="141">
        <f t="shared" si="10"/>
        <v>75025</v>
      </c>
      <c r="O25" s="142">
        <f t="shared" si="10"/>
        <v>148990</v>
      </c>
      <c r="P25" s="142">
        <f t="shared" si="10"/>
        <v>187</v>
      </c>
      <c r="Q25" s="142">
        <f t="shared" si="10"/>
        <v>149177</v>
      </c>
      <c r="R25" s="40">
        <f t="shared" si="10"/>
        <v>73087</v>
      </c>
      <c r="S25" s="141">
        <f t="shared" si="10"/>
        <v>78828</v>
      </c>
      <c r="T25" s="142">
        <f t="shared" si="10"/>
        <v>151915</v>
      </c>
      <c r="U25" s="142">
        <f t="shared" si="10"/>
        <v>789</v>
      </c>
      <c r="V25" s="142">
        <f t="shared" si="10"/>
        <v>152704</v>
      </c>
      <c r="W25" s="257">
        <f t="shared" si="1"/>
        <v>2.364305489452123</v>
      </c>
    </row>
    <row r="26" spans="2:23" ht="14.25" thickBot="1" thickTop="1">
      <c r="B26" s="39" t="s">
        <v>9</v>
      </c>
      <c r="C26" s="142">
        <f aca="true" t="shared" si="11" ref="C26:H26">C12+C16+C20+C24</f>
        <v>819</v>
      </c>
      <c r="D26" s="41">
        <f t="shared" si="11"/>
        <v>816</v>
      </c>
      <c r="E26" s="40">
        <f t="shared" si="11"/>
        <v>1635</v>
      </c>
      <c r="F26" s="40">
        <f t="shared" si="11"/>
        <v>927</v>
      </c>
      <c r="G26" s="121">
        <f t="shared" si="11"/>
        <v>934</v>
      </c>
      <c r="H26" s="41">
        <f t="shared" si="11"/>
        <v>1861</v>
      </c>
      <c r="I26" s="257">
        <f t="shared" si="0"/>
        <v>13.822629969418966</v>
      </c>
      <c r="L26" s="39" t="s">
        <v>9</v>
      </c>
      <c r="M26" s="142">
        <f aca="true" t="shared" si="12" ref="M26:V26">M12+M16+M20+M24</f>
        <v>101482</v>
      </c>
      <c r="N26" s="141">
        <f t="shared" si="12"/>
        <v>102483</v>
      </c>
      <c r="O26" s="142">
        <f t="shared" si="12"/>
        <v>203965</v>
      </c>
      <c r="P26" s="142">
        <f t="shared" si="12"/>
        <v>187</v>
      </c>
      <c r="Q26" s="142">
        <f t="shared" si="12"/>
        <v>204152</v>
      </c>
      <c r="R26" s="42">
        <f t="shared" si="12"/>
        <v>105628</v>
      </c>
      <c r="S26" s="217">
        <f t="shared" si="12"/>
        <v>109578</v>
      </c>
      <c r="T26" s="42">
        <f t="shared" si="12"/>
        <v>215206</v>
      </c>
      <c r="U26" s="43">
        <f t="shared" si="12"/>
        <v>948</v>
      </c>
      <c r="V26" s="141">
        <f t="shared" si="12"/>
        <v>216154</v>
      </c>
      <c r="W26" s="272">
        <f t="shared" si="1"/>
        <v>5.878952937027315</v>
      </c>
    </row>
    <row r="27" spans="2:12" ht="13.5" thickTop="1">
      <c r="B27" s="63" t="s">
        <v>64</v>
      </c>
      <c r="L27" s="63" t="s">
        <v>64</v>
      </c>
    </row>
    <row r="28" spans="2:23" ht="12.75">
      <c r="B28" s="336" t="s">
        <v>31</v>
      </c>
      <c r="C28" s="336"/>
      <c r="D28" s="336"/>
      <c r="E28" s="336"/>
      <c r="F28" s="336"/>
      <c r="G28" s="336"/>
      <c r="H28" s="336"/>
      <c r="I28" s="336"/>
      <c r="L28" s="336" t="s">
        <v>32</v>
      </c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</row>
    <row r="29" spans="2:23" ht="15.75">
      <c r="B29" s="337" t="s">
        <v>33</v>
      </c>
      <c r="C29" s="337"/>
      <c r="D29" s="337"/>
      <c r="E29" s="337"/>
      <c r="F29" s="337"/>
      <c r="G29" s="337"/>
      <c r="H29" s="337"/>
      <c r="I29" s="337"/>
      <c r="L29" s="337" t="s">
        <v>34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</row>
    <row r="30" ht="13.5" thickBot="1"/>
    <row r="31" spans="2:23" ht="17.25" thickBot="1" thickTop="1">
      <c r="B31" s="3"/>
      <c r="C31" s="341" t="s">
        <v>67</v>
      </c>
      <c r="D31" s="342"/>
      <c r="E31" s="343"/>
      <c r="F31" s="344" t="s">
        <v>68</v>
      </c>
      <c r="G31" s="345"/>
      <c r="H31" s="346"/>
      <c r="I31" s="239" t="s">
        <v>4</v>
      </c>
      <c r="L31" s="3"/>
      <c r="M31" s="347" t="s">
        <v>67</v>
      </c>
      <c r="N31" s="348"/>
      <c r="O31" s="348"/>
      <c r="P31" s="348"/>
      <c r="Q31" s="349"/>
      <c r="R31" s="338" t="s">
        <v>68</v>
      </c>
      <c r="S31" s="339"/>
      <c r="T31" s="339"/>
      <c r="U31" s="339"/>
      <c r="V31" s="340"/>
      <c r="W31" s="239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0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0" t="s">
        <v>6</v>
      </c>
    </row>
    <row r="33" spans="2:23" ht="13.5" customHeight="1" thickBot="1">
      <c r="B33" s="12"/>
      <c r="C33" s="13" t="s">
        <v>7</v>
      </c>
      <c r="D33" s="230" t="s">
        <v>8</v>
      </c>
      <c r="E33" s="14" t="s">
        <v>9</v>
      </c>
      <c r="F33" s="13" t="s">
        <v>7</v>
      </c>
      <c r="G33" s="230" t="s">
        <v>8</v>
      </c>
      <c r="H33" s="14" t="s">
        <v>9</v>
      </c>
      <c r="I33" s="241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1"/>
    </row>
    <row r="34" spans="2:23" ht="3" customHeight="1" thickTop="1">
      <c r="B34" s="4"/>
      <c r="C34" s="20"/>
      <c r="D34" s="21"/>
      <c r="E34" s="130"/>
      <c r="F34" s="20"/>
      <c r="G34" s="21"/>
      <c r="H34" s="22"/>
      <c r="I34" s="244"/>
      <c r="L34" s="4"/>
      <c r="M34" s="23"/>
      <c r="N34" s="24"/>
      <c r="O34" s="25"/>
      <c r="P34" s="132"/>
      <c r="Q34" s="27"/>
      <c r="R34" s="179"/>
      <c r="S34" s="24"/>
      <c r="T34" s="131"/>
      <c r="U34" s="132"/>
      <c r="V34" s="131"/>
      <c r="W34" s="207"/>
    </row>
    <row r="35" spans="2:23" ht="13.5" customHeight="1">
      <c r="B35" s="4" t="s">
        <v>14</v>
      </c>
      <c r="C35" s="29">
        <v>495</v>
      </c>
      <c r="D35" s="60">
        <v>488</v>
      </c>
      <c r="E35" s="155">
        <f>C35+D35</f>
        <v>983</v>
      </c>
      <c r="F35" s="29">
        <f>532+48</f>
        <v>580</v>
      </c>
      <c r="G35" s="60">
        <f>531+32</f>
        <v>563</v>
      </c>
      <c r="H35" s="31">
        <f>+F35+G35</f>
        <v>1143</v>
      </c>
      <c r="I35" s="256">
        <f aca="true" t="shared" si="13" ref="I35:I52">IF(E35=0,0,((H35/E35)-1)*100)</f>
        <v>16.276703967446583</v>
      </c>
      <c r="L35" s="4" t="s">
        <v>14</v>
      </c>
      <c r="M35" s="29">
        <v>64634</v>
      </c>
      <c r="N35" s="36">
        <v>66085</v>
      </c>
      <c r="O35" s="51">
        <f>+M35+N35</f>
        <v>130719</v>
      </c>
      <c r="P35" s="34">
        <v>123</v>
      </c>
      <c r="Q35" s="35">
        <f>O35+P35</f>
        <v>130842</v>
      </c>
      <c r="R35" s="29">
        <v>72615</v>
      </c>
      <c r="S35" s="36">
        <v>63682</v>
      </c>
      <c r="T35" s="51">
        <f>+R35+S35</f>
        <v>136297</v>
      </c>
      <c r="U35" s="34">
        <v>290</v>
      </c>
      <c r="V35" s="31">
        <f>+T35+U35</f>
        <v>136587</v>
      </c>
      <c r="W35" s="256">
        <f aca="true" t="shared" si="14" ref="W35:W52">IF(Q35=0,0,((V35/Q35)-1)*100)</f>
        <v>4.390791947539774</v>
      </c>
    </row>
    <row r="36" spans="2:23" ht="12.75">
      <c r="B36" s="4" t="s">
        <v>15</v>
      </c>
      <c r="C36" s="29">
        <v>462</v>
      </c>
      <c r="D36" s="60">
        <v>469</v>
      </c>
      <c r="E36" s="81">
        <f>C36+D36</f>
        <v>931</v>
      </c>
      <c r="F36" s="29">
        <v>476</v>
      </c>
      <c r="G36" s="60">
        <v>484</v>
      </c>
      <c r="H36" s="31">
        <f>+F36+G36</f>
        <v>960</v>
      </c>
      <c r="I36" s="256">
        <f t="shared" si="13"/>
        <v>3.1149301825993625</v>
      </c>
      <c r="L36" s="4" t="s">
        <v>15</v>
      </c>
      <c r="M36" s="29">
        <v>53387</v>
      </c>
      <c r="N36" s="36">
        <v>54908</v>
      </c>
      <c r="O36" s="51">
        <f>+M36+N36</f>
        <v>108295</v>
      </c>
      <c r="P36" s="34">
        <v>31</v>
      </c>
      <c r="Q36" s="35">
        <f>O36+P36</f>
        <v>108326</v>
      </c>
      <c r="R36" s="29">
        <v>50716</v>
      </c>
      <c r="S36" s="36">
        <v>57870</v>
      </c>
      <c r="T36" s="51">
        <f>+R36+S36</f>
        <v>108586</v>
      </c>
      <c r="U36" s="34">
        <v>0</v>
      </c>
      <c r="V36" s="31">
        <f>+T36+U36</f>
        <v>108586</v>
      </c>
      <c r="W36" s="256">
        <f t="shared" si="14"/>
        <v>0.24001624725364934</v>
      </c>
    </row>
    <row r="37" spans="2:23" ht="13.5" thickBot="1">
      <c r="B37" s="4" t="s">
        <v>16</v>
      </c>
      <c r="C37" s="29">
        <v>481</v>
      </c>
      <c r="D37" s="60">
        <v>489</v>
      </c>
      <c r="E37" s="81">
        <f>C37+D37</f>
        <v>970</v>
      </c>
      <c r="F37" s="29">
        <v>538</v>
      </c>
      <c r="G37" s="60">
        <v>536</v>
      </c>
      <c r="H37" s="31">
        <f>+F37+G37</f>
        <v>1074</v>
      </c>
      <c r="I37" s="256">
        <f t="shared" si="13"/>
        <v>10.721649484536089</v>
      </c>
      <c r="L37" s="4" t="s">
        <v>16</v>
      </c>
      <c r="M37" s="37">
        <v>64080</v>
      </c>
      <c r="N37" s="36">
        <v>61995</v>
      </c>
      <c r="O37" s="51">
        <f>+M37+N37</f>
        <v>126075</v>
      </c>
      <c r="P37" s="52">
        <v>46</v>
      </c>
      <c r="Q37" s="35">
        <f>+O37+P37</f>
        <v>126121</v>
      </c>
      <c r="R37" s="37">
        <v>71630</v>
      </c>
      <c r="S37" s="36">
        <v>74352</v>
      </c>
      <c r="T37" s="51">
        <f>+R37+S37</f>
        <v>145982</v>
      </c>
      <c r="U37" s="52">
        <v>204</v>
      </c>
      <c r="V37" s="31">
        <f>+T37+U37</f>
        <v>146186</v>
      </c>
      <c r="W37" s="256">
        <f t="shared" si="14"/>
        <v>15.909325171858768</v>
      </c>
    </row>
    <row r="38" spans="2:23" ht="14.25" thickBot="1" thickTop="1">
      <c r="B38" s="39" t="s">
        <v>17</v>
      </c>
      <c r="C38" s="40">
        <f aca="true" t="shared" si="15" ref="C38:H38">+C35+C36+C37</f>
        <v>1438</v>
      </c>
      <c r="D38" s="41">
        <f t="shared" si="15"/>
        <v>1446</v>
      </c>
      <c r="E38" s="40">
        <f t="shared" si="15"/>
        <v>2884</v>
      </c>
      <c r="F38" s="40">
        <f t="shared" si="15"/>
        <v>1594</v>
      </c>
      <c r="G38" s="41">
        <f t="shared" si="15"/>
        <v>1583</v>
      </c>
      <c r="H38" s="40">
        <f t="shared" si="15"/>
        <v>3177</v>
      </c>
      <c r="I38" s="257">
        <f t="shared" si="13"/>
        <v>10.159500693481283</v>
      </c>
      <c r="L38" s="39" t="s">
        <v>58</v>
      </c>
      <c r="M38" s="40">
        <f>+M35+M36+M37</f>
        <v>182101</v>
      </c>
      <c r="N38" s="41">
        <f>+N35+N36+N37</f>
        <v>182988</v>
      </c>
      <c r="O38" s="40">
        <f>+O35+O36+O37</f>
        <v>365089</v>
      </c>
      <c r="P38" s="40">
        <f>+P35+P36+P37</f>
        <v>200</v>
      </c>
      <c r="Q38" s="40">
        <f aca="true" t="shared" si="16" ref="Q38:V38">+Q35+Q36+Q37</f>
        <v>365289</v>
      </c>
      <c r="R38" s="40">
        <f t="shared" si="16"/>
        <v>194961</v>
      </c>
      <c r="S38" s="41">
        <f t="shared" si="16"/>
        <v>195904</v>
      </c>
      <c r="T38" s="40">
        <f t="shared" si="16"/>
        <v>390865</v>
      </c>
      <c r="U38" s="40">
        <f t="shared" si="16"/>
        <v>494</v>
      </c>
      <c r="V38" s="40">
        <f t="shared" si="16"/>
        <v>391359</v>
      </c>
      <c r="W38" s="257">
        <f t="shared" si="14"/>
        <v>7.136814960209592</v>
      </c>
    </row>
    <row r="39" spans="2:23" ht="13.5" thickTop="1">
      <c r="B39" s="4" t="s">
        <v>18</v>
      </c>
      <c r="C39" s="71">
        <v>483</v>
      </c>
      <c r="D39" s="90">
        <v>481</v>
      </c>
      <c r="E39" s="73">
        <f>C39+D39</f>
        <v>964</v>
      </c>
      <c r="F39" s="71">
        <f>373+149</f>
        <v>522</v>
      </c>
      <c r="G39" s="90">
        <f>371+152</f>
        <v>523</v>
      </c>
      <c r="H39" s="73">
        <f>+F39+G39</f>
        <v>1045</v>
      </c>
      <c r="I39" s="264">
        <f t="shared" si="13"/>
        <v>8.402489626556008</v>
      </c>
      <c r="L39" s="4" t="s">
        <v>18</v>
      </c>
      <c r="M39" s="29">
        <v>62231</v>
      </c>
      <c r="N39" s="120">
        <v>64061</v>
      </c>
      <c r="O39" s="158">
        <f>+M39+N39</f>
        <v>126292</v>
      </c>
      <c r="P39" s="120">
        <v>127</v>
      </c>
      <c r="Q39" s="57">
        <f>O39+P39</f>
        <v>126419</v>
      </c>
      <c r="R39" s="29">
        <v>73672</v>
      </c>
      <c r="S39" s="120">
        <v>76539</v>
      </c>
      <c r="T39" s="158">
        <f>+R39+S39</f>
        <v>150211</v>
      </c>
      <c r="U39" s="120">
        <v>108</v>
      </c>
      <c r="V39" s="158">
        <f>+T39+U39</f>
        <v>150319</v>
      </c>
      <c r="W39" s="256">
        <f t="shared" si="14"/>
        <v>18.90538605747554</v>
      </c>
    </row>
    <row r="40" spans="2:23" ht="12.75">
      <c r="B40" s="4" t="s">
        <v>19</v>
      </c>
      <c r="C40" s="29">
        <v>471</v>
      </c>
      <c r="D40" s="60">
        <v>471</v>
      </c>
      <c r="E40" s="73">
        <f>C40+D40</f>
        <v>942</v>
      </c>
      <c r="F40" s="29">
        <f>453+22</f>
        <v>475</v>
      </c>
      <c r="G40" s="60">
        <f>453+22</f>
        <v>475</v>
      </c>
      <c r="H40" s="73">
        <f>+F40+G40</f>
        <v>950</v>
      </c>
      <c r="I40" s="256">
        <f>IF(E40=0,0,((H40/E40)-1)*100)</f>
        <v>0.849256900212314</v>
      </c>
      <c r="L40" s="4" t="s">
        <v>19</v>
      </c>
      <c r="M40" s="157">
        <v>64194</v>
      </c>
      <c r="N40" s="99">
        <v>67179</v>
      </c>
      <c r="O40" s="158">
        <f>+N40+M40</f>
        <v>131373</v>
      </c>
      <c r="P40" s="99">
        <v>0</v>
      </c>
      <c r="Q40" s="51">
        <f>O40+P40</f>
        <v>131373</v>
      </c>
      <c r="R40" s="157">
        <v>72736</v>
      </c>
      <c r="S40" s="99">
        <v>73600</v>
      </c>
      <c r="T40" s="158">
        <f>+S40+R40</f>
        <v>146336</v>
      </c>
      <c r="U40" s="99">
        <v>0</v>
      </c>
      <c r="V40" s="158">
        <f>+T40+U40</f>
        <v>146336</v>
      </c>
      <c r="W40" s="256">
        <f>IF(Q40=0,0,((V40/Q40)-1)*100)</f>
        <v>11.389707169661945</v>
      </c>
    </row>
    <row r="41" spans="2:23" ht="13.5" thickBot="1">
      <c r="B41" s="12" t="s">
        <v>20</v>
      </c>
      <c r="C41" s="68">
        <f>509+22</f>
        <v>531</v>
      </c>
      <c r="D41" s="60">
        <f>509+22</f>
        <v>531</v>
      </c>
      <c r="E41" s="73">
        <f>C41+D41</f>
        <v>1062</v>
      </c>
      <c r="F41" s="68">
        <f>536+13</f>
        <v>549</v>
      </c>
      <c r="G41" s="60">
        <f>536+13</f>
        <v>549</v>
      </c>
      <c r="H41" s="73">
        <f>+F41+G41</f>
        <v>1098</v>
      </c>
      <c r="I41" s="256">
        <f t="shared" si="13"/>
        <v>3.3898305084745672</v>
      </c>
      <c r="L41" s="85" t="s">
        <v>20</v>
      </c>
      <c r="M41" s="37">
        <v>80041</v>
      </c>
      <c r="N41" s="120">
        <v>80217</v>
      </c>
      <c r="O41" s="158">
        <f>+N41+M41</f>
        <v>160258</v>
      </c>
      <c r="P41" s="215">
        <v>0</v>
      </c>
      <c r="Q41" s="51">
        <f>O41+P41</f>
        <v>160258</v>
      </c>
      <c r="R41" s="37">
        <v>87622</v>
      </c>
      <c r="S41" s="120">
        <v>88378</v>
      </c>
      <c r="T41" s="158">
        <f>+S41+R41</f>
        <v>176000</v>
      </c>
      <c r="U41" s="215">
        <v>0</v>
      </c>
      <c r="V41" s="158">
        <f>+T41+U41</f>
        <v>176000</v>
      </c>
      <c r="W41" s="256">
        <f t="shared" si="14"/>
        <v>9.822910556727283</v>
      </c>
    </row>
    <row r="42" spans="2:23" ht="14.25" thickBot="1" thickTop="1">
      <c r="B42" s="39" t="s">
        <v>21</v>
      </c>
      <c r="C42" s="40">
        <f aca="true" t="shared" si="17" ref="C42:H42">C39+C40+C41</f>
        <v>1485</v>
      </c>
      <c r="D42" s="41">
        <f t="shared" si="17"/>
        <v>1483</v>
      </c>
      <c r="E42" s="40">
        <f t="shared" si="17"/>
        <v>2968</v>
      </c>
      <c r="F42" s="76">
        <f t="shared" si="17"/>
        <v>1546</v>
      </c>
      <c r="G42" s="77">
        <f t="shared" si="17"/>
        <v>1547</v>
      </c>
      <c r="H42" s="78">
        <f t="shared" si="17"/>
        <v>3093</v>
      </c>
      <c r="I42" s="257">
        <f>IF(E42=0,0,((H42/E42)-1)*100)</f>
        <v>4.2115902964959595</v>
      </c>
      <c r="L42" s="39" t="s">
        <v>21</v>
      </c>
      <c r="M42" s="40">
        <f aca="true" t="shared" si="18" ref="M42:V42">M39+M40+M41</f>
        <v>206466</v>
      </c>
      <c r="N42" s="141">
        <f t="shared" si="18"/>
        <v>211457</v>
      </c>
      <c r="O42" s="142">
        <f t="shared" si="18"/>
        <v>417923</v>
      </c>
      <c r="P42" s="142">
        <f t="shared" si="18"/>
        <v>127</v>
      </c>
      <c r="Q42" s="142">
        <f t="shared" si="18"/>
        <v>418050</v>
      </c>
      <c r="R42" s="40">
        <f t="shared" si="18"/>
        <v>234030</v>
      </c>
      <c r="S42" s="141">
        <f t="shared" si="18"/>
        <v>238517</v>
      </c>
      <c r="T42" s="142">
        <f t="shared" si="18"/>
        <v>472547</v>
      </c>
      <c r="U42" s="142">
        <f t="shared" si="18"/>
        <v>108</v>
      </c>
      <c r="V42" s="142">
        <f t="shared" si="18"/>
        <v>472655</v>
      </c>
      <c r="W42" s="257">
        <f>IF(Q42=0,0,((V42/Q42)-1)*100)</f>
        <v>13.061834708766895</v>
      </c>
    </row>
    <row r="43" spans="2:23" ht="13.5" thickTop="1">
      <c r="B43" s="4" t="s">
        <v>22</v>
      </c>
      <c r="C43" s="151">
        <v>556</v>
      </c>
      <c r="D43" s="60">
        <v>556</v>
      </c>
      <c r="E43" s="73">
        <f>C43+D43</f>
        <v>1112</v>
      </c>
      <c r="F43" s="151">
        <f>570+15</f>
        <v>585</v>
      </c>
      <c r="G43" s="60">
        <f>570+14</f>
        <v>584</v>
      </c>
      <c r="H43" s="31">
        <f>+G43+F43</f>
        <v>1169</v>
      </c>
      <c r="I43" s="256">
        <f t="shared" si="13"/>
        <v>5.125899280575541</v>
      </c>
      <c r="L43" s="4" t="s">
        <v>22</v>
      </c>
      <c r="M43" s="156">
        <v>79693</v>
      </c>
      <c r="N43" s="36">
        <v>80619</v>
      </c>
      <c r="O43" s="160">
        <f>+M43+N43</f>
        <v>160312</v>
      </c>
      <c r="P43" s="36">
        <v>0</v>
      </c>
      <c r="Q43" s="51">
        <f>+O43+P43</f>
        <v>160312</v>
      </c>
      <c r="R43" s="156">
        <v>85751</v>
      </c>
      <c r="S43" s="36">
        <v>87079</v>
      </c>
      <c r="T43" s="160">
        <f>+S43+R43</f>
        <v>172830</v>
      </c>
      <c r="U43" s="36">
        <v>130</v>
      </c>
      <c r="V43" s="160">
        <f>+T43+U43</f>
        <v>172960</v>
      </c>
      <c r="W43" s="273">
        <f t="shared" si="14"/>
        <v>7.889615250261994</v>
      </c>
    </row>
    <row r="44" spans="2:23" ht="12.75">
      <c r="B44" s="4" t="s">
        <v>23</v>
      </c>
      <c r="C44" s="29">
        <v>528</v>
      </c>
      <c r="D44" s="60">
        <v>530</v>
      </c>
      <c r="E44" s="31">
        <f>C44+D44</f>
        <v>1058</v>
      </c>
      <c r="F44" s="29">
        <f>527+6</f>
        <v>533</v>
      </c>
      <c r="G44" s="60">
        <f>527+6</f>
        <v>533</v>
      </c>
      <c r="H44" s="31">
        <f>+G44+F44</f>
        <v>1066</v>
      </c>
      <c r="I44" s="256">
        <f>IF(E44=0,0,((H44/E44)-1)*100)</f>
        <v>0.7561436672967936</v>
      </c>
      <c r="L44" s="4" t="s">
        <v>23</v>
      </c>
      <c r="M44" s="29">
        <v>71589</v>
      </c>
      <c r="N44" s="36">
        <v>71439</v>
      </c>
      <c r="O44" s="160">
        <f>+M44+N44</f>
        <v>143028</v>
      </c>
      <c r="P44" s="36">
        <v>177</v>
      </c>
      <c r="Q44" s="51">
        <f>+O44+P44</f>
        <v>143205</v>
      </c>
      <c r="R44" s="29">
        <v>78043</v>
      </c>
      <c r="S44" s="36">
        <v>78950</v>
      </c>
      <c r="T44" s="160">
        <f>+S44+R44</f>
        <v>156993</v>
      </c>
      <c r="U44" s="36">
        <v>167</v>
      </c>
      <c r="V44" s="160">
        <f>+T44+U44</f>
        <v>157160</v>
      </c>
      <c r="W44" s="265">
        <f>IF(Q44=0,0,((V44/Q44)-1)*100)</f>
        <v>9.744771481442683</v>
      </c>
    </row>
    <row r="45" spans="2:23" ht="13.5" thickBot="1">
      <c r="B45" s="4" t="s">
        <v>24</v>
      </c>
      <c r="C45" s="29">
        <f>485+15</f>
        <v>500</v>
      </c>
      <c r="D45" s="161">
        <f>484+16</f>
        <v>500</v>
      </c>
      <c r="E45" s="31">
        <f>C45+D45</f>
        <v>1000</v>
      </c>
      <c r="F45" s="29">
        <v>516</v>
      </c>
      <c r="G45" s="161">
        <v>517</v>
      </c>
      <c r="H45" s="31">
        <f>+G45+F45</f>
        <v>1033</v>
      </c>
      <c r="I45" s="263">
        <f t="shared" si="13"/>
        <v>3.299999999999992</v>
      </c>
      <c r="L45" s="4" t="s">
        <v>24</v>
      </c>
      <c r="M45" s="29">
        <v>60246</v>
      </c>
      <c r="N45" s="36">
        <v>60672</v>
      </c>
      <c r="O45" s="160">
        <f>+M45+N45</f>
        <v>120918</v>
      </c>
      <c r="P45" s="162">
        <v>0</v>
      </c>
      <c r="Q45" s="51">
        <f>+O45+P45</f>
        <v>120918</v>
      </c>
      <c r="R45" s="29">
        <v>70189</v>
      </c>
      <c r="S45" s="36">
        <v>70433</v>
      </c>
      <c r="T45" s="160">
        <f>+S45+R45</f>
        <v>140622</v>
      </c>
      <c r="U45" s="162">
        <v>97</v>
      </c>
      <c r="V45" s="160">
        <f>+T45+U45</f>
        <v>140719</v>
      </c>
      <c r="W45" s="266">
        <f t="shared" si="14"/>
        <v>16.375560297060822</v>
      </c>
    </row>
    <row r="46" spans="2:23" ht="14.25" thickBot="1" thickTop="1">
      <c r="B46" s="44" t="s">
        <v>25</v>
      </c>
      <c r="C46" s="144">
        <f aca="true" t="shared" si="19" ref="C46:H46">+C43+C44+C45</f>
        <v>1584</v>
      </c>
      <c r="D46" s="122">
        <f t="shared" si="19"/>
        <v>1586</v>
      </c>
      <c r="E46" s="98">
        <f t="shared" si="19"/>
        <v>3170</v>
      </c>
      <c r="F46" s="144">
        <f t="shared" si="19"/>
        <v>1634</v>
      </c>
      <c r="G46" s="122">
        <f t="shared" si="19"/>
        <v>1634</v>
      </c>
      <c r="H46" s="123">
        <f t="shared" si="19"/>
        <v>3268</v>
      </c>
      <c r="I46" s="257">
        <f t="shared" si="13"/>
        <v>3.09148264984227</v>
      </c>
      <c r="L46" s="44" t="s">
        <v>25</v>
      </c>
      <c r="M46" s="218">
        <f aca="true" t="shared" si="20" ref="M46:V46">+M43+M44+M45</f>
        <v>211528</v>
      </c>
      <c r="N46" s="122">
        <f t="shared" si="20"/>
        <v>212730</v>
      </c>
      <c r="O46" s="47">
        <f t="shared" si="20"/>
        <v>424258</v>
      </c>
      <c r="P46" s="122">
        <f t="shared" si="20"/>
        <v>177</v>
      </c>
      <c r="Q46" s="278">
        <f t="shared" si="20"/>
        <v>424435</v>
      </c>
      <c r="R46" s="218">
        <f t="shared" si="20"/>
        <v>233983</v>
      </c>
      <c r="S46" s="122">
        <f t="shared" si="20"/>
        <v>236462</v>
      </c>
      <c r="T46" s="47">
        <f t="shared" si="20"/>
        <v>470445</v>
      </c>
      <c r="U46" s="122">
        <f t="shared" si="20"/>
        <v>394</v>
      </c>
      <c r="V46" s="123">
        <f t="shared" si="20"/>
        <v>470839</v>
      </c>
      <c r="W46" s="257">
        <f t="shared" si="14"/>
        <v>10.933122857445788</v>
      </c>
    </row>
    <row r="47" spans="2:23" ht="13.5" thickTop="1">
      <c r="B47" s="4" t="s">
        <v>26</v>
      </c>
      <c r="C47" s="29">
        <f>498+13</f>
        <v>511</v>
      </c>
      <c r="D47" s="60">
        <f>498+13</f>
        <v>511</v>
      </c>
      <c r="E47" s="31">
        <f>C47+D47</f>
        <v>1022</v>
      </c>
      <c r="F47" s="29">
        <f>523+20</f>
        <v>543</v>
      </c>
      <c r="G47" s="60">
        <f>523+20</f>
        <v>543</v>
      </c>
      <c r="H47" s="223">
        <f>+G47+F47</f>
        <v>1086</v>
      </c>
      <c r="I47" s="256">
        <f>IF(E47=0,0,((H47/E47)-1)*100)</f>
        <v>6.262230919765166</v>
      </c>
      <c r="L47" s="4" t="s">
        <v>26</v>
      </c>
      <c r="M47" s="29">
        <v>68727</v>
      </c>
      <c r="N47" s="36">
        <v>69849</v>
      </c>
      <c r="O47" s="51">
        <f>+M47+N47</f>
        <v>138576</v>
      </c>
      <c r="P47" s="59">
        <v>140</v>
      </c>
      <c r="Q47" s="164">
        <f>+O47+P47</f>
        <v>138716</v>
      </c>
      <c r="R47" s="29">
        <v>75203</v>
      </c>
      <c r="S47" s="36">
        <v>74881</v>
      </c>
      <c r="T47" s="51">
        <f>+S47+R47</f>
        <v>150084</v>
      </c>
      <c r="U47" s="59">
        <v>4</v>
      </c>
      <c r="V47" s="31">
        <f>+T47+U47</f>
        <v>150088</v>
      </c>
      <c r="W47" s="265">
        <f>IF(Q47=0,0,((V47/Q47)-1)*100)</f>
        <v>8.1980449263243</v>
      </c>
    </row>
    <row r="48" spans="2:23" ht="12.75">
      <c r="B48" s="4" t="s">
        <v>28</v>
      </c>
      <c r="C48" s="29">
        <f>496+10</f>
        <v>506</v>
      </c>
      <c r="D48" s="60">
        <f>496+11</f>
        <v>507</v>
      </c>
      <c r="E48" s="31">
        <f>C48+D48</f>
        <v>1013</v>
      </c>
      <c r="F48" s="29">
        <v>516</v>
      </c>
      <c r="G48" s="60">
        <v>516</v>
      </c>
      <c r="H48" s="160">
        <f>+G48+F48</f>
        <v>1032</v>
      </c>
      <c r="I48" s="256">
        <f>IF(E48=0,0,((H48/E48)-1)*100)</f>
        <v>1.875616979269501</v>
      </c>
      <c r="L48" s="4" t="s">
        <v>28</v>
      </c>
      <c r="M48" s="29">
        <v>70388</v>
      </c>
      <c r="N48" s="36">
        <v>72036</v>
      </c>
      <c r="O48" s="51">
        <f>+M48+N48</f>
        <v>142424</v>
      </c>
      <c r="P48" s="34">
        <v>0</v>
      </c>
      <c r="Q48" s="165">
        <f>+O48+P48</f>
        <v>142424</v>
      </c>
      <c r="R48" s="29">
        <v>81427</v>
      </c>
      <c r="S48" s="36">
        <v>81426</v>
      </c>
      <c r="T48" s="51">
        <f>+S48+R48</f>
        <v>162853</v>
      </c>
      <c r="U48" s="34">
        <v>138</v>
      </c>
      <c r="V48" s="31">
        <f>+T48+U48</f>
        <v>162991</v>
      </c>
      <c r="W48" s="265">
        <f>IF(Q48=0,0,((V48/Q48)-1)*100)</f>
        <v>14.440684154356</v>
      </c>
    </row>
    <row r="49" spans="2:23" ht="13.5" thickBot="1">
      <c r="B49" s="4" t="s">
        <v>29</v>
      </c>
      <c r="C49" s="29">
        <f>480+15</f>
        <v>495</v>
      </c>
      <c r="D49" s="60">
        <f>480+11</f>
        <v>491</v>
      </c>
      <c r="E49" s="31">
        <f>C49+D49</f>
        <v>986</v>
      </c>
      <c r="F49" s="29">
        <f>506+22</f>
        <v>528</v>
      </c>
      <c r="G49" s="60">
        <f>506+22</f>
        <v>528</v>
      </c>
      <c r="H49" s="160">
        <f>+G49+F49</f>
        <v>1056</v>
      </c>
      <c r="I49" s="256">
        <f t="shared" si="13"/>
        <v>7.099391480730222</v>
      </c>
      <c r="L49" s="4" t="s">
        <v>29</v>
      </c>
      <c r="M49" s="37">
        <v>70847</v>
      </c>
      <c r="N49" s="36">
        <v>70537</v>
      </c>
      <c r="O49" s="51">
        <f>+M49+N49</f>
        <v>141384</v>
      </c>
      <c r="P49" s="52">
        <v>118</v>
      </c>
      <c r="Q49" s="31">
        <f>+O49+P49</f>
        <v>141502</v>
      </c>
      <c r="R49" s="37">
        <v>72428</v>
      </c>
      <c r="S49" s="36">
        <v>76674</v>
      </c>
      <c r="T49" s="51">
        <f>+S49+R49</f>
        <v>149102</v>
      </c>
      <c r="U49" s="52">
        <v>55</v>
      </c>
      <c r="V49" s="31">
        <f>+T49+U49</f>
        <v>149157</v>
      </c>
      <c r="W49" s="266">
        <f t="shared" si="14"/>
        <v>5.4098175290808515</v>
      </c>
    </row>
    <row r="50" spans="2:23" ht="14.25" thickBot="1" thickTop="1">
      <c r="B50" s="44" t="s">
        <v>30</v>
      </c>
      <c r="C50" s="40">
        <f aca="true" t="shared" si="21" ref="C50:H50">+C47+C48+C49</f>
        <v>1512</v>
      </c>
      <c r="D50" s="53">
        <f t="shared" si="21"/>
        <v>1509</v>
      </c>
      <c r="E50" s="53">
        <f t="shared" si="21"/>
        <v>3021</v>
      </c>
      <c r="F50" s="41">
        <f t="shared" si="21"/>
        <v>1587</v>
      </c>
      <c r="G50" s="53">
        <f t="shared" si="21"/>
        <v>1587</v>
      </c>
      <c r="H50" s="53">
        <f t="shared" si="21"/>
        <v>3174</v>
      </c>
      <c r="I50" s="257">
        <f t="shared" si="13"/>
        <v>5.064548162859972</v>
      </c>
      <c r="L50" s="44" t="s">
        <v>30</v>
      </c>
      <c r="M50" s="40">
        <f aca="true" t="shared" si="22" ref="M50:V50">+M47+M48+M49</f>
        <v>209962</v>
      </c>
      <c r="N50" s="41">
        <f t="shared" si="22"/>
        <v>212422</v>
      </c>
      <c r="O50" s="40">
        <f t="shared" si="22"/>
        <v>422384</v>
      </c>
      <c r="P50" s="40">
        <f t="shared" si="22"/>
        <v>258</v>
      </c>
      <c r="Q50" s="40">
        <f t="shared" si="22"/>
        <v>422642</v>
      </c>
      <c r="R50" s="40">
        <f t="shared" si="22"/>
        <v>229058</v>
      </c>
      <c r="S50" s="41">
        <f t="shared" si="22"/>
        <v>232981</v>
      </c>
      <c r="T50" s="40">
        <f t="shared" si="22"/>
        <v>462039</v>
      </c>
      <c r="U50" s="40">
        <f t="shared" si="22"/>
        <v>197</v>
      </c>
      <c r="V50" s="40">
        <f t="shared" si="22"/>
        <v>462236</v>
      </c>
      <c r="W50" s="257">
        <f t="shared" si="14"/>
        <v>9.36821234046783</v>
      </c>
    </row>
    <row r="51" spans="2:23" ht="14.25" thickBot="1" thickTop="1">
      <c r="B51" s="39" t="s">
        <v>66</v>
      </c>
      <c r="C51" s="40">
        <f aca="true" t="shared" si="23" ref="C51:H51">+C42+C46+C50</f>
        <v>4581</v>
      </c>
      <c r="D51" s="41">
        <f t="shared" si="23"/>
        <v>4578</v>
      </c>
      <c r="E51" s="40">
        <f t="shared" si="23"/>
        <v>9159</v>
      </c>
      <c r="F51" s="76">
        <f t="shared" si="23"/>
        <v>4767</v>
      </c>
      <c r="G51" s="77">
        <f t="shared" si="23"/>
        <v>4768</v>
      </c>
      <c r="H51" s="78">
        <f t="shared" si="23"/>
        <v>9535</v>
      </c>
      <c r="I51" s="257">
        <f t="shared" si="13"/>
        <v>4.105251665028931</v>
      </c>
      <c r="L51" s="39" t="s">
        <v>66</v>
      </c>
      <c r="M51" s="40">
        <f aca="true" t="shared" si="24" ref="M51:V51">+M42+M46+M50</f>
        <v>627956</v>
      </c>
      <c r="N51" s="141">
        <f t="shared" si="24"/>
        <v>636609</v>
      </c>
      <c r="O51" s="142">
        <f t="shared" si="24"/>
        <v>1264565</v>
      </c>
      <c r="P51" s="142">
        <f t="shared" si="24"/>
        <v>562</v>
      </c>
      <c r="Q51" s="142">
        <f t="shared" si="24"/>
        <v>1265127</v>
      </c>
      <c r="R51" s="40">
        <f t="shared" si="24"/>
        <v>697071</v>
      </c>
      <c r="S51" s="141">
        <f t="shared" si="24"/>
        <v>707960</v>
      </c>
      <c r="T51" s="142">
        <f t="shared" si="24"/>
        <v>1405031</v>
      </c>
      <c r="U51" s="142">
        <f t="shared" si="24"/>
        <v>699</v>
      </c>
      <c r="V51" s="142">
        <f t="shared" si="24"/>
        <v>1405730</v>
      </c>
      <c r="W51" s="257">
        <f t="shared" si="14"/>
        <v>11.113745892704841</v>
      </c>
    </row>
    <row r="52" spans="2:23" ht="14.25" thickBot="1" thickTop="1">
      <c r="B52" s="39" t="s">
        <v>9</v>
      </c>
      <c r="C52" s="40">
        <f aca="true" t="shared" si="25" ref="C52:H52">C38+C42+C46+C50</f>
        <v>6019</v>
      </c>
      <c r="D52" s="41">
        <f t="shared" si="25"/>
        <v>6024</v>
      </c>
      <c r="E52" s="40">
        <f t="shared" si="25"/>
        <v>12043</v>
      </c>
      <c r="F52" s="40">
        <f t="shared" si="25"/>
        <v>6361</v>
      </c>
      <c r="G52" s="41">
        <f t="shared" si="25"/>
        <v>6351</v>
      </c>
      <c r="H52" s="40">
        <f t="shared" si="25"/>
        <v>12712</v>
      </c>
      <c r="I52" s="257">
        <f t="shared" si="13"/>
        <v>5.555094245619863</v>
      </c>
      <c r="L52" s="39" t="s">
        <v>9</v>
      </c>
      <c r="M52" s="40">
        <f aca="true" t="shared" si="26" ref="M52:V52">M38+M42+M46+M50</f>
        <v>810057</v>
      </c>
      <c r="N52" s="41">
        <f t="shared" si="26"/>
        <v>819597</v>
      </c>
      <c r="O52" s="40">
        <f t="shared" si="26"/>
        <v>1629654</v>
      </c>
      <c r="P52" s="40">
        <f t="shared" si="26"/>
        <v>762</v>
      </c>
      <c r="Q52" s="40">
        <f t="shared" si="26"/>
        <v>1630416</v>
      </c>
      <c r="R52" s="40">
        <f t="shared" si="26"/>
        <v>892032</v>
      </c>
      <c r="S52" s="41">
        <f t="shared" si="26"/>
        <v>903864</v>
      </c>
      <c r="T52" s="40">
        <f t="shared" si="26"/>
        <v>1795896</v>
      </c>
      <c r="U52" s="40">
        <f t="shared" si="26"/>
        <v>1193</v>
      </c>
      <c r="V52" s="40">
        <f t="shared" si="26"/>
        <v>1797089</v>
      </c>
      <c r="W52" s="257">
        <f t="shared" si="14"/>
        <v>10.222728432498208</v>
      </c>
    </row>
    <row r="53" spans="2:12" ht="13.5" thickTop="1">
      <c r="B53" s="63" t="s">
        <v>64</v>
      </c>
      <c r="L53" s="63" t="s">
        <v>64</v>
      </c>
    </row>
    <row r="54" spans="2:23" ht="12.75">
      <c r="B54" s="336" t="s">
        <v>36</v>
      </c>
      <c r="C54" s="336"/>
      <c r="D54" s="336"/>
      <c r="E54" s="336"/>
      <c r="F54" s="336"/>
      <c r="G54" s="336"/>
      <c r="H54" s="336"/>
      <c r="I54" s="336"/>
      <c r="L54" s="336" t="s">
        <v>37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</row>
    <row r="55" spans="2:23" ht="15.75">
      <c r="B55" s="337" t="s">
        <v>38</v>
      </c>
      <c r="C55" s="337"/>
      <c r="D55" s="337"/>
      <c r="E55" s="337"/>
      <c r="F55" s="337"/>
      <c r="G55" s="337"/>
      <c r="H55" s="337"/>
      <c r="I55" s="337"/>
      <c r="L55" s="337" t="s">
        <v>39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ht="13.5" thickBot="1"/>
    <row r="57" spans="2:23" ht="17.25" thickBot="1" thickTop="1">
      <c r="B57" s="3"/>
      <c r="C57" s="341" t="s">
        <v>67</v>
      </c>
      <c r="D57" s="342"/>
      <c r="E57" s="343"/>
      <c r="F57" s="344" t="s">
        <v>68</v>
      </c>
      <c r="G57" s="345"/>
      <c r="H57" s="346"/>
      <c r="I57" s="239" t="s">
        <v>4</v>
      </c>
      <c r="L57" s="3"/>
      <c r="M57" s="347" t="s">
        <v>67</v>
      </c>
      <c r="N57" s="348"/>
      <c r="O57" s="348"/>
      <c r="P57" s="348"/>
      <c r="Q57" s="349"/>
      <c r="R57" s="338" t="s">
        <v>68</v>
      </c>
      <c r="S57" s="339"/>
      <c r="T57" s="339"/>
      <c r="U57" s="339"/>
      <c r="V57" s="340"/>
      <c r="W57" s="239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0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0" t="s">
        <v>6</v>
      </c>
    </row>
    <row r="59" spans="2:23" ht="13.5" thickBot="1">
      <c r="B59" s="12" t="s">
        <v>40</v>
      </c>
      <c r="C59" s="13" t="s">
        <v>7</v>
      </c>
      <c r="D59" s="230" t="s">
        <v>8</v>
      </c>
      <c r="E59" s="14" t="s">
        <v>9</v>
      </c>
      <c r="F59" s="13" t="s">
        <v>7</v>
      </c>
      <c r="G59" s="230" t="s">
        <v>8</v>
      </c>
      <c r="H59" s="14" t="s">
        <v>9</v>
      </c>
      <c r="I59" s="241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1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4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07"/>
    </row>
    <row r="61" spans="2:23" ht="12.75">
      <c r="B61" s="140" t="s">
        <v>14</v>
      </c>
      <c r="C61" s="71">
        <f aca="true" t="shared" si="27" ref="C61:H62">+C9+C35</f>
        <v>564</v>
      </c>
      <c r="D61" s="72">
        <f t="shared" si="27"/>
        <v>563</v>
      </c>
      <c r="E61" s="81">
        <f t="shared" si="27"/>
        <v>1127</v>
      </c>
      <c r="F61" s="71">
        <f t="shared" si="27"/>
        <v>648</v>
      </c>
      <c r="G61" s="72">
        <f t="shared" si="27"/>
        <v>646</v>
      </c>
      <c r="H61" s="73">
        <f t="shared" si="27"/>
        <v>1294</v>
      </c>
      <c r="I61" s="256">
        <f aca="true" t="shared" si="28" ref="I61:I78">IF(E61=0,0,((H61/E61)-1)*100)</f>
        <v>14.81810115350488</v>
      </c>
      <c r="L61" s="4" t="s">
        <v>14</v>
      </c>
      <c r="M61" s="29">
        <f aca="true" t="shared" si="29" ref="M61:V61">+M9+M35</f>
        <v>71398</v>
      </c>
      <c r="N61" s="36">
        <f t="shared" si="29"/>
        <v>79187</v>
      </c>
      <c r="O61" s="33">
        <f t="shared" si="29"/>
        <v>150585</v>
      </c>
      <c r="P61" s="34">
        <f t="shared" si="29"/>
        <v>123</v>
      </c>
      <c r="Q61" s="35">
        <f t="shared" si="29"/>
        <v>150708</v>
      </c>
      <c r="R61" s="29">
        <f t="shared" si="29"/>
        <v>80655</v>
      </c>
      <c r="S61" s="36">
        <f t="shared" si="29"/>
        <v>76784</v>
      </c>
      <c r="T61" s="33">
        <f t="shared" si="29"/>
        <v>157439</v>
      </c>
      <c r="U61" s="34">
        <f t="shared" si="29"/>
        <v>298</v>
      </c>
      <c r="V61" s="31">
        <f t="shared" si="29"/>
        <v>157737</v>
      </c>
      <c r="W61" s="256">
        <f aca="true" t="shared" si="30" ref="W61:W78">IF(Q61=0,0,((V61/Q61)-1)*100)</f>
        <v>4.663985986145391</v>
      </c>
    </row>
    <row r="62" spans="2:23" ht="12.75">
      <c r="B62" s="140" t="s">
        <v>15</v>
      </c>
      <c r="C62" s="71">
        <f t="shared" si="27"/>
        <v>529</v>
      </c>
      <c r="D62" s="72">
        <f t="shared" si="27"/>
        <v>532</v>
      </c>
      <c r="E62" s="81">
        <f t="shared" si="27"/>
        <v>1061</v>
      </c>
      <c r="F62" s="71">
        <f t="shared" si="27"/>
        <v>572</v>
      </c>
      <c r="G62" s="72">
        <f t="shared" si="27"/>
        <v>573</v>
      </c>
      <c r="H62" s="73">
        <f t="shared" si="27"/>
        <v>1145</v>
      </c>
      <c r="I62" s="256">
        <f t="shared" si="28"/>
        <v>7.917059377945335</v>
      </c>
      <c r="L62" s="4" t="s">
        <v>15</v>
      </c>
      <c r="M62" s="29">
        <f aca="true" t="shared" si="31" ref="M62:V62">+M10+M36</f>
        <v>62022</v>
      </c>
      <c r="N62" s="36">
        <f t="shared" si="31"/>
        <v>60390</v>
      </c>
      <c r="O62" s="33">
        <f t="shared" si="31"/>
        <v>122412</v>
      </c>
      <c r="P62" s="34">
        <f t="shared" si="31"/>
        <v>31</v>
      </c>
      <c r="Q62" s="35">
        <f t="shared" si="31"/>
        <v>122443</v>
      </c>
      <c r="R62" s="29">
        <f t="shared" si="31"/>
        <v>65399</v>
      </c>
      <c r="S62" s="36">
        <f t="shared" si="31"/>
        <v>66235</v>
      </c>
      <c r="T62" s="33">
        <f t="shared" si="31"/>
        <v>131634</v>
      </c>
      <c r="U62" s="34">
        <f t="shared" si="31"/>
        <v>0</v>
      </c>
      <c r="V62" s="31">
        <f t="shared" si="31"/>
        <v>131634</v>
      </c>
      <c r="W62" s="256">
        <f t="shared" si="30"/>
        <v>7.506349893419806</v>
      </c>
    </row>
    <row r="63" spans="2:23" ht="13.5" thickBot="1">
      <c r="B63" s="140" t="s">
        <v>16</v>
      </c>
      <c r="C63" s="74">
        <f>+C11+C37</f>
        <v>568</v>
      </c>
      <c r="D63" s="75">
        <f>+D11+D37</f>
        <v>568</v>
      </c>
      <c r="E63" s="82">
        <f>E11+E37</f>
        <v>1136</v>
      </c>
      <c r="F63" s="74">
        <f>+F11+F37</f>
        <v>620</v>
      </c>
      <c r="G63" s="75">
        <f>+G11+G37</f>
        <v>619</v>
      </c>
      <c r="H63" s="73">
        <f>+H11+H37</f>
        <v>1239</v>
      </c>
      <c r="I63" s="256">
        <f t="shared" si="28"/>
        <v>9.0669014084507</v>
      </c>
      <c r="L63" s="4" t="s">
        <v>16</v>
      </c>
      <c r="M63" s="29">
        <f aca="true" t="shared" si="32" ref="M63:V63">+M11+M37</f>
        <v>76198</v>
      </c>
      <c r="N63" s="36">
        <f t="shared" si="32"/>
        <v>70869</v>
      </c>
      <c r="O63" s="33">
        <f t="shared" si="32"/>
        <v>147067</v>
      </c>
      <c r="P63" s="34">
        <f t="shared" si="32"/>
        <v>46</v>
      </c>
      <c r="Q63" s="35">
        <f t="shared" si="32"/>
        <v>147113</v>
      </c>
      <c r="R63" s="29">
        <f t="shared" si="32"/>
        <v>81448</v>
      </c>
      <c r="S63" s="36">
        <f t="shared" si="32"/>
        <v>83635</v>
      </c>
      <c r="T63" s="33">
        <f t="shared" si="32"/>
        <v>165083</v>
      </c>
      <c r="U63" s="34">
        <f t="shared" si="32"/>
        <v>355</v>
      </c>
      <c r="V63" s="31">
        <f t="shared" si="32"/>
        <v>165438</v>
      </c>
      <c r="W63" s="256">
        <f t="shared" si="30"/>
        <v>12.456411058166172</v>
      </c>
    </row>
    <row r="64" spans="2:23" ht="14.25" thickBot="1" thickTop="1">
      <c r="B64" s="39" t="s">
        <v>17</v>
      </c>
      <c r="C64" s="76">
        <f>C63+C61+C62</f>
        <v>1661</v>
      </c>
      <c r="D64" s="77">
        <f>D63+D61+D62</f>
        <v>1663</v>
      </c>
      <c r="E64" s="83">
        <f>E62+E61+E63</f>
        <v>3324</v>
      </c>
      <c r="F64" s="76">
        <f>F63+F61+F62</f>
        <v>1840</v>
      </c>
      <c r="G64" s="77">
        <f>G63+G61+G62</f>
        <v>1838</v>
      </c>
      <c r="H64" s="78">
        <f>+H61+H62+H63</f>
        <v>3678</v>
      </c>
      <c r="I64" s="257">
        <f t="shared" si="28"/>
        <v>10.649819494584833</v>
      </c>
      <c r="L64" s="39" t="s">
        <v>17</v>
      </c>
      <c r="M64" s="40">
        <f aca="true" t="shared" si="33" ref="M64:V64">+M61+M62+M63</f>
        <v>209618</v>
      </c>
      <c r="N64" s="41">
        <f t="shared" si="33"/>
        <v>210446</v>
      </c>
      <c r="O64" s="40">
        <f t="shared" si="33"/>
        <v>420064</v>
      </c>
      <c r="P64" s="40">
        <f t="shared" si="33"/>
        <v>200</v>
      </c>
      <c r="Q64" s="40">
        <f t="shared" si="33"/>
        <v>420264</v>
      </c>
      <c r="R64" s="40">
        <f t="shared" si="33"/>
        <v>227502</v>
      </c>
      <c r="S64" s="41">
        <f t="shared" si="33"/>
        <v>226654</v>
      </c>
      <c r="T64" s="40">
        <f t="shared" si="33"/>
        <v>454156</v>
      </c>
      <c r="U64" s="40">
        <f t="shared" si="33"/>
        <v>653</v>
      </c>
      <c r="V64" s="42">
        <f t="shared" si="33"/>
        <v>454809</v>
      </c>
      <c r="W64" s="257">
        <f t="shared" si="30"/>
        <v>8.21983324767288</v>
      </c>
    </row>
    <row r="65" spans="2:23" ht="13.5" thickTop="1">
      <c r="B65" s="4" t="s">
        <v>18</v>
      </c>
      <c r="C65" s="166">
        <f aca="true" t="shared" si="34" ref="C65:H67">+C13+C39</f>
        <v>548</v>
      </c>
      <c r="D65" s="90">
        <f t="shared" si="34"/>
        <v>548</v>
      </c>
      <c r="E65" s="81">
        <f t="shared" si="34"/>
        <v>1096</v>
      </c>
      <c r="F65" s="166">
        <f t="shared" si="34"/>
        <v>602</v>
      </c>
      <c r="G65" s="90">
        <f t="shared" si="34"/>
        <v>602</v>
      </c>
      <c r="H65" s="73">
        <f t="shared" si="34"/>
        <v>1204</v>
      </c>
      <c r="I65" s="264">
        <f t="shared" si="28"/>
        <v>9.85401459854014</v>
      </c>
      <c r="L65" s="4" t="s">
        <v>18</v>
      </c>
      <c r="M65" s="156">
        <f aca="true" t="shared" si="35" ref="M65:U65">+M13+M39</f>
        <v>70097</v>
      </c>
      <c r="N65" s="36">
        <f t="shared" si="35"/>
        <v>72081</v>
      </c>
      <c r="O65" s="33">
        <f t="shared" si="35"/>
        <v>142178</v>
      </c>
      <c r="P65" s="34">
        <f t="shared" si="35"/>
        <v>127</v>
      </c>
      <c r="Q65" s="35">
        <f t="shared" si="35"/>
        <v>142305</v>
      </c>
      <c r="R65" s="167">
        <f t="shared" si="35"/>
        <v>81929</v>
      </c>
      <c r="S65" s="168">
        <f t="shared" si="35"/>
        <v>84831</v>
      </c>
      <c r="T65" s="35">
        <f t="shared" si="35"/>
        <v>166760</v>
      </c>
      <c r="U65" s="150">
        <f t="shared" si="35"/>
        <v>108</v>
      </c>
      <c r="V65" s="35">
        <f>+T65+U65</f>
        <v>166868</v>
      </c>
      <c r="W65" s="264">
        <f t="shared" si="30"/>
        <v>17.26081304240892</v>
      </c>
    </row>
    <row r="66" spans="2:23" ht="12.75">
      <c r="B66" s="4" t="s">
        <v>19</v>
      </c>
      <c r="C66" s="29">
        <f t="shared" si="34"/>
        <v>532</v>
      </c>
      <c r="D66" s="60">
        <f t="shared" si="34"/>
        <v>532</v>
      </c>
      <c r="E66" s="35">
        <f t="shared" si="34"/>
        <v>1064</v>
      </c>
      <c r="F66" s="29">
        <f t="shared" si="34"/>
        <v>541</v>
      </c>
      <c r="G66" s="60">
        <f t="shared" si="34"/>
        <v>541</v>
      </c>
      <c r="H66" s="31">
        <f t="shared" si="34"/>
        <v>1082</v>
      </c>
      <c r="I66" s="256">
        <f t="shared" si="28"/>
        <v>1.6917293233082775</v>
      </c>
      <c r="L66" s="4" t="s">
        <v>19</v>
      </c>
      <c r="M66" s="29">
        <f aca="true" t="shared" si="36" ref="M66:Q67">+M14+M40</f>
        <v>72083</v>
      </c>
      <c r="N66" s="36">
        <f t="shared" si="36"/>
        <v>74979</v>
      </c>
      <c r="O66" s="33">
        <f t="shared" si="36"/>
        <v>147062</v>
      </c>
      <c r="P66" s="34">
        <f t="shared" si="36"/>
        <v>0</v>
      </c>
      <c r="Q66" s="35">
        <f t="shared" si="36"/>
        <v>147062</v>
      </c>
      <c r="R66" s="167">
        <f>+R40+R14</f>
        <v>80770</v>
      </c>
      <c r="S66" s="168">
        <f>+S40+S14</f>
        <v>81894</v>
      </c>
      <c r="T66" s="35">
        <f>+T14+T40</f>
        <v>162664</v>
      </c>
      <c r="U66" s="150">
        <f>+U14+U40</f>
        <v>0</v>
      </c>
      <c r="V66" s="35">
        <f>+T66+U66</f>
        <v>162664</v>
      </c>
      <c r="W66" s="256">
        <f t="shared" si="30"/>
        <v>10.609130842773794</v>
      </c>
    </row>
    <row r="67" spans="2:23" ht="13.5" thickBot="1">
      <c r="B67" s="12" t="s">
        <v>20</v>
      </c>
      <c r="C67" s="29">
        <f t="shared" si="34"/>
        <v>596</v>
      </c>
      <c r="D67" s="60">
        <f t="shared" si="34"/>
        <v>596</v>
      </c>
      <c r="E67" s="69">
        <f t="shared" si="34"/>
        <v>1192</v>
      </c>
      <c r="F67" s="29">
        <f t="shared" si="34"/>
        <v>639</v>
      </c>
      <c r="G67" s="60">
        <f t="shared" si="34"/>
        <v>637</v>
      </c>
      <c r="H67" s="31">
        <f t="shared" si="34"/>
        <v>1276</v>
      </c>
      <c r="I67" s="256">
        <f t="shared" si="28"/>
        <v>7.0469798657718075</v>
      </c>
      <c r="L67" s="12" t="s">
        <v>20</v>
      </c>
      <c r="M67" s="68">
        <f t="shared" si="36"/>
        <v>88465</v>
      </c>
      <c r="N67" s="92">
        <f t="shared" si="36"/>
        <v>88495</v>
      </c>
      <c r="O67" s="33">
        <f t="shared" si="36"/>
        <v>176960</v>
      </c>
      <c r="P67" s="34">
        <f t="shared" si="36"/>
        <v>187</v>
      </c>
      <c r="Q67" s="35">
        <f t="shared" si="36"/>
        <v>177147</v>
      </c>
      <c r="R67" s="167">
        <f>+R15+R41</f>
        <v>96958</v>
      </c>
      <c r="S67" s="168">
        <f>+S15+S41</f>
        <v>97781</v>
      </c>
      <c r="T67" s="33">
        <f>+T15+T41</f>
        <v>194739</v>
      </c>
      <c r="U67" s="150">
        <f>+U15+U41</f>
        <v>0</v>
      </c>
      <c r="V67" s="31">
        <f>+T67+U67</f>
        <v>194739</v>
      </c>
      <c r="W67" s="256">
        <f t="shared" si="30"/>
        <v>9.930735490863519</v>
      </c>
    </row>
    <row r="68" spans="2:23" ht="14.25" thickBot="1" thickTop="1">
      <c r="B68" s="39" t="s">
        <v>21</v>
      </c>
      <c r="C68" s="40">
        <f aca="true" t="shared" si="37" ref="C68:H68">C65+C66+C67</f>
        <v>1676</v>
      </c>
      <c r="D68" s="41">
        <f t="shared" si="37"/>
        <v>1676</v>
      </c>
      <c r="E68" s="40">
        <f t="shared" si="37"/>
        <v>3352</v>
      </c>
      <c r="F68" s="76">
        <f t="shared" si="37"/>
        <v>1782</v>
      </c>
      <c r="G68" s="77">
        <f t="shared" si="37"/>
        <v>1780</v>
      </c>
      <c r="H68" s="78">
        <f t="shared" si="37"/>
        <v>3562</v>
      </c>
      <c r="I68" s="257">
        <f>IF(E68=0,0,((H68/E68)-1)*100)</f>
        <v>6.264916467780424</v>
      </c>
      <c r="L68" s="39" t="s">
        <v>21</v>
      </c>
      <c r="M68" s="40">
        <f aca="true" t="shared" si="38" ref="M68:V68">M65+M66+M67</f>
        <v>230645</v>
      </c>
      <c r="N68" s="141">
        <f t="shared" si="38"/>
        <v>235555</v>
      </c>
      <c r="O68" s="142">
        <f t="shared" si="38"/>
        <v>466200</v>
      </c>
      <c r="P68" s="142">
        <f t="shared" si="38"/>
        <v>314</v>
      </c>
      <c r="Q68" s="142">
        <f t="shared" si="38"/>
        <v>466514</v>
      </c>
      <c r="R68" s="40">
        <f t="shared" si="38"/>
        <v>259657</v>
      </c>
      <c r="S68" s="141">
        <f t="shared" si="38"/>
        <v>264506</v>
      </c>
      <c r="T68" s="142">
        <f t="shared" si="38"/>
        <v>524163</v>
      </c>
      <c r="U68" s="142">
        <f t="shared" si="38"/>
        <v>108</v>
      </c>
      <c r="V68" s="142">
        <f t="shared" si="38"/>
        <v>524271</v>
      </c>
      <c r="W68" s="257">
        <f>IF(Q68=0,0,((V68/Q68)-1)*100)</f>
        <v>12.38055020856823</v>
      </c>
    </row>
    <row r="69" spans="2:23" ht="13.5" thickTop="1">
      <c r="B69" s="4" t="s">
        <v>22</v>
      </c>
      <c r="C69" s="93">
        <f>+C17+C43</f>
        <v>623</v>
      </c>
      <c r="D69" s="60">
        <f>+D17+D43</f>
        <v>623</v>
      </c>
      <c r="E69" s="67">
        <f>+E17+E43</f>
        <v>1246</v>
      </c>
      <c r="F69" s="166">
        <f>+F17+F43</f>
        <v>652</v>
      </c>
      <c r="G69" s="90">
        <f>+G17+G43</f>
        <v>653</v>
      </c>
      <c r="H69" s="35">
        <f>+G69+F69</f>
        <v>1305</v>
      </c>
      <c r="I69" s="256">
        <f t="shared" si="28"/>
        <v>4.73515248796148</v>
      </c>
      <c r="L69" s="4" t="s">
        <v>22</v>
      </c>
      <c r="M69" s="29">
        <f aca="true" t="shared" si="39" ref="M69:U69">+M17+M43</f>
        <v>88015</v>
      </c>
      <c r="N69" s="30">
        <f t="shared" si="39"/>
        <v>88657</v>
      </c>
      <c r="O69" s="31">
        <f t="shared" si="39"/>
        <v>176672</v>
      </c>
      <c r="P69" s="138">
        <f t="shared" si="39"/>
        <v>0</v>
      </c>
      <c r="Q69" s="35">
        <f t="shared" si="39"/>
        <v>176672</v>
      </c>
      <c r="R69" s="167">
        <f t="shared" si="39"/>
        <v>93122</v>
      </c>
      <c r="S69" s="168">
        <f t="shared" si="39"/>
        <v>94520</v>
      </c>
      <c r="T69" s="169">
        <f t="shared" si="39"/>
        <v>187642</v>
      </c>
      <c r="U69" s="150">
        <f t="shared" si="39"/>
        <v>130</v>
      </c>
      <c r="V69" s="31">
        <f>+T69+U69</f>
        <v>187772</v>
      </c>
      <c r="W69" s="274">
        <f t="shared" si="30"/>
        <v>6.282829197609119</v>
      </c>
    </row>
    <row r="70" spans="2:23" ht="12.75">
      <c r="B70" s="4" t="s">
        <v>23</v>
      </c>
      <c r="C70" s="29">
        <f>+C18+C44</f>
        <v>599</v>
      </c>
      <c r="D70" s="60">
        <f>+D18+D44</f>
        <v>600</v>
      </c>
      <c r="E70" s="35">
        <f>+C70+D70</f>
        <v>1199</v>
      </c>
      <c r="F70" s="29">
        <f>+F44+F18</f>
        <v>600</v>
      </c>
      <c r="G70" s="60">
        <f>+G44+G18</f>
        <v>600</v>
      </c>
      <c r="H70" s="35">
        <f>+G70+F70</f>
        <v>1200</v>
      </c>
      <c r="I70" s="256">
        <f>IF(E70=0,0,((H70/E70)-1)*100)</f>
        <v>0.08340283569641116</v>
      </c>
      <c r="L70" s="4" t="s">
        <v>23</v>
      </c>
      <c r="M70" s="29">
        <f aca="true" t="shared" si="40" ref="M70:Q71">+M18+M44</f>
        <v>80123</v>
      </c>
      <c r="N70" s="30">
        <f t="shared" si="40"/>
        <v>79825</v>
      </c>
      <c r="O70" s="31">
        <f t="shared" si="40"/>
        <v>159948</v>
      </c>
      <c r="P70" s="138">
        <f t="shared" si="40"/>
        <v>177</v>
      </c>
      <c r="Q70" s="35">
        <f t="shared" si="40"/>
        <v>160125</v>
      </c>
      <c r="R70" s="133">
        <f>+R44+R18</f>
        <v>85785</v>
      </c>
      <c r="S70" s="60">
        <f>+S44+S18</f>
        <v>86528</v>
      </c>
      <c r="T70" s="221">
        <f>+T18+T44</f>
        <v>172313</v>
      </c>
      <c r="U70" s="34">
        <f>+U44+U18</f>
        <v>355</v>
      </c>
      <c r="V70" s="31">
        <f>+T70+U70</f>
        <v>172668</v>
      </c>
      <c r="W70" s="265">
        <f>IF(Q70=0,0,((V70/Q70)-1)*100)</f>
        <v>7.833255269320838</v>
      </c>
    </row>
    <row r="71" spans="2:23" ht="13.5" thickBot="1">
      <c r="B71" s="4" t="s">
        <v>24</v>
      </c>
      <c r="C71" s="29">
        <f>+C19+C45</f>
        <v>561</v>
      </c>
      <c r="D71" s="60">
        <f>+D19+D45</f>
        <v>561</v>
      </c>
      <c r="E71" s="35">
        <f>+C71+D71</f>
        <v>1122</v>
      </c>
      <c r="F71" s="29">
        <f>+F45+F19</f>
        <v>583</v>
      </c>
      <c r="G71" s="60">
        <f>+G45+G19</f>
        <v>584</v>
      </c>
      <c r="H71" s="31">
        <f>+G71+F71</f>
        <v>1167</v>
      </c>
      <c r="I71" s="256">
        <f t="shared" si="28"/>
        <v>4.010695187165769</v>
      </c>
      <c r="L71" s="4" t="s">
        <v>24</v>
      </c>
      <c r="M71" s="29">
        <f t="shared" si="40"/>
        <v>68105</v>
      </c>
      <c r="N71" s="30">
        <f t="shared" si="40"/>
        <v>68645</v>
      </c>
      <c r="O71" s="31">
        <f t="shared" si="40"/>
        <v>136750</v>
      </c>
      <c r="P71" s="138">
        <f t="shared" si="40"/>
        <v>0</v>
      </c>
      <c r="Q71" s="35">
        <f t="shared" si="40"/>
        <v>136750</v>
      </c>
      <c r="R71" s="133">
        <f>+R45+R19</f>
        <v>78261</v>
      </c>
      <c r="S71" s="60">
        <f>+S45+S19</f>
        <v>78617</v>
      </c>
      <c r="T71" s="221">
        <f>+T19+T45</f>
        <v>156878</v>
      </c>
      <c r="U71" s="150">
        <f>+U19+U45</f>
        <v>271</v>
      </c>
      <c r="V71" s="31">
        <f>+T71+U71</f>
        <v>157149</v>
      </c>
      <c r="W71" s="266">
        <f t="shared" si="30"/>
        <v>14.917001828153564</v>
      </c>
    </row>
    <row r="72" spans="2:23" ht="14.25" thickBot="1" thickTop="1">
      <c r="B72" s="44" t="s">
        <v>25</v>
      </c>
      <c r="C72" s="40">
        <f aca="true" t="shared" si="41" ref="C72:H72">+C69+C70+C71</f>
        <v>1783</v>
      </c>
      <c r="D72" s="53">
        <f t="shared" si="41"/>
        <v>1784</v>
      </c>
      <c r="E72" s="40">
        <f t="shared" si="41"/>
        <v>3567</v>
      </c>
      <c r="F72" s="40">
        <f t="shared" si="41"/>
        <v>1835</v>
      </c>
      <c r="G72" s="53">
        <f t="shared" si="41"/>
        <v>1837</v>
      </c>
      <c r="H72" s="53">
        <f t="shared" si="41"/>
        <v>3672</v>
      </c>
      <c r="I72" s="257">
        <f t="shared" si="28"/>
        <v>2.9436501261564274</v>
      </c>
      <c r="L72" s="44" t="s">
        <v>25</v>
      </c>
      <c r="M72" s="170">
        <f aca="true" t="shared" si="42" ref="M72:V72">+M69+M70+M71</f>
        <v>236243</v>
      </c>
      <c r="N72" s="171">
        <f t="shared" si="42"/>
        <v>237127</v>
      </c>
      <c r="O72" s="172">
        <f t="shared" si="42"/>
        <v>473370</v>
      </c>
      <c r="P72" s="173">
        <f t="shared" si="42"/>
        <v>177</v>
      </c>
      <c r="Q72" s="174">
        <f t="shared" si="42"/>
        <v>473547</v>
      </c>
      <c r="R72" s="219">
        <f t="shared" si="42"/>
        <v>257168</v>
      </c>
      <c r="S72" s="174">
        <f t="shared" si="42"/>
        <v>259665</v>
      </c>
      <c r="T72" s="174">
        <f t="shared" si="42"/>
        <v>516833</v>
      </c>
      <c r="U72" s="174">
        <f t="shared" si="42"/>
        <v>756</v>
      </c>
      <c r="V72" s="174">
        <f t="shared" si="42"/>
        <v>517589</v>
      </c>
      <c r="W72" s="257">
        <f t="shared" si="30"/>
        <v>9.300449585785575</v>
      </c>
    </row>
    <row r="73" spans="2:23" ht="13.5" thickTop="1">
      <c r="B73" s="4" t="s">
        <v>26</v>
      </c>
      <c r="C73" s="156">
        <f>+C21+C47</f>
        <v>574</v>
      </c>
      <c r="D73" s="60">
        <f>+D21+D47</f>
        <v>573</v>
      </c>
      <c r="E73" s="67">
        <f>+E21+E47</f>
        <v>1147</v>
      </c>
      <c r="F73" s="156">
        <f>+F21+F47</f>
        <v>610</v>
      </c>
      <c r="G73" s="60">
        <f>+G21+G47</f>
        <v>610</v>
      </c>
      <c r="H73" s="35">
        <f>+G73+F73</f>
        <v>1220</v>
      </c>
      <c r="I73" s="256">
        <f>IF(E73=0,0,((H73/E73)-1)*100)</f>
        <v>6.3644289450740965</v>
      </c>
      <c r="L73" s="4" t="s">
        <v>26</v>
      </c>
      <c r="M73" s="29">
        <f aca="true" t="shared" si="43" ref="M73:U73">+M21+M47</f>
        <v>77286</v>
      </c>
      <c r="N73" s="30">
        <f t="shared" si="43"/>
        <v>78349</v>
      </c>
      <c r="O73" s="31">
        <f t="shared" si="43"/>
        <v>155635</v>
      </c>
      <c r="P73" s="138">
        <f t="shared" si="43"/>
        <v>140</v>
      </c>
      <c r="Q73" s="35">
        <f t="shared" si="43"/>
        <v>155775</v>
      </c>
      <c r="R73" s="167">
        <f t="shared" si="43"/>
        <v>83164</v>
      </c>
      <c r="S73" s="168">
        <f t="shared" si="43"/>
        <v>82857</v>
      </c>
      <c r="T73" s="169">
        <f t="shared" si="43"/>
        <v>166021</v>
      </c>
      <c r="U73" s="150">
        <f t="shared" si="43"/>
        <v>265</v>
      </c>
      <c r="V73" s="31">
        <f>+T73+U73</f>
        <v>166286</v>
      </c>
      <c r="W73" s="326">
        <f>IF(Q73=0,0,((V73/Q73)-1)*100)</f>
        <v>6.747552559781744</v>
      </c>
    </row>
    <row r="74" spans="2:23" ht="12.75">
      <c r="B74" s="4" t="s">
        <v>28</v>
      </c>
      <c r="C74" s="29">
        <f aca="true" t="shared" si="44" ref="C74:E75">+C22+C48</f>
        <v>581</v>
      </c>
      <c r="D74" s="60">
        <f t="shared" si="44"/>
        <v>581</v>
      </c>
      <c r="E74" s="35">
        <f t="shared" si="44"/>
        <v>1162</v>
      </c>
      <c r="F74" s="29">
        <f>+F48+F22</f>
        <v>593</v>
      </c>
      <c r="G74" s="60">
        <f>+G48+G22</f>
        <v>593</v>
      </c>
      <c r="H74" s="31">
        <f>+G74+F74</f>
        <v>1186</v>
      </c>
      <c r="I74" s="256">
        <f>IF(E74=0,0,((H74/E74)-1)*100)</f>
        <v>2.06540447504302</v>
      </c>
      <c r="L74" s="4" t="s">
        <v>28</v>
      </c>
      <c r="M74" s="29">
        <f aca="true" t="shared" si="45" ref="M74:Q75">+M22+M48</f>
        <v>78595</v>
      </c>
      <c r="N74" s="36">
        <f t="shared" si="45"/>
        <v>79932</v>
      </c>
      <c r="O74" s="51">
        <f t="shared" si="45"/>
        <v>158527</v>
      </c>
      <c r="P74" s="138">
        <f t="shared" si="45"/>
        <v>0</v>
      </c>
      <c r="Q74" s="35">
        <f t="shared" si="45"/>
        <v>158527</v>
      </c>
      <c r="R74" s="133">
        <f>+R48+R22</f>
        <v>89981</v>
      </c>
      <c r="S74" s="60">
        <f>+S48+S22</f>
        <v>89930</v>
      </c>
      <c r="T74" s="221">
        <f>+T22+T48</f>
        <v>179911</v>
      </c>
      <c r="U74" s="34">
        <f>+U22+U48</f>
        <v>215</v>
      </c>
      <c r="V74" s="31">
        <f>+T74+U74</f>
        <v>180126</v>
      </c>
      <c r="W74" s="265">
        <f>IF(Q74=0,0,((V74/Q74)-1)*100)</f>
        <v>13.624808392261256</v>
      </c>
    </row>
    <row r="75" spans="2:23" ht="13.5" thickBot="1">
      <c r="B75" s="4" t="s">
        <v>29</v>
      </c>
      <c r="C75" s="29">
        <f t="shared" si="44"/>
        <v>563</v>
      </c>
      <c r="D75" s="60">
        <f t="shared" si="44"/>
        <v>563</v>
      </c>
      <c r="E75" s="35">
        <f t="shared" si="44"/>
        <v>1126</v>
      </c>
      <c r="F75" s="29">
        <f>+F49+F23</f>
        <v>628</v>
      </c>
      <c r="G75" s="60">
        <f>+G49+G23</f>
        <v>627</v>
      </c>
      <c r="H75" s="31">
        <f>+G75+F75</f>
        <v>1255</v>
      </c>
      <c r="I75" s="256">
        <f>IF(E75=0,0,((H75/E75)-1)*100)</f>
        <v>11.456483126110118</v>
      </c>
      <c r="L75" s="4" t="s">
        <v>29</v>
      </c>
      <c r="M75" s="37">
        <f t="shared" si="45"/>
        <v>79152</v>
      </c>
      <c r="N75" s="175">
        <f t="shared" si="45"/>
        <v>80671</v>
      </c>
      <c r="O75" s="176">
        <f t="shared" si="45"/>
        <v>159823</v>
      </c>
      <c r="P75" s="37">
        <f t="shared" si="45"/>
        <v>118</v>
      </c>
      <c r="Q75" s="176">
        <f t="shared" si="45"/>
        <v>159941</v>
      </c>
      <c r="R75" s="133">
        <f>+R49+R23</f>
        <v>80188</v>
      </c>
      <c r="S75" s="60">
        <f>+S49+S23</f>
        <v>89830</v>
      </c>
      <c r="T75" s="221">
        <f>+T23+T49</f>
        <v>170018</v>
      </c>
      <c r="U75" s="52">
        <f>+U49+U23</f>
        <v>144</v>
      </c>
      <c r="V75" s="327">
        <f>+T75+U75</f>
        <v>170162</v>
      </c>
      <c r="W75" s="266">
        <f>IF(Q75=0,0,((V75/Q75)-1)*100)</f>
        <v>6.39048149004946</v>
      </c>
    </row>
    <row r="76" spans="2:23" ht="14.25" thickBot="1" thickTop="1">
      <c r="B76" s="44" t="s">
        <v>30</v>
      </c>
      <c r="C76" s="40">
        <f aca="true" t="shared" si="46" ref="C76:H76">+C73+C74+C75</f>
        <v>1718</v>
      </c>
      <c r="D76" s="41">
        <f t="shared" si="46"/>
        <v>1717</v>
      </c>
      <c r="E76" s="40">
        <f t="shared" si="46"/>
        <v>3435</v>
      </c>
      <c r="F76" s="40">
        <f t="shared" si="46"/>
        <v>1831</v>
      </c>
      <c r="G76" s="41">
        <f t="shared" si="46"/>
        <v>1830</v>
      </c>
      <c r="H76" s="40">
        <f t="shared" si="46"/>
        <v>3661</v>
      </c>
      <c r="I76" s="257">
        <f t="shared" si="28"/>
        <v>6.579330422125174</v>
      </c>
      <c r="L76" s="44" t="s">
        <v>30</v>
      </c>
      <c r="M76" s="40">
        <f aca="true" t="shared" si="47" ref="M76:V76">+M73+M74+M75</f>
        <v>235033</v>
      </c>
      <c r="N76" s="41">
        <f t="shared" si="47"/>
        <v>238952</v>
      </c>
      <c r="O76" s="40">
        <f t="shared" si="47"/>
        <v>473985</v>
      </c>
      <c r="P76" s="40">
        <f t="shared" si="47"/>
        <v>258</v>
      </c>
      <c r="Q76" s="40">
        <f t="shared" si="47"/>
        <v>474243</v>
      </c>
      <c r="R76" s="142">
        <f t="shared" si="47"/>
        <v>253333</v>
      </c>
      <c r="S76" s="41">
        <f t="shared" si="47"/>
        <v>262617</v>
      </c>
      <c r="T76" s="40">
        <f t="shared" si="47"/>
        <v>515950</v>
      </c>
      <c r="U76" s="40">
        <f t="shared" si="47"/>
        <v>624</v>
      </c>
      <c r="V76" s="40">
        <f t="shared" si="47"/>
        <v>516574</v>
      </c>
      <c r="W76" s="257">
        <f t="shared" si="30"/>
        <v>8.926014722410237</v>
      </c>
    </row>
    <row r="77" spans="2:23" ht="14.25" thickBot="1" thickTop="1">
      <c r="B77" s="39" t="s">
        <v>66</v>
      </c>
      <c r="C77" s="40">
        <f aca="true" t="shared" si="48" ref="C77:H77">+C68+C72+C76</f>
        <v>5177</v>
      </c>
      <c r="D77" s="41">
        <f t="shared" si="48"/>
        <v>5177</v>
      </c>
      <c r="E77" s="40">
        <f t="shared" si="48"/>
        <v>10354</v>
      </c>
      <c r="F77" s="76">
        <f t="shared" si="48"/>
        <v>5448</v>
      </c>
      <c r="G77" s="77">
        <f t="shared" si="48"/>
        <v>5447</v>
      </c>
      <c r="H77" s="78">
        <f t="shared" si="48"/>
        <v>10895</v>
      </c>
      <c r="I77" s="257">
        <f t="shared" si="28"/>
        <v>5.225033803361012</v>
      </c>
      <c r="L77" s="39" t="s">
        <v>66</v>
      </c>
      <c r="M77" s="40">
        <f aca="true" t="shared" si="49" ref="M77:V77">+M68+M72+M76</f>
        <v>701921</v>
      </c>
      <c r="N77" s="141">
        <f t="shared" si="49"/>
        <v>711634</v>
      </c>
      <c r="O77" s="142">
        <f t="shared" si="49"/>
        <v>1413555</v>
      </c>
      <c r="P77" s="142">
        <f t="shared" si="49"/>
        <v>749</v>
      </c>
      <c r="Q77" s="142">
        <f t="shared" si="49"/>
        <v>1414304</v>
      </c>
      <c r="R77" s="40">
        <f t="shared" si="49"/>
        <v>770158</v>
      </c>
      <c r="S77" s="141">
        <f t="shared" si="49"/>
        <v>786788</v>
      </c>
      <c r="T77" s="142">
        <f t="shared" si="49"/>
        <v>1556946</v>
      </c>
      <c r="U77" s="142">
        <f t="shared" si="49"/>
        <v>1488</v>
      </c>
      <c r="V77" s="142">
        <f t="shared" si="49"/>
        <v>1558434</v>
      </c>
      <c r="W77" s="257">
        <f t="shared" si="30"/>
        <v>10.190878340158838</v>
      </c>
    </row>
    <row r="78" spans="2:23" ht="14.25" thickBot="1" thickTop="1">
      <c r="B78" s="39" t="s">
        <v>9</v>
      </c>
      <c r="C78" s="40">
        <f aca="true" t="shared" si="50" ref="C78:H78">C64+C68+C72+C76</f>
        <v>6838</v>
      </c>
      <c r="D78" s="41">
        <f t="shared" si="50"/>
        <v>6840</v>
      </c>
      <c r="E78" s="40">
        <f t="shared" si="50"/>
        <v>13678</v>
      </c>
      <c r="F78" s="40">
        <f t="shared" si="50"/>
        <v>7288</v>
      </c>
      <c r="G78" s="41">
        <f t="shared" si="50"/>
        <v>7285</v>
      </c>
      <c r="H78" s="40">
        <f t="shared" si="50"/>
        <v>14573</v>
      </c>
      <c r="I78" s="257">
        <f t="shared" si="28"/>
        <v>6.543354291563097</v>
      </c>
      <c r="L78" s="39" t="s">
        <v>9</v>
      </c>
      <c r="M78" s="40">
        <f aca="true" t="shared" si="51" ref="M78:V78">M64+M68+M72+M76</f>
        <v>911539</v>
      </c>
      <c r="N78" s="41">
        <f t="shared" si="51"/>
        <v>922080</v>
      </c>
      <c r="O78" s="40">
        <f t="shared" si="51"/>
        <v>1833619</v>
      </c>
      <c r="P78" s="40">
        <f t="shared" si="51"/>
        <v>949</v>
      </c>
      <c r="Q78" s="40">
        <f t="shared" si="51"/>
        <v>1834568</v>
      </c>
      <c r="R78" s="142">
        <f t="shared" si="51"/>
        <v>997660</v>
      </c>
      <c r="S78" s="41">
        <f t="shared" si="51"/>
        <v>1013442</v>
      </c>
      <c r="T78" s="40">
        <f t="shared" si="51"/>
        <v>2011102</v>
      </c>
      <c r="U78" s="40">
        <f t="shared" si="51"/>
        <v>2141</v>
      </c>
      <c r="V78" s="40">
        <f t="shared" si="51"/>
        <v>2013243</v>
      </c>
      <c r="W78" s="257">
        <f t="shared" si="30"/>
        <v>9.739350081327046</v>
      </c>
    </row>
    <row r="79" spans="2:12" ht="13.5" thickTop="1">
      <c r="B79" s="63" t="s">
        <v>64</v>
      </c>
      <c r="L79" s="63" t="s">
        <v>64</v>
      </c>
    </row>
    <row r="80" spans="12:23" ht="12.75">
      <c r="L80" s="336" t="s">
        <v>41</v>
      </c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</row>
    <row r="81" spans="12:23" ht="15.75">
      <c r="L81" s="337" t="s">
        <v>42</v>
      </c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ht="13.5" thickBot="1">
      <c r="W82" s="242" t="s">
        <v>43</v>
      </c>
    </row>
    <row r="83" spans="12:23" ht="17.25" thickBot="1" thickTop="1">
      <c r="L83" s="3"/>
      <c r="M83" s="347" t="s">
        <v>67</v>
      </c>
      <c r="N83" s="348"/>
      <c r="O83" s="348"/>
      <c r="P83" s="348"/>
      <c r="Q83" s="349"/>
      <c r="R83" s="338" t="s">
        <v>68</v>
      </c>
      <c r="S83" s="339"/>
      <c r="T83" s="339"/>
      <c r="U83" s="339"/>
      <c r="V83" s="340"/>
      <c r="W83" s="239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0" t="s">
        <v>6</v>
      </c>
    </row>
    <row r="85" spans="12:23" ht="12" customHeight="1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1"/>
    </row>
    <row r="86" spans="12:23" ht="6.75" customHeight="1" thickTop="1">
      <c r="L86" s="4"/>
      <c r="M86" s="23"/>
      <c r="N86" s="24"/>
      <c r="O86" s="25"/>
      <c r="P86" s="132"/>
      <c r="Q86" s="27"/>
      <c r="R86" s="23"/>
      <c r="S86" s="24"/>
      <c r="T86" s="25"/>
      <c r="U86" s="26"/>
      <c r="V86" s="28"/>
      <c r="W86" s="207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47"/>
      <c r="J87" s="70"/>
      <c r="L87" s="4" t="s">
        <v>14</v>
      </c>
      <c r="M87" s="29">
        <v>0</v>
      </c>
      <c r="N87" s="30">
        <v>0</v>
      </c>
      <c r="O87" s="33">
        <f>+M87+N87</f>
        <v>0</v>
      </c>
      <c r="P87" s="34">
        <v>0</v>
      </c>
      <c r="Q87" s="33">
        <f>O87+P87</f>
        <v>0</v>
      </c>
      <c r="R87" s="29">
        <v>0</v>
      </c>
      <c r="S87" s="30">
        <v>0</v>
      </c>
      <c r="T87" s="33">
        <f>+R87+S87</f>
        <v>0</v>
      </c>
      <c r="U87" s="34">
        <v>0</v>
      </c>
      <c r="V87" s="31">
        <f>+T87+U87</f>
        <v>0</v>
      </c>
      <c r="W87" s="32">
        <v>0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47"/>
      <c r="J88" s="70"/>
      <c r="L88" s="4" t="s">
        <v>15</v>
      </c>
      <c r="M88" s="29">
        <v>0</v>
      </c>
      <c r="N88" s="30">
        <v>0</v>
      </c>
      <c r="O88" s="33">
        <f>+M88+N88</f>
        <v>0</v>
      </c>
      <c r="P88" s="34">
        <v>0</v>
      </c>
      <c r="Q88" s="35">
        <f>O88+P88</f>
        <v>0</v>
      </c>
      <c r="R88" s="29">
        <v>0</v>
      </c>
      <c r="S88" s="30">
        <v>0</v>
      </c>
      <c r="T88" s="33">
        <f>+R88+S88</f>
        <v>0</v>
      </c>
      <c r="U88" s="34">
        <v>0</v>
      </c>
      <c r="V88" s="31">
        <f>+T88+U88</f>
        <v>0</v>
      </c>
      <c r="W88" s="32">
        <f aca="true" t="shared" si="52" ref="W88:W94">IF(Q88=0,0,((V88/Q88)-1)*100)</f>
        <v>0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47"/>
      <c r="J89" s="70"/>
      <c r="L89" s="4" t="s">
        <v>16</v>
      </c>
      <c r="M89" s="37">
        <v>0</v>
      </c>
      <c r="N89" s="38">
        <v>0</v>
      </c>
      <c r="O89" s="33">
        <f>+M89+N89</f>
        <v>0</v>
      </c>
      <c r="P89" s="34">
        <v>0</v>
      </c>
      <c r="Q89" s="35">
        <f>+O89+P89</f>
        <v>0</v>
      </c>
      <c r="R89" s="37">
        <v>0</v>
      </c>
      <c r="S89" s="38">
        <v>0</v>
      </c>
      <c r="T89" s="33">
        <f>+R89+S89</f>
        <v>0</v>
      </c>
      <c r="U89" s="34">
        <v>0</v>
      </c>
      <c r="V89" s="31">
        <f>+T89+U89</f>
        <v>0</v>
      </c>
      <c r="W89" s="32">
        <f t="shared" si="52"/>
        <v>0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47"/>
      <c r="J90" s="70"/>
      <c r="L90" s="39" t="s">
        <v>58</v>
      </c>
      <c r="M90" s="40">
        <f>+M87+M88+M89</f>
        <v>0</v>
      </c>
      <c r="N90" s="41">
        <f>+N87+N88+N89</f>
        <v>0</v>
      </c>
      <c r="O90" s="43">
        <f>+M90+N90</f>
        <v>0</v>
      </c>
      <c r="P90" s="43">
        <f>+P87+P88+P89</f>
        <v>0</v>
      </c>
      <c r="Q90" s="40">
        <f>+Q87+Q88+Q89</f>
        <v>0</v>
      </c>
      <c r="R90" s="40">
        <f>+R87+R88+R89</f>
        <v>0</v>
      </c>
      <c r="S90" s="41">
        <f>+S87+S88+S89</f>
        <v>0</v>
      </c>
      <c r="T90" s="43">
        <f>+R90+S90</f>
        <v>0</v>
      </c>
      <c r="U90" s="43">
        <f>+U87+U88+U89</f>
        <v>0</v>
      </c>
      <c r="V90" s="53">
        <f>+T90+U90</f>
        <v>0</v>
      </c>
      <c r="W90" s="54">
        <f t="shared" si="52"/>
        <v>0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47"/>
      <c r="J91" s="70"/>
      <c r="L91" s="4" t="s">
        <v>18</v>
      </c>
      <c r="M91" s="29">
        <v>0</v>
      </c>
      <c r="N91" s="36">
        <v>0</v>
      </c>
      <c r="O91" s="33">
        <f>M91+N91</f>
        <v>0</v>
      </c>
      <c r="P91" s="34">
        <v>0</v>
      </c>
      <c r="Q91" s="35">
        <f>O91+P91</f>
        <v>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T91+U91</f>
        <v>0</v>
      </c>
      <c r="W91" s="32">
        <f t="shared" si="52"/>
        <v>0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47"/>
      <c r="J92" s="70"/>
      <c r="L92" s="4" t="s">
        <v>19</v>
      </c>
      <c r="M92" s="29">
        <v>0</v>
      </c>
      <c r="N92" s="36">
        <v>0</v>
      </c>
      <c r="O92" s="33">
        <f>M92+N92</f>
        <v>0</v>
      </c>
      <c r="P92" s="34">
        <v>0</v>
      </c>
      <c r="Q92" s="35">
        <f>O92+P92</f>
        <v>0</v>
      </c>
      <c r="R92" s="29">
        <v>0</v>
      </c>
      <c r="S92" s="36">
        <v>0</v>
      </c>
      <c r="T92" s="33">
        <f>R92+S92</f>
        <v>0</v>
      </c>
      <c r="U92" s="34">
        <v>0</v>
      </c>
      <c r="V92" s="31">
        <f>T92+U92</f>
        <v>0</v>
      </c>
      <c r="W92" s="32">
        <f>IF(Q92=0,0,((V92/Q92)-1)*100)</f>
        <v>0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47"/>
      <c r="J93" s="70"/>
      <c r="L93" s="12" t="s">
        <v>20</v>
      </c>
      <c r="M93" s="68">
        <v>0</v>
      </c>
      <c r="N93" s="36">
        <v>0</v>
      </c>
      <c r="O93" s="33">
        <f>M93+N93</f>
        <v>0</v>
      </c>
      <c r="P93" s="34">
        <v>0</v>
      </c>
      <c r="Q93" s="35">
        <f>O93+P93</f>
        <v>0</v>
      </c>
      <c r="R93" s="68">
        <v>0</v>
      </c>
      <c r="S93" s="36">
        <v>0</v>
      </c>
      <c r="T93" s="33">
        <f>R93+S93</f>
        <v>0</v>
      </c>
      <c r="U93" s="34">
        <v>0</v>
      </c>
      <c r="V93" s="31">
        <f>T93+U93</f>
        <v>0</v>
      </c>
      <c r="W93" s="32">
        <f t="shared" si="52"/>
        <v>0</v>
      </c>
    </row>
    <row r="94" spans="1:26" ht="14.25" thickBot="1" thickTop="1">
      <c r="A94" s="70"/>
      <c r="B94" s="232"/>
      <c r="C94" s="234"/>
      <c r="D94" s="234"/>
      <c r="E94" s="234"/>
      <c r="F94" s="233"/>
      <c r="G94" s="233"/>
      <c r="H94" s="233"/>
      <c r="I94" s="276"/>
      <c r="J94" s="70"/>
      <c r="L94" s="39" t="s">
        <v>21</v>
      </c>
      <c r="M94" s="40">
        <f aca="true" t="shared" si="53" ref="M94:V94">M91+M92+M93</f>
        <v>0</v>
      </c>
      <c r="N94" s="141">
        <f t="shared" si="53"/>
        <v>0</v>
      </c>
      <c r="O94" s="142">
        <f t="shared" si="53"/>
        <v>0</v>
      </c>
      <c r="P94" s="142">
        <f t="shared" si="53"/>
        <v>0</v>
      </c>
      <c r="Q94" s="142">
        <f t="shared" si="53"/>
        <v>0</v>
      </c>
      <c r="R94" s="40">
        <f t="shared" si="53"/>
        <v>0</v>
      </c>
      <c r="S94" s="141">
        <f t="shared" si="53"/>
        <v>0</v>
      </c>
      <c r="T94" s="142">
        <f t="shared" si="53"/>
        <v>0</v>
      </c>
      <c r="U94" s="142">
        <f t="shared" si="53"/>
        <v>0</v>
      </c>
      <c r="V94" s="142">
        <f t="shared" si="53"/>
        <v>0</v>
      </c>
      <c r="W94" s="54">
        <f t="shared" si="52"/>
        <v>0</v>
      </c>
      <c r="Y94" s="99"/>
      <c r="Z94" s="99"/>
    </row>
    <row r="95" spans="1:26" ht="13.5" thickTop="1">
      <c r="A95" s="70"/>
      <c r="B95" s="70"/>
      <c r="C95" s="70"/>
      <c r="D95" s="70"/>
      <c r="E95" s="70"/>
      <c r="F95" s="70"/>
      <c r="G95" s="70"/>
      <c r="H95" s="70"/>
      <c r="I95" s="247"/>
      <c r="J95" s="70"/>
      <c r="L95" s="4" t="s">
        <v>22</v>
      </c>
      <c r="M95" s="177">
        <v>0</v>
      </c>
      <c r="N95" s="36">
        <v>0</v>
      </c>
      <c r="O95" s="178">
        <f>M95+N95</f>
        <v>0</v>
      </c>
      <c r="P95" s="34">
        <v>0</v>
      </c>
      <c r="Q95" s="58">
        <f>O95+P95</f>
        <v>0</v>
      </c>
      <c r="R95" s="177">
        <v>0</v>
      </c>
      <c r="S95" s="36">
        <v>0</v>
      </c>
      <c r="T95" s="33">
        <v>0</v>
      </c>
      <c r="U95" s="34">
        <v>0</v>
      </c>
      <c r="V95" s="31">
        <f>T95+U95</f>
        <v>0</v>
      </c>
      <c r="W95" s="32">
        <v>0</v>
      </c>
      <c r="Y95" s="99"/>
      <c r="Z95" s="99"/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47"/>
      <c r="J96" s="70"/>
      <c r="L96" s="4" t="s">
        <v>23</v>
      </c>
      <c r="M96" s="92">
        <v>0</v>
      </c>
      <c r="N96" s="36">
        <v>0</v>
      </c>
      <c r="O96" s="134">
        <f>M96+N96</f>
        <v>0</v>
      </c>
      <c r="P96" s="60">
        <v>0</v>
      </c>
      <c r="Q96" s="33">
        <f>O96+P96</f>
        <v>0</v>
      </c>
      <c r="R96" s="92">
        <v>0</v>
      </c>
      <c r="S96" s="36">
        <v>0</v>
      </c>
      <c r="T96" s="134">
        <v>0</v>
      </c>
      <c r="U96" s="60">
        <v>0</v>
      </c>
      <c r="V96" s="33">
        <v>0</v>
      </c>
      <c r="W96" s="32">
        <v>0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47"/>
      <c r="J97" s="70"/>
      <c r="L97" s="4" t="s">
        <v>24</v>
      </c>
      <c r="M97" s="92">
        <v>0</v>
      </c>
      <c r="N97" s="36">
        <v>0</v>
      </c>
      <c r="O97" s="88">
        <f>M97+N97</f>
        <v>0</v>
      </c>
      <c r="P97" s="162">
        <v>0</v>
      </c>
      <c r="Q97" s="33">
        <f>+O97+P97</f>
        <v>0</v>
      </c>
      <c r="R97" s="92">
        <v>0</v>
      </c>
      <c r="S97" s="36">
        <v>0</v>
      </c>
      <c r="T97" s="88">
        <v>0</v>
      </c>
      <c r="U97" s="162">
        <v>0</v>
      </c>
      <c r="V97" s="66">
        <v>0</v>
      </c>
      <c r="W97" s="32">
        <v>0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47"/>
      <c r="J98" s="70"/>
      <c r="L98" s="44" t="s">
        <v>25</v>
      </c>
      <c r="M98" s="159">
        <f aca="true" t="shared" si="54" ref="M98:V98">+M95+M96+M97</f>
        <v>0</v>
      </c>
      <c r="N98" s="45">
        <f t="shared" si="54"/>
        <v>0</v>
      </c>
      <c r="O98" s="47">
        <f t="shared" si="54"/>
        <v>0</v>
      </c>
      <c r="P98" s="47">
        <f t="shared" si="54"/>
        <v>0</v>
      </c>
      <c r="Q98" s="43">
        <f t="shared" si="54"/>
        <v>0</v>
      </c>
      <c r="R98" s="159">
        <f t="shared" si="54"/>
        <v>0</v>
      </c>
      <c r="S98" s="45">
        <f t="shared" si="54"/>
        <v>0</v>
      </c>
      <c r="T98" s="47">
        <f t="shared" si="54"/>
        <v>0</v>
      </c>
      <c r="U98" s="47">
        <f t="shared" si="54"/>
        <v>0</v>
      </c>
      <c r="V98" s="163">
        <f t="shared" si="54"/>
        <v>0</v>
      </c>
      <c r="W98" s="54"/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47"/>
      <c r="J99" s="70"/>
      <c r="L99" s="4" t="s">
        <v>26</v>
      </c>
      <c r="M99" s="29">
        <v>0</v>
      </c>
      <c r="N99" s="36">
        <v>0</v>
      </c>
      <c r="O99" s="51">
        <f>M99+N99</f>
        <v>0</v>
      </c>
      <c r="P99" s="237">
        <v>0</v>
      </c>
      <c r="Q99" s="33">
        <f>O99+P99</f>
        <v>0</v>
      </c>
      <c r="R99" s="29">
        <v>0</v>
      </c>
      <c r="S99" s="36">
        <v>0</v>
      </c>
      <c r="T99" s="51">
        <v>0</v>
      </c>
      <c r="U99" s="237">
        <v>0</v>
      </c>
      <c r="V99" s="31">
        <v>0</v>
      </c>
      <c r="W99" s="32">
        <v>0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47"/>
      <c r="J100" s="70"/>
      <c r="L100" s="4" t="s">
        <v>28</v>
      </c>
      <c r="M100" s="29">
        <v>0</v>
      </c>
      <c r="N100" s="36">
        <v>0</v>
      </c>
      <c r="O100" s="51">
        <f>M100+N100</f>
        <v>0</v>
      </c>
      <c r="P100" s="34">
        <v>0</v>
      </c>
      <c r="Q100" s="35">
        <f>O100+P100</f>
        <v>0</v>
      </c>
      <c r="R100" s="29">
        <v>0</v>
      </c>
      <c r="S100" s="36">
        <v>0</v>
      </c>
      <c r="T100" s="51">
        <v>0</v>
      </c>
      <c r="U100" s="34">
        <v>0</v>
      </c>
      <c r="V100" s="31">
        <v>0</v>
      </c>
      <c r="W100" s="32">
        <v>0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47"/>
      <c r="J101" s="8"/>
      <c r="L101" s="4" t="s">
        <v>29</v>
      </c>
      <c r="M101" s="37">
        <v>0</v>
      </c>
      <c r="N101" s="36">
        <v>0</v>
      </c>
      <c r="O101" s="51">
        <f>M101+N101</f>
        <v>0</v>
      </c>
      <c r="P101" s="34">
        <v>0</v>
      </c>
      <c r="Q101" s="35">
        <f>+O101+P101</f>
        <v>0</v>
      </c>
      <c r="R101" s="37">
        <v>0</v>
      </c>
      <c r="S101" s="36">
        <v>0</v>
      </c>
      <c r="T101" s="51">
        <v>0</v>
      </c>
      <c r="U101" s="34">
        <v>0</v>
      </c>
      <c r="V101" s="31">
        <v>0</v>
      </c>
      <c r="W101" s="32"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47"/>
      <c r="J102" s="70"/>
      <c r="L102" s="44" t="s">
        <v>30</v>
      </c>
      <c r="M102" s="142">
        <f aca="true" t="shared" si="55" ref="M102:V102">+M99+M100+M101</f>
        <v>0</v>
      </c>
      <c r="N102" s="41">
        <f t="shared" si="55"/>
        <v>0</v>
      </c>
      <c r="O102" s="42">
        <f t="shared" si="55"/>
        <v>0</v>
      </c>
      <c r="P102" s="40">
        <f t="shared" si="55"/>
        <v>0</v>
      </c>
      <c r="Q102" s="40">
        <f t="shared" si="55"/>
        <v>0</v>
      </c>
      <c r="R102" s="40">
        <f t="shared" si="55"/>
        <v>0</v>
      </c>
      <c r="S102" s="41">
        <f t="shared" si="55"/>
        <v>0</v>
      </c>
      <c r="T102" s="40">
        <f t="shared" si="55"/>
        <v>0</v>
      </c>
      <c r="U102" s="40">
        <f t="shared" si="55"/>
        <v>0</v>
      </c>
      <c r="V102" s="40">
        <f t="shared" si="55"/>
        <v>0</v>
      </c>
      <c r="W102" s="54">
        <v>0</v>
      </c>
    </row>
    <row r="103" spans="1:26" ht="14.25" thickBot="1" thickTop="1">
      <c r="A103" s="220"/>
      <c r="B103" s="232"/>
      <c r="C103" s="234"/>
      <c r="D103" s="234"/>
      <c r="E103" s="234"/>
      <c r="F103" s="233"/>
      <c r="G103" s="233"/>
      <c r="H103" s="233"/>
      <c r="I103" s="276"/>
      <c r="J103" s="70"/>
      <c r="L103" s="39" t="s">
        <v>66</v>
      </c>
      <c r="M103" s="40">
        <f aca="true" t="shared" si="56" ref="M103:V103">+M94+M98+M102</f>
        <v>0</v>
      </c>
      <c r="N103" s="141">
        <f t="shared" si="56"/>
        <v>0</v>
      </c>
      <c r="O103" s="142">
        <f t="shared" si="56"/>
        <v>0</v>
      </c>
      <c r="P103" s="142">
        <f t="shared" si="56"/>
        <v>0</v>
      </c>
      <c r="Q103" s="142">
        <f t="shared" si="56"/>
        <v>0</v>
      </c>
      <c r="R103" s="40">
        <f t="shared" si="56"/>
        <v>0</v>
      </c>
      <c r="S103" s="141">
        <f t="shared" si="56"/>
        <v>0</v>
      </c>
      <c r="T103" s="142">
        <f t="shared" si="56"/>
        <v>0</v>
      </c>
      <c r="U103" s="142">
        <f t="shared" si="56"/>
        <v>0</v>
      </c>
      <c r="V103" s="142">
        <f t="shared" si="56"/>
        <v>0</v>
      </c>
      <c r="W103" s="54">
        <v>0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47"/>
      <c r="J104" s="70"/>
      <c r="L104" s="39" t="s">
        <v>9</v>
      </c>
      <c r="M104" s="142">
        <f aca="true" t="shared" si="57" ref="M104:V104">M90+M94+M98+M102</f>
        <v>0</v>
      </c>
      <c r="N104" s="41">
        <f t="shared" si="57"/>
        <v>0</v>
      </c>
      <c r="O104" s="42">
        <f t="shared" si="57"/>
        <v>0</v>
      </c>
      <c r="P104" s="40">
        <f t="shared" si="57"/>
        <v>0</v>
      </c>
      <c r="Q104" s="40">
        <f t="shared" si="57"/>
        <v>0</v>
      </c>
      <c r="R104" s="40">
        <f t="shared" si="57"/>
        <v>0</v>
      </c>
      <c r="S104" s="41">
        <f t="shared" si="57"/>
        <v>0</v>
      </c>
      <c r="T104" s="40">
        <f t="shared" si="57"/>
        <v>0</v>
      </c>
      <c r="U104" s="40">
        <f t="shared" si="57"/>
        <v>0</v>
      </c>
      <c r="V104" s="40">
        <f t="shared" si="57"/>
        <v>0</v>
      </c>
      <c r="W104" s="54">
        <v>0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47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47"/>
      <c r="L106" s="336" t="s">
        <v>47</v>
      </c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</row>
    <row r="107" spans="2:23" ht="15.75">
      <c r="B107" s="70"/>
      <c r="C107" s="70"/>
      <c r="D107" s="70"/>
      <c r="E107" s="70"/>
      <c r="F107" s="70"/>
      <c r="G107" s="70"/>
      <c r="H107" s="70"/>
      <c r="I107" s="247"/>
      <c r="L107" s="337" t="s">
        <v>48</v>
      </c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47"/>
      <c r="W108" s="242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47"/>
      <c r="L109" s="3"/>
      <c r="M109" s="347" t="s">
        <v>67</v>
      </c>
      <c r="N109" s="348"/>
      <c r="O109" s="348"/>
      <c r="P109" s="348"/>
      <c r="Q109" s="349"/>
      <c r="R109" s="338" t="s">
        <v>68</v>
      </c>
      <c r="S109" s="339"/>
      <c r="T109" s="339"/>
      <c r="U109" s="339"/>
      <c r="V109" s="340"/>
      <c r="W109" s="239" t="s">
        <v>4</v>
      </c>
    </row>
    <row r="110" spans="2:23" ht="12.75" customHeight="1" thickTop="1">
      <c r="B110" s="70"/>
      <c r="C110" s="70"/>
      <c r="D110" s="70"/>
      <c r="E110" s="70"/>
      <c r="F110" s="70"/>
      <c r="G110" s="70"/>
      <c r="H110" s="70"/>
      <c r="I110" s="247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0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47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1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47"/>
      <c r="L112" s="4"/>
      <c r="M112" s="179"/>
      <c r="N112" s="24"/>
      <c r="O112" s="25"/>
      <c r="P112" s="132"/>
      <c r="Q112" s="27"/>
      <c r="R112" s="23"/>
      <c r="S112" s="24"/>
      <c r="T112" s="25"/>
      <c r="U112" s="132"/>
      <c r="V112" s="28"/>
      <c r="W112" s="207"/>
    </row>
    <row r="113" spans="2:23" ht="12.75">
      <c r="B113" s="70"/>
      <c r="C113" s="70"/>
      <c r="D113" s="70"/>
      <c r="E113" s="70"/>
      <c r="F113" s="70"/>
      <c r="G113" s="70"/>
      <c r="H113" s="70"/>
      <c r="I113" s="247"/>
      <c r="L113" s="4" t="s">
        <v>14</v>
      </c>
      <c r="M113" s="133">
        <v>739</v>
      </c>
      <c r="N113" s="36">
        <v>318</v>
      </c>
      <c r="O113" s="51">
        <f>+M113+N113</f>
        <v>1057</v>
      </c>
      <c r="P113" s="34">
        <v>0</v>
      </c>
      <c r="Q113" s="35">
        <f>O113+P113</f>
        <v>1057</v>
      </c>
      <c r="R113" s="133">
        <v>1194</v>
      </c>
      <c r="S113" s="36">
        <v>276</v>
      </c>
      <c r="T113" s="51">
        <f>+R113+S113</f>
        <v>1470</v>
      </c>
      <c r="U113" s="34">
        <v>0</v>
      </c>
      <c r="V113" s="31">
        <f>+T113+U113</f>
        <v>1470</v>
      </c>
      <c r="W113" s="256">
        <f aca="true" t="shared" si="58" ref="W113:W124">IF(Q113=0,0,((V113/Q113)-1)*100)</f>
        <v>39.0728476821192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47"/>
      <c r="L114" s="4" t="s">
        <v>15</v>
      </c>
      <c r="M114" s="133">
        <v>754</v>
      </c>
      <c r="N114" s="36">
        <v>476</v>
      </c>
      <c r="O114" s="51">
        <f>+M114+N114</f>
        <v>1230</v>
      </c>
      <c r="P114" s="34">
        <v>0</v>
      </c>
      <c r="Q114" s="35">
        <f>O114+P114</f>
        <v>1230</v>
      </c>
      <c r="R114" s="133">
        <v>1086</v>
      </c>
      <c r="S114" s="36">
        <v>347</v>
      </c>
      <c r="T114" s="51">
        <f>+R114+S114</f>
        <v>1433</v>
      </c>
      <c r="U114" s="34">
        <v>0</v>
      </c>
      <c r="V114" s="31">
        <f>+T114+U114</f>
        <v>1433</v>
      </c>
      <c r="W114" s="256">
        <f t="shared" si="58"/>
        <v>16.504065040650406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47"/>
      <c r="L115" s="4" t="s">
        <v>16</v>
      </c>
      <c r="M115" s="139">
        <v>823</v>
      </c>
      <c r="N115" s="162">
        <v>386</v>
      </c>
      <c r="O115" s="51">
        <f>+M115+N115</f>
        <v>1209</v>
      </c>
      <c r="P115" s="34">
        <v>0</v>
      </c>
      <c r="Q115" s="35">
        <f>O115+P115</f>
        <v>1209</v>
      </c>
      <c r="R115" s="139">
        <v>1223</v>
      </c>
      <c r="S115" s="162">
        <v>343</v>
      </c>
      <c r="T115" s="51">
        <f>+R115+S115</f>
        <v>1566</v>
      </c>
      <c r="U115" s="34">
        <v>0</v>
      </c>
      <c r="V115" s="31">
        <f>+T115+U115</f>
        <v>1566</v>
      </c>
      <c r="W115" s="256">
        <f t="shared" si="58"/>
        <v>29.528535980148884</v>
      </c>
    </row>
    <row r="116" spans="2:23" ht="13.5" customHeight="1" thickBot="1" thickTop="1">
      <c r="B116" s="70"/>
      <c r="C116" s="70"/>
      <c r="D116" s="70"/>
      <c r="E116" s="70"/>
      <c r="F116" s="70"/>
      <c r="G116" s="70"/>
      <c r="H116" s="70"/>
      <c r="I116" s="247"/>
      <c r="L116" s="39" t="s">
        <v>58</v>
      </c>
      <c r="M116" s="40">
        <f>+M113+M114+M115</f>
        <v>2316</v>
      </c>
      <c r="N116" s="41">
        <f>+N113+N114+N115</f>
        <v>1180</v>
      </c>
      <c r="O116" s="40">
        <f>+O113+O114+O115</f>
        <v>3496</v>
      </c>
      <c r="P116" s="40">
        <f>+P113+P114+P115</f>
        <v>0</v>
      </c>
      <c r="Q116" s="40">
        <f aca="true" t="shared" si="59" ref="Q116:V116">+Q113+Q114+Q115</f>
        <v>3496</v>
      </c>
      <c r="R116" s="40">
        <f t="shared" si="59"/>
        <v>3503</v>
      </c>
      <c r="S116" s="41">
        <f t="shared" si="59"/>
        <v>966</v>
      </c>
      <c r="T116" s="40">
        <f t="shared" si="59"/>
        <v>4469</v>
      </c>
      <c r="U116" s="40">
        <f t="shared" si="59"/>
        <v>0</v>
      </c>
      <c r="V116" s="40">
        <f t="shared" si="59"/>
        <v>4469</v>
      </c>
      <c r="W116" s="257">
        <f t="shared" si="58"/>
        <v>27.83180778032037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47"/>
      <c r="L117" s="4" t="s">
        <v>18</v>
      </c>
      <c r="M117" s="29">
        <v>812</v>
      </c>
      <c r="N117" s="36">
        <v>226</v>
      </c>
      <c r="O117" s="33">
        <f>+M117+N117</f>
        <v>1038</v>
      </c>
      <c r="P117" s="34">
        <v>0</v>
      </c>
      <c r="Q117" s="31">
        <f>O117+P117</f>
        <v>1038</v>
      </c>
      <c r="R117" s="29">
        <v>1155</v>
      </c>
      <c r="S117" s="36">
        <v>336</v>
      </c>
      <c r="T117" s="33">
        <f>+R117+S117</f>
        <v>1491</v>
      </c>
      <c r="U117" s="34">
        <v>0</v>
      </c>
      <c r="V117" s="31">
        <f>+T117+U117</f>
        <v>1491</v>
      </c>
      <c r="W117" s="265">
        <f t="shared" si="58"/>
        <v>43.64161849710983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47"/>
      <c r="L118" s="4" t="s">
        <v>19</v>
      </c>
      <c r="M118" s="29">
        <v>777</v>
      </c>
      <c r="N118" s="36">
        <v>219</v>
      </c>
      <c r="O118" s="33">
        <f>+N118+M118</f>
        <v>996</v>
      </c>
      <c r="P118" s="34">
        <v>0</v>
      </c>
      <c r="Q118" s="31">
        <f>O118+P118</f>
        <v>996</v>
      </c>
      <c r="R118" s="29">
        <v>1145</v>
      </c>
      <c r="S118" s="36">
        <v>307</v>
      </c>
      <c r="T118" s="33">
        <f>+S118+R118</f>
        <v>1452</v>
      </c>
      <c r="U118" s="34">
        <v>0</v>
      </c>
      <c r="V118" s="31">
        <f>+U118+T118</f>
        <v>1452</v>
      </c>
      <c r="W118" s="265">
        <f>IF(Q118=0,0,((V118/Q118)-1)*100)</f>
        <v>45.783132530120476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47"/>
      <c r="L119" s="12" t="s">
        <v>20</v>
      </c>
      <c r="M119" s="29">
        <v>960</v>
      </c>
      <c r="N119" s="36">
        <v>289</v>
      </c>
      <c r="O119" s="33">
        <f>+N119+M119</f>
        <v>1249</v>
      </c>
      <c r="P119" s="34">
        <v>0</v>
      </c>
      <c r="Q119" s="31">
        <f>O119+P119</f>
        <v>1249</v>
      </c>
      <c r="R119" s="29">
        <v>1030</v>
      </c>
      <c r="S119" s="36">
        <v>233</v>
      </c>
      <c r="T119" s="33">
        <f>+S119+R119</f>
        <v>1263</v>
      </c>
      <c r="U119" s="34">
        <v>0</v>
      </c>
      <c r="V119" s="31">
        <f>+U119+T119</f>
        <v>1263</v>
      </c>
      <c r="W119" s="256">
        <f t="shared" si="58"/>
        <v>1.1208967173738982</v>
      </c>
      <c r="Y119" s="99"/>
      <c r="Z119" s="99"/>
    </row>
    <row r="120" spans="1:26" ht="14.25" thickBot="1" thickTop="1">
      <c r="A120" s="70"/>
      <c r="B120" s="232"/>
      <c r="C120" s="234"/>
      <c r="D120" s="234"/>
      <c r="E120" s="234"/>
      <c r="F120" s="233"/>
      <c r="G120" s="233"/>
      <c r="H120" s="233"/>
      <c r="I120" s="276"/>
      <c r="J120" s="70"/>
      <c r="L120" s="39" t="s">
        <v>21</v>
      </c>
      <c r="M120" s="40">
        <f aca="true" t="shared" si="60" ref="M120:V120">M117+M118+M119</f>
        <v>2549</v>
      </c>
      <c r="N120" s="141">
        <f t="shared" si="60"/>
        <v>734</v>
      </c>
      <c r="O120" s="142">
        <f t="shared" si="60"/>
        <v>3283</v>
      </c>
      <c r="P120" s="142">
        <f t="shared" si="60"/>
        <v>0</v>
      </c>
      <c r="Q120" s="142">
        <f t="shared" si="60"/>
        <v>3283</v>
      </c>
      <c r="R120" s="40">
        <f t="shared" si="60"/>
        <v>3330</v>
      </c>
      <c r="S120" s="141">
        <f t="shared" si="60"/>
        <v>876</v>
      </c>
      <c r="T120" s="142">
        <f t="shared" si="60"/>
        <v>4206</v>
      </c>
      <c r="U120" s="142">
        <f t="shared" si="60"/>
        <v>0</v>
      </c>
      <c r="V120" s="142">
        <f t="shared" si="60"/>
        <v>4206</v>
      </c>
      <c r="W120" s="257">
        <f t="shared" si="58"/>
        <v>28.114529393847086</v>
      </c>
      <c r="Y120" s="99"/>
      <c r="Z120" s="99"/>
    </row>
    <row r="121" spans="2:26" ht="13.5" thickTop="1">
      <c r="B121" s="70"/>
      <c r="C121" s="70"/>
      <c r="D121" s="70"/>
      <c r="E121" s="70"/>
      <c r="F121" s="70"/>
      <c r="G121" s="70"/>
      <c r="H121" s="70"/>
      <c r="I121" s="247"/>
      <c r="L121" s="4" t="s">
        <v>22</v>
      </c>
      <c r="M121" s="151">
        <v>968</v>
      </c>
      <c r="N121" s="36">
        <v>304</v>
      </c>
      <c r="O121" s="33">
        <f>+M121+N121</f>
        <v>1272</v>
      </c>
      <c r="P121" s="34">
        <v>0</v>
      </c>
      <c r="Q121" s="67">
        <f>O121+P121</f>
        <v>1272</v>
      </c>
      <c r="R121" s="151">
        <v>969</v>
      </c>
      <c r="S121" s="36">
        <v>258</v>
      </c>
      <c r="T121" s="33">
        <f>+R121+S121</f>
        <v>1227</v>
      </c>
      <c r="U121" s="34">
        <v>0</v>
      </c>
      <c r="V121" s="31">
        <f>+T121+U121</f>
        <v>1227</v>
      </c>
      <c r="W121" s="265">
        <f>IF(Q121=0,0,((V121/Q121)-1)*100)</f>
        <v>-3.5377358490566</v>
      </c>
      <c r="Y121" s="99"/>
      <c r="Z121" s="99"/>
    </row>
    <row r="122" spans="2:23" ht="12.75">
      <c r="B122" s="70"/>
      <c r="C122" s="70"/>
      <c r="D122" s="70"/>
      <c r="E122" s="70"/>
      <c r="F122" s="70"/>
      <c r="G122" s="70"/>
      <c r="H122" s="70"/>
      <c r="I122" s="247"/>
      <c r="L122" s="4" t="s">
        <v>23</v>
      </c>
      <c r="M122" s="133">
        <v>1061</v>
      </c>
      <c r="N122" s="36">
        <v>245</v>
      </c>
      <c r="O122" s="33">
        <f>+M122+N122</f>
        <v>1306</v>
      </c>
      <c r="P122" s="127">
        <v>0</v>
      </c>
      <c r="Q122" s="33">
        <f>O122+P122</f>
        <v>1306</v>
      </c>
      <c r="R122" s="133">
        <v>917</v>
      </c>
      <c r="S122" s="36">
        <v>296</v>
      </c>
      <c r="T122" s="33">
        <f>+S122+R122</f>
        <v>1213</v>
      </c>
      <c r="U122" s="127">
        <v>0</v>
      </c>
      <c r="V122" s="134">
        <f>+U122+T122</f>
        <v>1213</v>
      </c>
      <c r="W122" s="256">
        <f t="shared" si="58"/>
        <v>-7.120980091883611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47"/>
      <c r="L123" s="4" t="s">
        <v>24</v>
      </c>
      <c r="M123" s="181">
        <v>1082</v>
      </c>
      <c r="N123" s="36">
        <v>259</v>
      </c>
      <c r="O123" s="33">
        <f>+M123+N123</f>
        <v>1341</v>
      </c>
      <c r="P123" s="180">
        <v>0</v>
      </c>
      <c r="Q123" s="31">
        <f>O123+P123</f>
        <v>1341</v>
      </c>
      <c r="R123" s="181">
        <v>875</v>
      </c>
      <c r="S123" s="36">
        <v>265</v>
      </c>
      <c r="T123" s="33">
        <f>+S123+R123</f>
        <v>1140</v>
      </c>
      <c r="U123" s="180">
        <v>0</v>
      </c>
      <c r="V123" s="88">
        <f>+U123+T123</f>
        <v>1140</v>
      </c>
      <c r="W123" s="256">
        <f t="shared" si="58"/>
        <v>-14.988814317673382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47"/>
      <c r="L124" s="44" t="s">
        <v>25</v>
      </c>
      <c r="M124" s="98">
        <f aca="true" t="shared" si="61" ref="M124:V124">+M121+M122+M123</f>
        <v>3111</v>
      </c>
      <c r="N124" s="49">
        <f t="shared" si="61"/>
        <v>808</v>
      </c>
      <c r="O124" s="47">
        <f t="shared" si="61"/>
        <v>3919</v>
      </c>
      <c r="P124" s="47">
        <f t="shared" si="61"/>
        <v>0</v>
      </c>
      <c r="Q124" s="47">
        <f t="shared" si="61"/>
        <v>3919</v>
      </c>
      <c r="R124" s="98">
        <f t="shared" si="61"/>
        <v>2761</v>
      </c>
      <c r="S124" s="49">
        <f t="shared" si="61"/>
        <v>819</v>
      </c>
      <c r="T124" s="47">
        <f t="shared" si="61"/>
        <v>3580</v>
      </c>
      <c r="U124" s="47">
        <f t="shared" si="61"/>
        <v>0</v>
      </c>
      <c r="V124" s="47">
        <f t="shared" si="61"/>
        <v>3580</v>
      </c>
      <c r="W124" s="257">
        <f t="shared" si="58"/>
        <v>-8.650165858637404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47"/>
      <c r="L125" s="4" t="s">
        <v>26</v>
      </c>
      <c r="M125" s="133">
        <v>1010</v>
      </c>
      <c r="N125" s="36">
        <v>276</v>
      </c>
      <c r="O125" s="51">
        <f>+M125+N125</f>
        <v>1286</v>
      </c>
      <c r="P125" s="34">
        <v>0</v>
      </c>
      <c r="Q125" s="178">
        <f>O125+P125</f>
        <v>1286</v>
      </c>
      <c r="R125" s="133">
        <v>926</v>
      </c>
      <c r="S125" s="36">
        <v>280</v>
      </c>
      <c r="T125" s="33">
        <f>+R125+S125</f>
        <v>1206</v>
      </c>
      <c r="U125" s="34">
        <v>0</v>
      </c>
      <c r="V125" s="31">
        <f>+T125+U125</f>
        <v>1206</v>
      </c>
      <c r="W125" s="265">
        <f aca="true" t="shared" si="62" ref="W125:W130">IF(Q125=0,0,((V125/Q125)-1)*100)</f>
        <v>-6.220839813374801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47"/>
      <c r="L126" s="4" t="s">
        <v>28</v>
      </c>
      <c r="M126" s="133">
        <v>941</v>
      </c>
      <c r="N126" s="36">
        <v>261</v>
      </c>
      <c r="O126" s="51">
        <f>+M126+N126</f>
        <v>1202</v>
      </c>
      <c r="P126" s="34">
        <v>0</v>
      </c>
      <c r="Q126" s="134">
        <f>O126+P126</f>
        <v>1202</v>
      </c>
      <c r="R126" s="133">
        <v>969</v>
      </c>
      <c r="S126" s="36">
        <v>278</v>
      </c>
      <c r="T126" s="33">
        <f>+S126+R126</f>
        <v>1247</v>
      </c>
      <c r="U126" s="34">
        <v>0</v>
      </c>
      <c r="V126" s="134">
        <f>+U126+T126</f>
        <v>1247</v>
      </c>
      <c r="W126" s="256">
        <f t="shared" si="62"/>
        <v>3.7437603993344393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47"/>
      <c r="L127" s="4" t="s">
        <v>29</v>
      </c>
      <c r="M127" s="139">
        <v>1064</v>
      </c>
      <c r="N127" s="162">
        <v>253</v>
      </c>
      <c r="O127" s="51">
        <f>+M127+N127</f>
        <v>1317</v>
      </c>
      <c r="P127" s="180">
        <v>0</v>
      </c>
      <c r="Q127" s="88">
        <f>O127+P127</f>
        <v>1317</v>
      </c>
      <c r="R127" s="139">
        <v>992</v>
      </c>
      <c r="S127" s="162">
        <v>299</v>
      </c>
      <c r="T127" s="33">
        <f>+S127+R127</f>
        <v>1291</v>
      </c>
      <c r="U127" s="180">
        <v>2</v>
      </c>
      <c r="V127" s="88">
        <f>+U127+T127</f>
        <v>1293</v>
      </c>
      <c r="W127" s="256">
        <f t="shared" si="62"/>
        <v>-1.8223234624145768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47"/>
      <c r="L128" s="44" t="s">
        <v>30</v>
      </c>
      <c r="M128" s="45">
        <f aca="true" t="shared" si="63" ref="M128:V128">+M125+M126+M127</f>
        <v>3015</v>
      </c>
      <c r="N128" s="45">
        <f t="shared" si="63"/>
        <v>790</v>
      </c>
      <c r="O128" s="47">
        <f t="shared" si="63"/>
        <v>3805</v>
      </c>
      <c r="P128" s="47">
        <f t="shared" si="63"/>
        <v>0</v>
      </c>
      <c r="Q128" s="47">
        <f t="shared" si="63"/>
        <v>3805</v>
      </c>
      <c r="R128" s="98">
        <f t="shared" si="63"/>
        <v>2887</v>
      </c>
      <c r="S128" s="49">
        <f t="shared" si="63"/>
        <v>857</v>
      </c>
      <c r="T128" s="47">
        <f t="shared" si="63"/>
        <v>3744</v>
      </c>
      <c r="U128" s="47">
        <f t="shared" si="63"/>
        <v>2</v>
      </c>
      <c r="V128" s="47">
        <f t="shared" si="63"/>
        <v>3746</v>
      </c>
      <c r="W128" s="257">
        <f t="shared" si="62"/>
        <v>-1.5505913272010563</v>
      </c>
    </row>
    <row r="129" spans="1:26" ht="14.25" thickBot="1" thickTop="1">
      <c r="A129" s="220"/>
      <c r="B129" s="232"/>
      <c r="C129" s="234"/>
      <c r="D129" s="234"/>
      <c r="E129" s="234"/>
      <c r="F129" s="233"/>
      <c r="G129" s="233"/>
      <c r="H129" s="233"/>
      <c r="I129" s="276"/>
      <c r="J129" s="220"/>
      <c r="L129" s="39" t="s">
        <v>66</v>
      </c>
      <c r="M129" s="40">
        <f aca="true" t="shared" si="64" ref="M129:V129">+M120+M124+M128</f>
        <v>8675</v>
      </c>
      <c r="N129" s="141">
        <f t="shared" si="64"/>
        <v>2332</v>
      </c>
      <c r="O129" s="142">
        <f t="shared" si="64"/>
        <v>11007</v>
      </c>
      <c r="P129" s="142">
        <f t="shared" si="64"/>
        <v>0</v>
      </c>
      <c r="Q129" s="142">
        <f t="shared" si="64"/>
        <v>11007</v>
      </c>
      <c r="R129" s="40">
        <f t="shared" si="64"/>
        <v>8978</v>
      </c>
      <c r="S129" s="141">
        <f t="shared" si="64"/>
        <v>2552</v>
      </c>
      <c r="T129" s="142">
        <f t="shared" si="64"/>
        <v>11530</v>
      </c>
      <c r="U129" s="142">
        <f t="shared" si="64"/>
        <v>2</v>
      </c>
      <c r="V129" s="142">
        <f t="shared" si="64"/>
        <v>11532</v>
      </c>
      <c r="W129" s="257">
        <f t="shared" si="62"/>
        <v>4.769692014172788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47"/>
      <c r="L130" s="39" t="s">
        <v>9</v>
      </c>
      <c r="M130" s="40">
        <f aca="true" t="shared" si="65" ref="M130:V130">M116+M120+M124+M128</f>
        <v>10991</v>
      </c>
      <c r="N130" s="41">
        <f t="shared" si="65"/>
        <v>3512</v>
      </c>
      <c r="O130" s="40">
        <f t="shared" si="65"/>
        <v>14503</v>
      </c>
      <c r="P130" s="40">
        <f t="shared" si="65"/>
        <v>0</v>
      </c>
      <c r="Q130" s="40">
        <f t="shared" si="65"/>
        <v>14503</v>
      </c>
      <c r="R130" s="142">
        <f t="shared" si="65"/>
        <v>12481</v>
      </c>
      <c r="S130" s="41">
        <f t="shared" si="65"/>
        <v>3518</v>
      </c>
      <c r="T130" s="40">
        <f t="shared" si="65"/>
        <v>15999</v>
      </c>
      <c r="U130" s="40">
        <f t="shared" si="65"/>
        <v>2</v>
      </c>
      <c r="V130" s="40">
        <f t="shared" si="65"/>
        <v>16001</v>
      </c>
      <c r="W130" s="257">
        <f t="shared" si="62"/>
        <v>10.328897469489062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47"/>
      <c r="L131" s="63" t="s">
        <v>64</v>
      </c>
      <c r="W131" s="243"/>
    </row>
    <row r="132" spans="2:23" ht="12.75">
      <c r="B132" s="70"/>
      <c r="C132" s="70"/>
      <c r="D132" s="70"/>
      <c r="E132" s="70"/>
      <c r="F132" s="70"/>
      <c r="G132" s="70"/>
      <c r="H132" s="70"/>
      <c r="I132" s="247"/>
      <c r="L132" s="336" t="s">
        <v>49</v>
      </c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</row>
    <row r="133" spans="2:23" ht="15.75">
      <c r="B133" s="70"/>
      <c r="C133" s="70"/>
      <c r="D133" s="70"/>
      <c r="E133" s="70"/>
      <c r="F133" s="70"/>
      <c r="G133" s="70"/>
      <c r="H133" s="70"/>
      <c r="I133" s="247"/>
      <c r="L133" s="337" t="s">
        <v>60</v>
      </c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</row>
    <row r="134" spans="2:23" ht="17.25" customHeight="1" thickBot="1">
      <c r="B134" s="70"/>
      <c r="C134" s="70"/>
      <c r="D134" s="70"/>
      <c r="E134" s="70"/>
      <c r="F134" s="70"/>
      <c r="G134" s="70"/>
      <c r="H134" s="70"/>
      <c r="I134" s="247"/>
      <c r="W134" s="242" t="s">
        <v>43</v>
      </c>
    </row>
    <row r="135" spans="2:23" ht="20.25" customHeight="1" thickBot="1" thickTop="1">
      <c r="B135" s="70"/>
      <c r="C135" s="70"/>
      <c r="D135" s="70"/>
      <c r="E135" s="70"/>
      <c r="F135" s="70"/>
      <c r="G135" s="70"/>
      <c r="H135" s="70"/>
      <c r="I135" s="247"/>
      <c r="L135" s="3"/>
      <c r="M135" s="347" t="s">
        <v>67</v>
      </c>
      <c r="N135" s="348"/>
      <c r="O135" s="348"/>
      <c r="P135" s="348"/>
      <c r="Q135" s="349"/>
      <c r="R135" s="338" t="s">
        <v>68</v>
      </c>
      <c r="S135" s="339"/>
      <c r="T135" s="339"/>
      <c r="U135" s="339"/>
      <c r="V135" s="340"/>
      <c r="W135" s="239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47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0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47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1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47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07"/>
    </row>
    <row r="139" spans="2:23" ht="12.75">
      <c r="B139" s="70"/>
      <c r="C139" s="70"/>
      <c r="D139" s="70"/>
      <c r="E139" s="70"/>
      <c r="F139" s="70"/>
      <c r="G139" s="70"/>
      <c r="H139" s="70"/>
      <c r="I139" s="247"/>
      <c r="L139" s="4" t="s">
        <v>14</v>
      </c>
      <c r="M139" s="29">
        <f aca="true" t="shared" si="66" ref="M139:N141">+M87+M113</f>
        <v>739</v>
      </c>
      <c r="N139" s="36">
        <f t="shared" si="66"/>
        <v>318</v>
      </c>
      <c r="O139" s="33">
        <f>M139+N139</f>
        <v>1057</v>
      </c>
      <c r="P139" s="34">
        <f>+P87+P113</f>
        <v>0</v>
      </c>
      <c r="Q139" s="35">
        <f>O139+P139</f>
        <v>1057</v>
      </c>
      <c r="R139" s="29">
        <f aca="true" t="shared" si="67" ref="R139:S141">+R87+R113</f>
        <v>1194</v>
      </c>
      <c r="S139" s="36">
        <f t="shared" si="67"/>
        <v>276</v>
      </c>
      <c r="T139" s="33">
        <f>R139+S139</f>
        <v>1470</v>
      </c>
      <c r="U139" s="34">
        <f>+U87+U113</f>
        <v>0</v>
      </c>
      <c r="V139" s="31">
        <f>T139+U139</f>
        <v>1470</v>
      </c>
      <c r="W139" s="256">
        <f aca="true" t="shared" si="68" ref="W139:W150">IF(Q139=0,0,((V139/Q139)-1)*100)</f>
        <v>39.0728476821192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47"/>
      <c r="L140" s="4" t="s">
        <v>15</v>
      </c>
      <c r="M140" s="29">
        <f t="shared" si="66"/>
        <v>754</v>
      </c>
      <c r="N140" s="36">
        <f t="shared" si="66"/>
        <v>476</v>
      </c>
      <c r="O140" s="33">
        <f>M140+N140</f>
        <v>1230</v>
      </c>
      <c r="P140" s="34">
        <f>+P88+P114</f>
        <v>0</v>
      </c>
      <c r="Q140" s="35">
        <f>O140+P140</f>
        <v>1230</v>
      </c>
      <c r="R140" s="29">
        <f t="shared" si="67"/>
        <v>1086</v>
      </c>
      <c r="S140" s="36">
        <f t="shared" si="67"/>
        <v>347</v>
      </c>
      <c r="T140" s="33">
        <f>R140+S140</f>
        <v>1433</v>
      </c>
      <c r="U140" s="34">
        <f>+U88+U114</f>
        <v>0</v>
      </c>
      <c r="V140" s="31">
        <f>T140+U140</f>
        <v>1433</v>
      </c>
      <c r="W140" s="256">
        <f t="shared" si="68"/>
        <v>16.504065040650406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47"/>
      <c r="L141" s="4" t="s">
        <v>16</v>
      </c>
      <c r="M141" s="29">
        <f t="shared" si="66"/>
        <v>823</v>
      </c>
      <c r="N141" s="36">
        <f t="shared" si="66"/>
        <v>386</v>
      </c>
      <c r="O141" s="33">
        <f>+O89+O115</f>
        <v>1209</v>
      </c>
      <c r="P141" s="34">
        <f>+P89+P115</f>
        <v>0</v>
      </c>
      <c r="Q141" s="35">
        <f>+Q89+Q115</f>
        <v>1209</v>
      </c>
      <c r="R141" s="29">
        <f t="shared" si="67"/>
        <v>1223</v>
      </c>
      <c r="S141" s="36">
        <f t="shared" si="67"/>
        <v>343</v>
      </c>
      <c r="T141" s="33">
        <f>R141+S141</f>
        <v>1566</v>
      </c>
      <c r="U141" s="34">
        <f>+U89+U115</f>
        <v>0</v>
      </c>
      <c r="V141" s="31">
        <f>T141+U141</f>
        <v>1566</v>
      </c>
      <c r="W141" s="256">
        <f t="shared" si="68"/>
        <v>29.528535980148884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47"/>
      <c r="L142" s="39" t="s">
        <v>58</v>
      </c>
      <c r="M142" s="40">
        <f>M140+M139+M141</f>
        <v>2316</v>
      </c>
      <c r="N142" s="41">
        <f>N140+N139+N141</f>
        <v>1180</v>
      </c>
      <c r="O142" s="40">
        <f>O140+O139+O141</f>
        <v>3496</v>
      </c>
      <c r="P142" s="40">
        <f>P140+P139+P141</f>
        <v>0</v>
      </c>
      <c r="Q142" s="40">
        <f>Q140+Q139+Q141</f>
        <v>3496</v>
      </c>
      <c r="R142" s="40">
        <f>R141+R139+R140</f>
        <v>3503</v>
      </c>
      <c r="S142" s="41">
        <f>S141+S139+S140</f>
        <v>966</v>
      </c>
      <c r="T142" s="40">
        <f>T141+T139+T140</f>
        <v>4469</v>
      </c>
      <c r="U142" s="40">
        <f>U141+U139+U140</f>
        <v>0</v>
      </c>
      <c r="V142" s="42">
        <f>V141+V139+V140</f>
        <v>4469</v>
      </c>
      <c r="W142" s="257">
        <f t="shared" si="68"/>
        <v>27.83180778032037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47"/>
      <c r="L143" s="4" t="s">
        <v>18</v>
      </c>
      <c r="M143" s="29">
        <f aca="true" t="shared" si="69" ref="M143:N145">+M91+M117</f>
        <v>812</v>
      </c>
      <c r="N143" s="36">
        <f t="shared" si="69"/>
        <v>226</v>
      </c>
      <c r="O143" s="33">
        <f>M143+N143</f>
        <v>1038</v>
      </c>
      <c r="P143" s="34">
        <f>+P91+P117</f>
        <v>0</v>
      </c>
      <c r="Q143" s="35">
        <f>O143+P143</f>
        <v>1038</v>
      </c>
      <c r="R143" s="29">
        <f>+R91+R117</f>
        <v>1155</v>
      </c>
      <c r="S143" s="36">
        <f>+S91+S117</f>
        <v>336</v>
      </c>
      <c r="T143" s="33">
        <f>+T91+T117</f>
        <v>1491</v>
      </c>
      <c r="U143" s="34">
        <f>+U91+U117</f>
        <v>0</v>
      </c>
      <c r="V143" s="31">
        <f>T143+U143</f>
        <v>1491</v>
      </c>
      <c r="W143" s="265">
        <f t="shared" si="68"/>
        <v>43.64161849710983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47"/>
      <c r="L144" s="4" t="s">
        <v>19</v>
      </c>
      <c r="M144" s="29">
        <f t="shared" si="69"/>
        <v>777</v>
      </c>
      <c r="N144" s="36">
        <f t="shared" si="69"/>
        <v>219</v>
      </c>
      <c r="O144" s="33">
        <f>M144+N144</f>
        <v>996</v>
      </c>
      <c r="P144" s="34">
        <f>+P92+P118</f>
        <v>0</v>
      </c>
      <c r="Q144" s="35">
        <f>O144+P144</f>
        <v>996</v>
      </c>
      <c r="R144" s="29">
        <f>+R92+R118</f>
        <v>1145</v>
      </c>
      <c r="S144" s="36">
        <f>+S92+S118</f>
        <v>307</v>
      </c>
      <c r="T144" s="33">
        <f>R144+S144</f>
        <v>1452</v>
      </c>
      <c r="U144" s="34">
        <f>+U92+U118</f>
        <v>0</v>
      </c>
      <c r="V144" s="31">
        <f>T144+U144</f>
        <v>1452</v>
      </c>
      <c r="W144" s="265">
        <f t="shared" si="68"/>
        <v>45.783132530120476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47"/>
      <c r="L145" s="12" t="s">
        <v>20</v>
      </c>
      <c r="M145" s="68">
        <f t="shared" si="69"/>
        <v>960</v>
      </c>
      <c r="N145" s="36">
        <f t="shared" si="69"/>
        <v>289</v>
      </c>
      <c r="O145" s="33">
        <f>+O93+O119</f>
        <v>1249</v>
      </c>
      <c r="P145" s="34">
        <f>+P93+P119</f>
        <v>0</v>
      </c>
      <c r="Q145" s="35">
        <f>+Q93+Q119</f>
        <v>1249</v>
      </c>
      <c r="R145" s="29">
        <f>+R93+R119</f>
        <v>1030</v>
      </c>
      <c r="S145" s="36">
        <f>+S93+S119</f>
        <v>233</v>
      </c>
      <c r="T145" s="33">
        <f>+T93+T119</f>
        <v>1263</v>
      </c>
      <c r="U145" s="34">
        <f>+U93+U119</f>
        <v>0</v>
      </c>
      <c r="V145" s="31">
        <f>T145+U145</f>
        <v>1263</v>
      </c>
      <c r="W145" s="256">
        <f t="shared" si="68"/>
        <v>1.1208967173738982</v>
      </c>
    </row>
    <row r="146" spans="1:26" ht="14.25" thickBot="1" thickTop="1">
      <c r="A146" s="70"/>
      <c r="B146" s="232"/>
      <c r="C146" s="234"/>
      <c r="D146" s="234"/>
      <c r="E146" s="234"/>
      <c r="F146" s="233"/>
      <c r="G146" s="233"/>
      <c r="H146" s="233"/>
      <c r="I146" s="276"/>
      <c r="J146" s="70"/>
      <c r="L146" s="39" t="s">
        <v>21</v>
      </c>
      <c r="M146" s="40">
        <f aca="true" t="shared" si="70" ref="M146:V146">M143+M144+M145</f>
        <v>2549</v>
      </c>
      <c r="N146" s="141">
        <f t="shared" si="70"/>
        <v>734</v>
      </c>
      <c r="O146" s="142">
        <f t="shared" si="70"/>
        <v>3283</v>
      </c>
      <c r="P146" s="142">
        <f t="shared" si="70"/>
        <v>0</v>
      </c>
      <c r="Q146" s="142">
        <f t="shared" si="70"/>
        <v>3283</v>
      </c>
      <c r="R146" s="40">
        <f t="shared" si="70"/>
        <v>3330</v>
      </c>
      <c r="S146" s="141">
        <f t="shared" si="70"/>
        <v>876</v>
      </c>
      <c r="T146" s="142">
        <f t="shared" si="70"/>
        <v>4206</v>
      </c>
      <c r="U146" s="142">
        <f t="shared" si="70"/>
        <v>0</v>
      </c>
      <c r="V146" s="142">
        <f t="shared" si="70"/>
        <v>4206</v>
      </c>
      <c r="W146" s="257">
        <f t="shared" si="68"/>
        <v>28.114529393847086</v>
      </c>
      <c r="Y146" s="99"/>
      <c r="Z146" s="99"/>
    </row>
    <row r="147" spans="2:26" ht="13.5" thickTop="1">
      <c r="B147" s="70"/>
      <c r="C147" s="70"/>
      <c r="D147" s="70"/>
      <c r="E147" s="70"/>
      <c r="F147" s="70"/>
      <c r="G147" s="70"/>
      <c r="H147" s="70"/>
      <c r="I147" s="247"/>
      <c r="L147" s="4" t="s">
        <v>22</v>
      </c>
      <c r="M147" s="133">
        <f aca="true" t="shared" si="71" ref="M147:U147">+M95+M121</f>
        <v>968</v>
      </c>
      <c r="N147" s="36">
        <f t="shared" si="71"/>
        <v>304</v>
      </c>
      <c r="O147" s="33">
        <f t="shared" si="71"/>
        <v>1272</v>
      </c>
      <c r="P147" s="34">
        <f t="shared" si="71"/>
        <v>0</v>
      </c>
      <c r="Q147" s="35">
        <f t="shared" si="71"/>
        <v>1272</v>
      </c>
      <c r="R147" s="29">
        <f t="shared" si="71"/>
        <v>969</v>
      </c>
      <c r="S147" s="36">
        <f t="shared" si="71"/>
        <v>258</v>
      </c>
      <c r="T147" s="33">
        <f t="shared" si="71"/>
        <v>1227</v>
      </c>
      <c r="U147" s="34">
        <f t="shared" si="71"/>
        <v>0</v>
      </c>
      <c r="V147" s="31">
        <f>T147+U147</f>
        <v>1227</v>
      </c>
      <c r="W147" s="265">
        <f>IF(Q147=0,0,((V147/Q147)-1)*100)</f>
        <v>-3.5377358490566</v>
      </c>
      <c r="Y147" s="99"/>
      <c r="Z147" s="99"/>
    </row>
    <row r="148" spans="2:23" ht="12.75">
      <c r="B148" s="70"/>
      <c r="C148" s="70"/>
      <c r="D148" s="70"/>
      <c r="E148" s="70"/>
      <c r="F148" s="70"/>
      <c r="G148" s="70"/>
      <c r="H148" s="70"/>
      <c r="I148" s="247"/>
      <c r="L148" s="4" t="s">
        <v>23</v>
      </c>
      <c r="M148" s="133">
        <f>+M96+M122</f>
        <v>1061</v>
      </c>
      <c r="N148" s="36">
        <f>+N96+N122</f>
        <v>245</v>
      </c>
      <c r="O148" s="33">
        <f>M148+N148</f>
        <v>1306</v>
      </c>
      <c r="P148" s="34">
        <f>+P96+P122</f>
        <v>0</v>
      </c>
      <c r="Q148" s="35">
        <f>O148+P148</f>
        <v>1306</v>
      </c>
      <c r="R148" s="133">
        <f>+R122+R96</f>
        <v>917</v>
      </c>
      <c r="S148" s="36">
        <f>+S122+S96</f>
        <v>296</v>
      </c>
      <c r="T148" s="33">
        <f>+T96+T122</f>
        <v>1213</v>
      </c>
      <c r="U148" s="34">
        <f>+U96+U122</f>
        <v>0</v>
      </c>
      <c r="V148" s="31">
        <f>T148+U148</f>
        <v>1213</v>
      </c>
      <c r="W148" s="256">
        <f t="shared" si="68"/>
        <v>-7.120980091883611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47"/>
      <c r="L149" s="4" t="s">
        <v>24</v>
      </c>
      <c r="M149" s="181">
        <f>+M97+M123</f>
        <v>1082</v>
      </c>
      <c r="N149" s="36">
        <f>+N97+N123</f>
        <v>259</v>
      </c>
      <c r="O149" s="33">
        <f>M149+N149</f>
        <v>1341</v>
      </c>
      <c r="P149" s="34">
        <f>+P97+P123</f>
        <v>0</v>
      </c>
      <c r="Q149" s="35">
        <f>O149+P149</f>
        <v>1341</v>
      </c>
      <c r="R149" s="133">
        <f>+R123+R97</f>
        <v>875</v>
      </c>
      <c r="S149" s="36">
        <f>+S123+S97</f>
        <v>265</v>
      </c>
      <c r="T149" s="33">
        <f>R149+S149</f>
        <v>1140</v>
      </c>
      <c r="U149" s="34">
        <f>+U97+U123</f>
        <v>0</v>
      </c>
      <c r="V149" s="31">
        <f>T149+U149</f>
        <v>1140</v>
      </c>
      <c r="W149" s="256">
        <f t="shared" si="68"/>
        <v>-14.988814317673382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47"/>
      <c r="J150" s="70"/>
      <c r="L150" s="44" t="s">
        <v>25</v>
      </c>
      <c r="M150" s="159">
        <f aca="true" t="shared" si="72" ref="M150:V150">+M147+M148+M149</f>
        <v>3111</v>
      </c>
      <c r="N150" s="45">
        <f t="shared" si="72"/>
        <v>808</v>
      </c>
      <c r="O150" s="47">
        <f t="shared" si="72"/>
        <v>3919</v>
      </c>
      <c r="P150" s="47">
        <f t="shared" si="72"/>
        <v>0</v>
      </c>
      <c r="Q150" s="47">
        <f t="shared" si="72"/>
        <v>3919</v>
      </c>
      <c r="R150" s="98">
        <f t="shared" si="72"/>
        <v>2761</v>
      </c>
      <c r="S150" s="49">
        <f t="shared" si="72"/>
        <v>819</v>
      </c>
      <c r="T150" s="47">
        <f t="shared" si="72"/>
        <v>3580</v>
      </c>
      <c r="U150" s="47">
        <f t="shared" si="72"/>
        <v>0</v>
      </c>
      <c r="V150" s="47">
        <f t="shared" si="72"/>
        <v>3580</v>
      </c>
      <c r="W150" s="257">
        <f t="shared" si="68"/>
        <v>-8.650165858637404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47"/>
      <c r="J151" s="70"/>
      <c r="L151" s="4" t="s">
        <v>26</v>
      </c>
      <c r="M151" s="93">
        <f aca="true" t="shared" si="73" ref="M151:N153">+M99+M125</f>
        <v>1010</v>
      </c>
      <c r="N151" s="36">
        <f t="shared" si="73"/>
        <v>276</v>
      </c>
      <c r="O151" s="33">
        <f>M151+N151</f>
        <v>1286</v>
      </c>
      <c r="P151" s="34">
        <f aca="true" t="shared" si="74" ref="P151:U151">+P99+P125</f>
        <v>0</v>
      </c>
      <c r="Q151" s="35">
        <f t="shared" si="74"/>
        <v>1286</v>
      </c>
      <c r="R151" s="29">
        <f t="shared" si="74"/>
        <v>926</v>
      </c>
      <c r="S151" s="36">
        <f t="shared" si="74"/>
        <v>280</v>
      </c>
      <c r="T151" s="33">
        <f t="shared" si="74"/>
        <v>1206</v>
      </c>
      <c r="U151" s="34">
        <f t="shared" si="74"/>
        <v>0</v>
      </c>
      <c r="V151" s="31">
        <f>T151+U151</f>
        <v>1206</v>
      </c>
      <c r="W151" s="265">
        <f aca="true" t="shared" si="75" ref="W151:W156">IF(Q151=0,0,((V151/Q151)-1)*100)</f>
        <v>-6.220839813374801</v>
      </c>
    </row>
    <row r="152" spans="2:23" ht="12.75">
      <c r="B152" s="298"/>
      <c r="C152" s="146"/>
      <c r="D152" s="146"/>
      <c r="E152" s="234"/>
      <c r="F152" s="146"/>
      <c r="G152" s="146"/>
      <c r="H152" s="234"/>
      <c r="I152" s="295"/>
      <c r="J152" s="70"/>
      <c r="L152" s="4" t="s">
        <v>28</v>
      </c>
      <c r="M152" s="29">
        <f t="shared" si="73"/>
        <v>941</v>
      </c>
      <c r="N152" s="36">
        <f t="shared" si="73"/>
        <v>261</v>
      </c>
      <c r="O152" s="51">
        <f aca="true" t="shared" si="76" ref="O152:Q153">+O100+O126</f>
        <v>1202</v>
      </c>
      <c r="P152" s="138">
        <f t="shared" si="76"/>
        <v>0</v>
      </c>
      <c r="Q152" s="35">
        <f t="shared" si="76"/>
        <v>1202</v>
      </c>
      <c r="R152" s="133">
        <f>+R126+R100</f>
        <v>969</v>
      </c>
      <c r="S152" s="36">
        <f>+S126+S100</f>
        <v>278</v>
      </c>
      <c r="T152" s="33">
        <f>R152+S152</f>
        <v>1247</v>
      </c>
      <c r="U152" s="34">
        <f>+U100+U126</f>
        <v>0</v>
      </c>
      <c r="V152" s="31">
        <f>T152+U152</f>
        <v>1247</v>
      </c>
      <c r="W152" s="256">
        <f>IF(Q152=0,0,((V152/Q152)-1)*100)</f>
        <v>3.7437603993344393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47"/>
      <c r="L153" s="4" t="s">
        <v>29</v>
      </c>
      <c r="M153" s="37">
        <f t="shared" si="73"/>
        <v>1064</v>
      </c>
      <c r="N153" s="36">
        <f t="shared" si="73"/>
        <v>253</v>
      </c>
      <c r="O153" s="33">
        <f t="shared" si="76"/>
        <v>1317</v>
      </c>
      <c r="P153" s="52">
        <f t="shared" si="76"/>
        <v>0</v>
      </c>
      <c r="Q153" s="35">
        <f t="shared" si="76"/>
        <v>1317</v>
      </c>
      <c r="R153" s="133">
        <f>+R127+R101</f>
        <v>992</v>
      </c>
      <c r="S153" s="36">
        <f>+S127+S101</f>
        <v>299</v>
      </c>
      <c r="T153" s="33">
        <f>R153+S153</f>
        <v>1291</v>
      </c>
      <c r="U153" s="34">
        <f>+U101+U127</f>
        <v>2</v>
      </c>
      <c r="V153" s="31">
        <f>T153+U153</f>
        <v>1293</v>
      </c>
      <c r="W153" s="256">
        <f t="shared" si="75"/>
        <v>-1.8223234624145768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47"/>
      <c r="L154" s="44" t="s">
        <v>30</v>
      </c>
      <c r="M154" s="40">
        <f aca="true" t="shared" si="77" ref="M154:V154">+M151+M152+M153</f>
        <v>3015</v>
      </c>
      <c r="N154" s="41">
        <f t="shared" si="77"/>
        <v>790</v>
      </c>
      <c r="O154" s="40">
        <f t="shared" si="77"/>
        <v>3805</v>
      </c>
      <c r="P154" s="40">
        <f t="shared" si="77"/>
        <v>0</v>
      </c>
      <c r="Q154" s="43">
        <f t="shared" si="77"/>
        <v>3805</v>
      </c>
      <c r="R154" s="98">
        <f t="shared" si="77"/>
        <v>2887</v>
      </c>
      <c r="S154" s="49">
        <f t="shared" si="77"/>
        <v>857</v>
      </c>
      <c r="T154" s="47">
        <f t="shared" si="77"/>
        <v>3744</v>
      </c>
      <c r="U154" s="47">
        <f t="shared" si="77"/>
        <v>2</v>
      </c>
      <c r="V154" s="47">
        <f t="shared" si="77"/>
        <v>3746</v>
      </c>
      <c r="W154" s="257">
        <f t="shared" si="75"/>
        <v>-1.5505913272010563</v>
      </c>
    </row>
    <row r="155" spans="1:26" ht="14.25" thickBot="1" thickTop="1">
      <c r="A155" s="220"/>
      <c r="B155" s="232"/>
      <c r="C155" s="234"/>
      <c r="D155" s="234"/>
      <c r="E155" s="234"/>
      <c r="F155" s="233"/>
      <c r="G155" s="233"/>
      <c r="H155" s="233"/>
      <c r="I155" s="276"/>
      <c r="J155" s="220"/>
      <c r="L155" s="39" t="s">
        <v>66</v>
      </c>
      <c r="M155" s="40">
        <f aca="true" t="shared" si="78" ref="M155:V155">+M146+M150+M154</f>
        <v>8675</v>
      </c>
      <c r="N155" s="141">
        <f t="shared" si="78"/>
        <v>2332</v>
      </c>
      <c r="O155" s="142">
        <f t="shared" si="78"/>
        <v>11007</v>
      </c>
      <c r="P155" s="142">
        <f t="shared" si="78"/>
        <v>0</v>
      </c>
      <c r="Q155" s="142">
        <f t="shared" si="78"/>
        <v>11007</v>
      </c>
      <c r="R155" s="40">
        <f t="shared" si="78"/>
        <v>8978</v>
      </c>
      <c r="S155" s="141">
        <f t="shared" si="78"/>
        <v>2552</v>
      </c>
      <c r="T155" s="142">
        <f t="shared" si="78"/>
        <v>11530</v>
      </c>
      <c r="U155" s="142">
        <f t="shared" si="78"/>
        <v>2</v>
      </c>
      <c r="V155" s="142">
        <f t="shared" si="78"/>
        <v>11532</v>
      </c>
      <c r="W155" s="257">
        <f t="shared" si="75"/>
        <v>4.769692014172788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47"/>
      <c r="L156" s="39" t="s">
        <v>9</v>
      </c>
      <c r="M156" s="40">
        <f aca="true" t="shared" si="79" ref="M156:V156">M142+M146+M150+M154</f>
        <v>10991</v>
      </c>
      <c r="N156" s="141">
        <f t="shared" si="79"/>
        <v>3512</v>
      </c>
      <c r="O156" s="142">
        <f t="shared" si="79"/>
        <v>14503</v>
      </c>
      <c r="P156" s="142">
        <f t="shared" si="79"/>
        <v>0</v>
      </c>
      <c r="Q156" s="142">
        <f t="shared" si="79"/>
        <v>14503</v>
      </c>
      <c r="R156" s="142">
        <f t="shared" si="79"/>
        <v>12481</v>
      </c>
      <c r="S156" s="141">
        <f t="shared" si="79"/>
        <v>3518</v>
      </c>
      <c r="T156" s="142">
        <f t="shared" si="79"/>
        <v>15999</v>
      </c>
      <c r="U156" s="142">
        <f t="shared" si="79"/>
        <v>2</v>
      </c>
      <c r="V156" s="142">
        <f t="shared" si="79"/>
        <v>16001</v>
      </c>
      <c r="W156" s="257">
        <f t="shared" si="75"/>
        <v>10.328897469489062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47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47"/>
      <c r="L158" s="336" t="s">
        <v>51</v>
      </c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</row>
    <row r="159" spans="2:23" ht="15.75">
      <c r="B159" s="70"/>
      <c r="C159" s="70"/>
      <c r="D159" s="70"/>
      <c r="E159" s="70"/>
      <c r="F159" s="70"/>
      <c r="G159" s="70"/>
      <c r="H159" s="70"/>
      <c r="I159" s="247"/>
      <c r="L159" s="337" t="s">
        <v>52</v>
      </c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</row>
    <row r="160" spans="2:23" ht="3.75" customHeight="1" thickBot="1">
      <c r="B160" s="70"/>
      <c r="C160" s="70"/>
      <c r="D160" s="70"/>
      <c r="E160" s="70"/>
      <c r="F160" s="70"/>
      <c r="G160" s="70"/>
      <c r="H160" s="70"/>
      <c r="I160" s="247"/>
      <c r="W160" s="242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47"/>
      <c r="L161" s="3"/>
      <c r="M161" s="347" t="s">
        <v>67</v>
      </c>
      <c r="N161" s="348"/>
      <c r="O161" s="348"/>
      <c r="P161" s="348"/>
      <c r="Q161" s="349"/>
      <c r="R161" s="338" t="s">
        <v>68</v>
      </c>
      <c r="S161" s="339"/>
      <c r="T161" s="339"/>
      <c r="U161" s="339"/>
      <c r="V161" s="340"/>
      <c r="W161" s="239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47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0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47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1"/>
    </row>
    <row r="164" spans="2:23" ht="4.5" customHeight="1" thickTop="1">
      <c r="B164" s="70"/>
      <c r="C164" s="70"/>
      <c r="D164" s="70"/>
      <c r="E164" s="70"/>
      <c r="F164" s="70"/>
      <c r="G164" s="70"/>
      <c r="H164" s="70"/>
      <c r="I164" s="247"/>
      <c r="L164" s="4"/>
      <c r="M164" s="23"/>
      <c r="N164" s="24"/>
      <c r="O164" s="25"/>
      <c r="P164" s="26"/>
      <c r="Q164" s="27"/>
      <c r="R164" s="179"/>
      <c r="S164" s="24"/>
      <c r="T164" s="25"/>
      <c r="U164" s="26"/>
      <c r="V164" s="28"/>
      <c r="W164" s="207"/>
    </row>
    <row r="165" spans="2:23" ht="12.75">
      <c r="B165" s="70"/>
      <c r="C165" s="70"/>
      <c r="D165" s="70"/>
      <c r="E165" s="70"/>
      <c r="F165" s="70"/>
      <c r="G165" s="70"/>
      <c r="H165" s="70"/>
      <c r="I165" s="247"/>
      <c r="L165" s="4" t="s">
        <v>14</v>
      </c>
      <c r="M165" s="29">
        <v>0</v>
      </c>
      <c r="N165" s="36">
        <v>0</v>
      </c>
      <c r="O165" s="33">
        <f>M165+N165</f>
        <v>0</v>
      </c>
      <c r="P165" s="34">
        <v>0</v>
      </c>
      <c r="Q165" s="35">
        <f aca="true" t="shared" si="80" ref="Q165:Q170">O165+P165</f>
        <v>0</v>
      </c>
      <c r="R165" s="29">
        <v>0</v>
      </c>
      <c r="S165" s="36">
        <v>0</v>
      </c>
      <c r="T165" s="33">
        <f>R165+S165</f>
        <v>0</v>
      </c>
      <c r="U165" s="34">
        <v>0</v>
      </c>
      <c r="V165" s="31">
        <f>+T165+U165</f>
        <v>0</v>
      </c>
      <c r="W165" s="32">
        <f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47"/>
      <c r="L166" s="4" t="s">
        <v>15</v>
      </c>
      <c r="M166" s="29">
        <v>0</v>
      </c>
      <c r="N166" s="36">
        <v>0</v>
      </c>
      <c r="O166" s="33">
        <f>M166+N166</f>
        <v>0</v>
      </c>
      <c r="P166" s="34">
        <v>0</v>
      </c>
      <c r="Q166" s="35">
        <f t="shared" si="80"/>
        <v>0</v>
      </c>
      <c r="R166" s="29">
        <v>0</v>
      </c>
      <c r="S166" s="36">
        <v>0</v>
      </c>
      <c r="T166" s="33">
        <f>R166+S166</f>
        <v>0</v>
      </c>
      <c r="U166" s="34">
        <v>0</v>
      </c>
      <c r="V166" s="31">
        <f>+T166+U166</f>
        <v>0</v>
      </c>
      <c r="W166" s="32">
        <f>IF(Q166=0,0,((V166/Q166)-1)*100)</f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47"/>
      <c r="L167" s="4" t="s">
        <v>16</v>
      </c>
      <c r="M167" s="29">
        <v>0</v>
      </c>
      <c r="N167" s="36">
        <v>0</v>
      </c>
      <c r="O167" s="33">
        <f>M167+N167</f>
        <v>0</v>
      </c>
      <c r="P167" s="34">
        <v>0</v>
      </c>
      <c r="Q167" s="35">
        <f t="shared" si="80"/>
        <v>0</v>
      </c>
      <c r="R167" s="29">
        <v>0</v>
      </c>
      <c r="S167" s="36">
        <v>0</v>
      </c>
      <c r="T167" s="33">
        <f>R167+S167</f>
        <v>0</v>
      </c>
      <c r="U167" s="34">
        <v>0</v>
      </c>
      <c r="V167" s="31">
        <f>+T167+U167</f>
        <v>0</v>
      </c>
      <c r="W167" s="32">
        <f>IF(Q167=0,0,((V167/Q167)-1)*100)</f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47"/>
      <c r="L168" s="39" t="s">
        <v>58</v>
      </c>
      <c r="M168" s="40">
        <f>+M167+M166+M165</f>
        <v>0</v>
      </c>
      <c r="N168" s="41">
        <f>+N167+N166+N165</f>
        <v>0</v>
      </c>
      <c r="O168" s="40">
        <f>+O167+O166+O165</f>
        <v>0</v>
      </c>
      <c r="P168" s="40">
        <f>+P167+P166+P165</f>
        <v>0</v>
      </c>
      <c r="Q168" s="40">
        <f t="shared" si="80"/>
        <v>0</v>
      </c>
      <c r="R168" s="40">
        <f>+R167+R166+R165</f>
        <v>0</v>
      </c>
      <c r="S168" s="41">
        <f>+S167+S166+S165</f>
        <v>0</v>
      </c>
      <c r="T168" s="40">
        <f>+T167+T166+T165</f>
        <v>0</v>
      </c>
      <c r="U168" s="40">
        <f>+U167+U166+U165</f>
        <v>0</v>
      </c>
      <c r="V168" s="42">
        <f>+V165+V166+V167</f>
        <v>0</v>
      </c>
      <c r="W168" s="54">
        <f>IF(Q168=0,0,((V168/Q168)-1)*100)</f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47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 t="shared" si="80"/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182">
        <f>IF(Q169=0,0,((V169/Q169)-1)*100)</f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47"/>
      <c r="L170" s="4" t="s">
        <v>19</v>
      </c>
      <c r="M170" s="29">
        <v>0</v>
      </c>
      <c r="N170" s="36">
        <v>0</v>
      </c>
      <c r="O170" s="33">
        <v>0</v>
      </c>
      <c r="P170" s="34">
        <v>0</v>
      </c>
      <c r="Q170" s="35">
        <f t="shared" si="80"/>
        <v>0</v>
      </c>
      <c r="R170" s="29">
        <v>0</v>
      </c>
      <c r="S170" s="36">
        <v>0</v>
      </c>
      <c r="T170" s="33">
        <v>0</v>
      </c>
      <c r="U170" s="34">
        <v>0</v>
      </c>
      <c r="V170" s="31">
        <f>+T170+U170</f>
        <v>0</v>
      </c>
      <c r="W170" s="182"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47"/>
      <c r="L171" s="12" t="s">
        <v>20</v>
      </c>
      <c r="M171" s="29">
        <v>0</v>
      </c>
      <c r="N171" s="36">
        <v>0</v>
      </c>
      <c r="O171" s="33">
        <f>+N171+M171</f>
        <v>0</v>
      </c>
      <c r="P171" s="34">
        <v>0</v>
      </c>
      <c r="Q171" s="35">
        <v>0</v>
      </c>
      <c r="R171" s="29">
        <v>0</v>
      </c>
      <c r="S171" s="36">
        <v>0</v>
      </c>
      <c r="T171" s="33">
        <f>+S171+R171</f>
        <v>0</v>
      </c>
      <c r="U171" s="34">
        <v>0</v>
      </c>
      <c r="V171" s="31">
        <f>+U171+T171</f>
        <v>0</v>
      </c>
      <c r="W171" s="32">
        <f>IF(Q171=0,0,((V171/Q171)-1)*100)</f>
        <v>0</v>
      </c>
    </row>
    <row r="172" spans="1:23" ht="14.25" thickBot="1" thickTop="1">
      <c r="A172" s="70"/>
      <c r="B172" s="232"/>
      <c r="C172" s="234"/>
      <c r="D172" s="234"/>
      <c r="E172" s="234"/>
      <c r="F172" s="233"/>
      <c r="G172" s="233"/>
      <c r="H172" s="233"/>
      <c r="I172" s="276"/>
      <c r="J172" s="70"/>
      <c r="L172" s="39" t="s">
        <v>21</v>
      </c>
      <c r="M172" s="40">
        <f aca="true" t="shared" si="81" ref="M172:V172">M169+M170+M171</f>
        <v>0</v>
      </c>
      <c r="N172" s="141">
        <f t="shared" si="81"/>
        <v>0</v>
      </c>
      <c r="O172" s="142">
        <f t="shared" si="81"/>
        <v>0</v>
      </c>
      <c r="P172" s="142">
        <f t="shared" si="81"/>
        <v>0</v>
      </c>
      <c r="Q172" s="142">
        <f t="shared" si="81"/>
        <v>0</v>
      </c>
      <c r="R172" s="40">
        <f t="shared" si="81"/>
        <v>0</v>
      </c>
      <c r="S172" s="141">
        <f t="shared" si="81"/>
        <v>0</v>
      </c>
      <c r="T172" s="142">
        <f t="shared" si="81"/>
        <v>0</v>
      </c>
      <c r="U172" s="142">
        <f t="shared" si="81"/>
        <v>0</v>
      </c>
      <c r="V172" s="142">
        <f t="shared" si="81"/>
        <v>0</v>
      </c>
      <c r="W172" s="54">
        <f>IF(Q172=0,0,((V172/Q172)-1)*100)</f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47"/>
      <c r="L173" s="4" t="s">
        <v>22</v>
      </c>
      <c r="M173" s="236">
        <v>0</v>
      </c>
      <c r="N173" s="135">
        <v>0</v>
      </c>
      <c r="O173" s="31">
        <f>+M173+N173</f>
        <v>0</v>
      </c>
      <c r="P173" s="138">
        <v>0</v>
      </c>
      <c r="Q173" s="35">
        <f>O173+P173</f>
        <v>0</v>
      </c>
      <c r="R173" s="236">
        <v>0</v>
      </c>
      <c r="S173" s="135">
        <v>0</v>
      </c>
      <c r="T173" s="31">
        <v>0</v>
      </c>
      <c r="U173" s="138">
        <v>0</v>
      </c>
      <c r="V173" s="31">
        <v>0</v>
      </c>
      <c r="W173" s="286"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47"/>
      <c r="L174" s="4" t="s">
        <v>23</v>
      </c>
      <c r="M174" s="36">
        <v>0</v>
      </c>
      <c r="N174" s="216">
        <v>0</v>
      </c>
      <c r="O174" s="31">
        <f>+M174+N174</f>
        <v>0</v>
      </c>
      <c r="P174" s="138">
        <v>0</v>
      </c>
      <c r="Q174" s="35">
        <f>O174+P174</f>
        <v>0</v>
      </c>
      <c r="R174" s="36">
        <v>0</v>
      </c>
      <c r="S174" s="216">
        <v>0</v>
      </c>
      <c r="T174" s="31">
        <v>0</v>
      </c>
      <c r="U174" s="138">
        <v>0</v>
      </c>
      <c r="V174" s="31">
        <v>0</v>
      </c>
      <c r="W174" s="287"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47"/>
      <c r="L175" s="4" t="s">
        <v>24</v>
      </c>
      <c r="M175" s="36">
        <v>0</v>
      </c>
      <c r="N175" s="216">
        <v>0</v>
      </c>
      <c r="O175" s="31">
        <f>+M175+N175</f>
        <v>0</v>
      </c>
      <c r="P175" s="148">
        <v>0</v>
      </c>
      <c r="Q175" s="35">
        <f>+O175+P175</f>
        <v>0</v>
      </c>
      <c r="R175" s="36">
        <v>0</v>
      </c>
      <c r="S175" s="216">
        <v>0</v>
      </c>
      <c r="T175" s="31">
        <v>0</v>
      </c>
      <c r="U175" s="148">
        <v>0</v>
      </c>
      <c r="V175" s="31">
        <v>0</v>
      </c>
      <c r="W175" s="290"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47"/>
      <c r="L176" s="44" t="s">
        <v>25</v>
      </c>
      <c r="M176" s="163">
        <f aca="true" t="shared" si="82" ref="M176:V176">+M173+M174+M175</f>
        <v>0</v>
      </c>
      <c r="N176" s="46">
        <f t="shared" si="82"/>
        <v>0</v>
      </c>
      <c r="O176" s="47">
        <f t="shared" si="82"/>
        <v>0</v>
      </c>
      <c r="P176" s="47">
        <f t="shared" si="82"/>
        <v>0</v>
      </c>
      <c r="Q176" s="41">
        <f t="shared" si="82"/>
        <v>0</v>
      </c>
      <c r="R176" s="163">
        <f t="shared" si="82"/>
        <v>0</v>
      </c>
      <c r="S176" s="46">
        <f t="shared" si="82"/>
        <v>0</v>
      </c>
      <c r="T176" s="47">
        <f t="shared" si="82"/>
        <v>0</v>
      </c>
      <c r="U176" s="47">
        <f t="shared" si="82"/>
        <v>0</v>
      </c>
      <c r="V176" s="47">
        <f t="shared" si="82"/>
        <v>0</v>
      </c>
      <c r="W176" s="48"/>
    </row>
    <row r="177" spans="2:23" ht="13.5" thickTop="1">
      <c r="B177" s="70"/>
      <c r="C177" s="70"/>
      <c r="D177" s="70"/>
      <c r="E177" s="70"/>
      <c r="F177" s="70"/>
      <c r="G177" s="70"/>
      <c r="H177" s="70"/>
      <c r="I177" s="247"/>
      <c r="L177" s="4" t="s">
        <v>27</v>
      </c>
      <c r="M177" s="236">
        <v>0</v>
      </c>
      <c r="N177" s="135">
        <v>0</v>
      </c>
      <c r="O177" s="31">
        <f>+M177+N177</f>
        <v>0</v>
      </c>
      <c r="P177" s="138">
        <v>0</v>
      </c>
      <c r="Q177" s="35">
        <f>O177+P177</f>
        <v>0</v>
      </c>
      <c r="R177" s="236">
        <v>0</v>
      </c>
      <c r="S177" s="135">
        <v>0</v>
      </c>
      <c r="T177" s="31">
        <v>0</v>
      </c>
      <c r="U177" s="138">
        <v>0</v>
      </c>
      <c r="V177" s="31">
        <v>0</v>
      </c>
      <c r="W177" s="286"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47"/>
      <c r="L178" s="4" t="s">
        <v>28</v>
      </c>
      <c r="M178" s="36">
        <v>0</v>
      </c>
      <c r="N178" s="216">
        <v>0</v>
      </c>
      <c r="O178" s="31">
        <f>+M178+N178</f>
        <v>0</v>
      </c>
      <c r="P178" s="138">
        <v>0</v>
      </c>
      <c r="Q178" s="35">
        <f>O178+P178</f>
        <v>0</v>
      </c>
      <c r="R178" s="36">
        <v>0</v>
      </c>
      <c r="S178" s="216">
        <v>0</v>
      </c>
      <c r="T178" s="31">
        <v>0</v>
      </c>
      <c r="U178" s="138">
        <v>0</v>
      </c>
      <c r="V178" s="31">
        <v>0</v>
      </c>
      <c r="W178" s="287"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47"/>
      <c r="L179" s="4" t="s">
        <v>29</v>
      </c>
      <c r="M179" s="36">
        <v>0</v>
      </c>
      <c r="N179" s="216">
        <v>0</v>
      </c>
      <c r="O179" s="31">
        <f>+M179+N179</f>
        <v>0</v>
      </c>
      <c r="P179" s="148">
        <v>0</v>
      </c>
      <c r="Q179" s="35">
        <f>+O179+P179</f>
        <v>0</v>
      </c>
      <c r="R179" s="36">
        <v>0</v>
      </c>
      <c r="S179" s="216">
        <v>0</v>
      </c>
      <c r="T179" s="31">
        <v>0</v>
      </c>
      <c r="U179" s="148">
        <v>0</v>
      </c>
      <c r="V179" s="31">
        <v>0</v>
      </c>
      <c r="W179" s="290"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47"/>
      <c r="L180" s="39" t="s">
        <v>30</v>
      </c>
      <c r="M180" s="40">
        <f aca="true" t="shared" si="83" ref="M180:V180">+M177+M178+M179</f>
        <v>0</v>
      </c>
      <c r="N180" s="41">
        <f t="shared" si="83"/>
        <v>0</v>
      </c>
      <c r="O180" s="40">
        <f t="shared" si="83"/>
        <v>0</v>
      </c>
      <c r="P180" s="40">
        <f t="shared" si="83"/>
        <v>0</v>
      </c>
      <c r="Q180" s="43">
        <f t="shared" si="83"/>
        <v>0</v>
      </c>
      <c r="R180" s="163">
        <f t="shared" si="83"/>
        <v>0</v>
      </c>
      <c r="S180" s="46">
        <f t="shared" si="83"/>
        <v>0</v>
      </c>
      <c r="T180" s="47">
        <f t="shared" si="83"/>
        <v>0</v>
      </c>
      <c r="U180" s="47">
        <f t="shared" si="83"/>
        <v>0</v>
      </c>
      <c r="V180" s="47">
        <f t="shared" si="83"/>
        <v>0</v>
      </c>
      <c r="W180" s="48">
        <v>0</v>
      </c>
    </row>
    <row r="181" spans="1:23" ht="14.25" thickBot="1" thickTop="1">
      <c r="A181" s="220"/>
      <c r="B181" s="232"/>
      <c r="C181" s="234"/>
      <c r="D181" s="234"/>
      <c r="E181" s="234"/>
      <c r="F181" s="233"/>
      <c r="G181" s="233"/>
      <c r="H181" s="233"/>
      <c r="I181" s="276"/>
      <c r="J181" s="220"/>
      <c r="L181" s="39" t="s">
        <v>66</v>
      </c>
      <c r="M181" s="40">
        <f aca="true" t="shared" si="84" ref="M181:V181">+M172+M176+M180</f>
        <v>0</v>
      </c>
      <c r="N181" s="141">
        <f t="shared" si="84"/>
        <v>0</v>
      </c>
      <c r="O181" s="142">
        <f t="shared" si="84"/>
        <v>0</v>
      </c>
      <c r="P181" s="142">
        <f t="shared" si="84"/>
        <v>0</v>
      </c>
      <c r="Q181" s="142">
        <f t="shared" si="84"/>
        <v>0</v>
      </c>
      <c r="R181" s="40">
        <f t="shared" si="84"/>
        <v>0</v>
      </c>
      <c r="S181" s="141">
        <f t="shared" si="84"/>
        <v>0</v>
      </c>
      <c r="T181" s="142">
        <f t="shared" si="84"/>
        <v>0</v>
      </c>
      <c r="U181" s="142">
        <f t="shared" si="84"/>
        <v>0</v>
      </c>
      <c r="V181" s="142">
        <f t="shared" si="84"/>
        <v>0</v>
      </c>
      <c r="W181" s="54"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47"/>
      <c r="L182" s="39" t="s">
        <v>9</v>
      </c>
      <c r="M182" s="40">
        <f aca="true" t="shared" si="85" ref="M182:V182">M168+M172+M176+M180</f>
        <v>0</v>
      </c>
      <c r="N182" s="41">
        <f t="shared" si="85"/>
        <v>0</v>
      </c>
      <c r="O182" s="40">
        <f t="shared" si="85"/>
        <v>0</v>
      </c>
      <c r="P182" s="40">
        <f t="shared" si="85"/>
        <v>0</v>
      </c>
      <c r="Q182" s="40">
        <f t="shared" si="85"/>
        <v>0</v>
      </c>
      <c r="R182" s="42">
        <f t="shared" si="85"/>
        <v>0</v>
      </c>
      <c r="S182" s="217">
        <f t="shared" si="85"/>
        <v>0</v>
      </c>
      <c r="T182" s="42">
        <f t="shared" si="85"/>
        <v>0</v>
      </c>
      <c r="U182" s="43">
        <f t="shared" si="85"/>
        <v>0</v>
      </c>
      <c r="V182" s="141">
        <f t="shared" si="85"/>
        <v>0</v>
      </c>
      <c r="W182" s="301"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47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47"/>
      <c r="L184" s="336" t="s">
        <v>53</v>
      </c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</row>
    <row r="185" spans="2:23" ht="15" customHeight="1">
      <c r="B185" s="70"/>
      <c r="C185" s="70"/>
      <c r="D185" s="70"/>
      <c r="E185" s="70"/>
      <c r="F185" s="70"/>
      <c r="G185" s="70"/>
      <c r="H185" s="70"/>
      <c r="I185" s="247"/>
      <c r="L185" s="337" t="s">
        <v>54</v>
      </c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47"/>
      <c r="W186" s="242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47"/>
      <c r="L187" s="3"/>
      <c r="M187" s="347" t="s">
        <v>67</v>
      </c>
      <c r="N187" s="348"/>
      <c r="O187" s="348"/>
      <c r="P187" s="348"/>
      <c r="Q187" s="349"/>
      <c r="R187" s="338" t="s">
        <v>68</v>
      </c>
      <c r="S187" s="339"/>
      <c r="T187" s="339"/>
      <c r="U187" s="339"/>
      <c r="V187" s="340"/>
      <c r="W187" s="239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47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0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47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1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47"/>
      <c r="L190" s="4"/>
      <c r="M190" s="23"/>
      <c r="N190" s="24"/>
      <c r="O190" s="25"/>
      <c r="P190" s="132"/>
      <c r="Q190" s="27"/>
      <c r="R190" s="179"/>
      <c r="S190" s="24"/>
      <c r="T190" s="25"/>
      <c r="U190" s="132"/>
      <c r="V190" s="28"/>
      <c r="W190" s="207"/>
    </row>
    <row r="191" spans="2:23" ht="12.75">
      <c r="B191" s="70"/>
      <c r="C191" s="70"/>
      <c r="D191" s="70"/>
      <c r="E191" s="70"/>
      <c r="F191" s="70"/>
      <c r="G191" s="70"/>
      <c r="H191" s="70"/>
      <c r="I191" s="247"/>
      <c r="L191" s="4" t="s">
        <v>14</v>
      </c>
      <c r="M191" s="29">
        <v>24</v>
      </c>
      <c r="N191" s="36">
        <v>0</v>
      </c>
      <c r="O191" s="51">
        <f>+M191+N191</f>
        <v>24</v>
      </c>
      <c r="P191" s="34">
        <v>0</v>
      </c>
      <c r="Q191" s="35">
        <f>O191+P191</f>
        <v>24</v>
      </c>
      <c r="R191" s="29">
        <v>0</v>
      </c>
      <c r="S191" s="36">
        <v>0</v>
      </c>
      <c r="T191" s="51">
        <f>+R191+S191</f>
        <v>0</v>
      </c>
      <c r="U191" s="34">
        <v>0</v>
      </c>
      <c r="V191" s="31">
        <f>+T191+U191</f>
        <v>0</v>
      </c>
      <c r="W191" s="182">
        <f>IF(Q191=0,0,((V191/Q191)-1)*100)</f>
        <v>-100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47"/>
      <c r="L192" s="4" t="s">
        <v>15</v>
      </c>
      <c r="M192" s="29">
        <v>30</v>
      </c>
      <c r="N192" s="36">
        <v>0</v>
      </c>
      <c r="O192" s="51">
        <f>+M192+N192</f>
        <v>30</v>
      </c>
      <c r="P192" s="34">
        <v>0</v>
      </c>
      <c r="Q192" s="35">
        <f>O192+P192</f>
        <v>30</v>
      </c>
      <c r="R192" s="29">
        <v>0</v>
      </c>
      <c r="S192" s="36">
        <v>0</v>
      </c>
      <c r="T192" s="51">
        <f>+R192+S192</f>
        <v>0</v>
      </c>
      <c r="U192" s="34">
        <v>0</v>
      </c>
      <c r="V192" s="31">
        <f>+T192+U192</f>
        <v>0</v>
      </c>
      <c r="W192" s="256">
        <f>IF(Q192=0,0,((V192/Q192)-1)*100)</f>
        <v>-100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47"/>
      <c r="L193" s="4" t="s">
        <v>16</v>
      </c>
      <c r="M193" s="29">
        <v>29</v>
      </c>
      <c r="N193" s="36">
        <v>0</v>
      </c>
      <c r="O193" s="51">
        <f>+M193+N193</f>
        <v>29</v>
      </c>
      <c r="P193" s="34">
        <v>0</v>
      </c>
      <c r="Q193" s="35">
        <f>O193+P193</f>
        <v>29</v>
      </c>
      <c r="R193" s="29">
        <v>17</v>
      </c>
      <c r="S193" s="36">
        <v>0</v>
      </c>
      <c r="T193" s="51">
        <f>+R193+S193</f>
        <v>17</v>
      </c>
      <c r="U193" s="34">
        <v>0</v>
      </c>
      <c r="V193" s="31">
        <f>+T193+U193</f>
        <v>17</v>
      </c>
      <c r="W193" s="32">
        <f>IF(Q193=0,0,((V193/Q193)-1)*100)</f>
        <v>-41.379310344827594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47"/>
      <c r="L194" s="39" t="s">
        <v>17</v>
      </c>
      <c r="M194" s="40">
        <f>+M191+M192+M193</f>
        <v>83</v>
      </c>
      <c r="N194" s="53">
        <f>+N191+N192+N193</f>
        <v>0</v>
      </c>
      <c r="O194" s="43">
        <f>+O191+O192+O193</f>
        <v>83</v>
      </c>
      <c r="P194" s="43">
        <f>+P191+P192+P193</f>
        <v>0</v>
      </c>
      <c r="Q194" s="43">
        <f aca="true" t="shared" si="86" ref="Q194:V194">+Q191+Q192+Q193</f>
        <v>83</v>
      </c>
      <c r="R194" s="40">
        <f t="shared" si="86"/>
        <v>17</v>
      </c>
      <c r="S194" s="53">
        <f t="shared" si="86"/>
        <v>0</v>
      </c>
      <c r="T194" s="43">
        <f t="shared" si="86"/>
        <v>17</v>
      </c>
      <c r="U194" s="43">
        <f t="shared" si="86"/>
        <v>0</v>
      </c>
      <c r="V194" s="43">
        <f t="shared" si="86"/>
        <v>17</v>
      </c>
      <c r="W194" s="54">
        <f>IF(Q194=0,0,((V194/Q194)-1)*100)</f>
        <v>-79.51807228915662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47"/>
      <c r="L195" s="4" t="s">
        <v>18</v>
      </c>
      <c r="M195" s="29">
        <v>25</v>
      </c>
      <c r="N195" s="36">
        <v>0</v>
      </c>
      <c r="O195" s="33">
        <f>+N195+M195</f>
        <v>25</v>
      </c>
      <c r="P195" s="34">
        <v>0</v>
      </c>
      <c r="Q195" s="31">
        <f>O195+P195</f>
        <v>25</v>
      </c>
      <c r="R195" s="29">
        <v>28</v>
      </c>
      <c r="S195" s="36">
        <v>0</v>
      </c>
      <c r="T195" s="33">
        <f>+S195+R195</f>
        <v>28</v>
      </c>
      <c r="U195" s="34">
        <v>0</v>
      </c>
      <c r="V195" s="31">
        <f>+U195+T195</f>
        <v>28</v>
      </c>
      <c r="W195" s="256">
        <f>IF(Q195=0,0,((V195/Q195)-1)*100)</f>
        <v>12.00000000000001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47"/>
      <c r="L196" s="4" t="s">
        <v>19</v>
      </c>
      <c r="M196" s="29">
        <v>33</v>
      </c>
      <c r="N196" s="36">
        <v>0</v>
      </c>
      <c r="O196" s="51">
        <f>+M196+N196</f>
        <v>33</v>
      </c>
      <c r="P196" s="34">
        <v>0</v>
      </c>
      <c r="Q196" s="31">
        <f>O196+P196</f>
        <v>33</v>
      </c>
      <c r="R196" s="29">
        <v>0</v>
      </c>
      <c r="S196" s="36">
        <v>0</v>
      </c>
      <c r="T196" s="51">
        <f>+R196+S196</f>
        <v>0</v>
      </c>
      <c r="U196" s="34">
        <v>0</v>
      </c>
      <c r="V196" s="31">
        <f>+U196+T196</f>
        <v>0</v>
      </c>
      <c r="W196" s="256">
        <v>-100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47"/>
      <c r="L197" s="12" t="s">
        <v>20</v>
      </c>
      <c r="M197" s="29">
        <v>34</v>
      </c>
      <c r="N197" s="36">
        <v>0</v>
      </c>
      <c r="O197" s="33">
        <f>+N197+M197</f>
        <v>34</v>
      </c>
      <c r="P197" s="34">
        <v>0</v>
      </c>
      <c r="Q197" s="31">
        <f>O197+P197</f>
        <v>34</v>
      </c>
      <c r="R197" s="29">
        <v>21</v>
      </c>
      <c r="S197" s="36">
        <v>0</v>
      </c>
      <c r="T197" s="33">
        <f>+S197+R197</f>
        <v>21</v>
      </c>
      <c r="U197" s="34">
        <v>0</v>
      </c>
      <c r="V197" s="31">
        <f>+U197+T197</f>
        <v>21</v>
      </c>
      <c r="W197" s="256">
        <v>-100</v>
      </c>
    </row>
    <row r="198" spans="1:23" ht="14.25" thickBot="1" thickTop="1">
      <c r="A198" s="70"/>
      <c r="B198" s="232"/>
      <c r="C198" s="234"/>
      <c r="D198" s="234"/>
      <c r="E198" s="234"/>
      <c r="F198" s="233"/>
      <c r="G198" s="233"/>
      <c r="H198" s="233"/>
      <c r="I198" s="276"/>
      <c r="J198" s="70"/>
      <c r="L198" s="39" t="s">
        <v>21</v>
      </c>
      <c r="M198" s="40">
        <f aca="true" t="shared" si="87" ref="M198:V198">M195+M196+M197</f>
        <v>92</v>
      </c>
      <c r="N198" s="141">
        <f t="shared" si="87"/>
        <v>0</v>
      </c>
      <c r="O198" s="142">
        <f t="shared" si="87"/>
        <v>92</v>
      </c>
      <c r="P198" s="142">
        <f t="shared" si="87"/>
        <v>0</v>
      </c>
      <c r="Q198" s="142">
        <f t="shared" si="87"/>
        <v>92</v>
      </c>
      <c r="R198" s="40">
        <f t="shared" si="87"/>
        <v>49</v>
      </c>
      <c r="S198" s="141">
        <f t="shared" si="87"/>
        <v>0</v>
      </c>
      <c r="T198" s="142">
        <f t="shared" si="87"/>
        <v>49</v>
      </c>
      <c r="U198" s="142">
        <f t="shared" si="87"/>
        <v>0</v>
      </c>
      <c r="V198" s="142">
        <f t="shared" si="87"/>
        <v>49</v>
      </c>
      <c r="W198" s="54">
        <f>IF(Q198=0,0,((V198/Q198)-1)*100)</f>
        <v>-46.7391304347826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47"/>
      <c r="L199" s="4" t="s">
        <v>22</v>
      </c>
      <c r="M199" s="177">
        <v>36</v>
      </c>
      <c r="N199" s="135">
        <v>0</v>
      </c>
      <c r="O199" s="31">
        <f>+M199+N199</f>
        <v>36</v>
      </c>
      <c r="P199" s="34">
        <v>0</v>
      </c>
      <c r="Q199" s="136">
        <f>O199+P199</f>
        <v>36</v>
      </c>
      <c r="R199" s="177">
        <v>32</v>
      </c>
      <c r="S199" s="135">
        <v>0</v>
      </c>
      <c r="T199" s="33">
        <f>+S199+R199</f>
        <v>32</v>
      </c>
      <c r="U199" s="34">
        <v>0</v>
      </c>
      <c r="V199" s="31">
        <f>+U199+T199</f>
        <v>32</v>
      </c>
      <c r="W199" s="256">
        <f>IF(Q199=0,0,((V199/Q199)-1)*100)</f>
        <v>-11.111111111111116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47"/>
      <c r="L200" s="4" t="s">
        <v>23</v>
      </c>
      <c r="M200" s="280">
        <v>25</v>
      </c>
      <c r="N200" s="216">
        <v>0</v>
      </c>
      <c r="O200" s="31">
        <f>+M200+N200</f>
        <v>25</v>
      </c>
      <c r="P200" s="34">
        <v>0</v>
      </c>
      <c r="Q200" s="136">
        <f>O200+P200</f>
        <v>25</v>
      </c>
      <c r="R200" s="280">
        <v>31</v>
      </c>
      <c r="S200" s="216">
        <v>0</v>
      </c>
      <c r="T200" s="33">
        <f>+S200+R200</f>
        <v>31</v>
      </c>
      <c r="U200" s="34">
        <v>0</v>
      </c>
      <c r="V200" s="31">
        <f>+U200+T200</f>
        <v>31</v>
      </c>
      <c r="W200" s="256">
        <v>-100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47"/>
      <c r="L201" s="4" t="s">
        <v>24</v>
      </c>
      <c r="M201" s="280">
        <v>18</v>
      </c>
      <c r="N201" s="216">
        <v>0</v>
      </c>
      <c r="O201" s="31">
        <f>+M201+N201</f>
        <v>18</v>
      </c>
      <c r="P201" s="34">
        <v>0</v>
      </c>
      <c r="Q201" s="31">
        <f>O201+P201</f>
        <v>18</v>
      </c>
      <c r="R201" s="280">
        <v>22</v>
      </c>
      <c r="S201" s="216">
        <v>0</v>
      </c>
      <c r="T201" s="33">
        <f>+S201+R201</f>
        <v>22</v>
      </c>
      <c r="U201" s="34">
        <v>0</v>
      </c>
      <c r="V201" s="31">
        <f>+U201+T201</f>
        <v>22</v>
      </c>
      <c r="W201" s="256">
        <v>-100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47"/>
      <c r="L202" s="44" t="s">
        <v>25</v>
      </c>
      <c r="M202" s="98">
        <f aca="true" t="shared" si="88" ref="M202:V202">+M199+M200+M201</f>
        <v>79</v>
      </c>
      <c r="N202" s="46">
        <f t="shared" si="88"/>
        <v>0</v>
      </c>
      <c r="O202" s="47">
        <f t="shared" si="88"/>
        <v>79</v>
      </c>
      <c r="P202" s="47">
        <f t="shared" si="88"/>
        <v>0</v>
      </c>
      <c r="Q202" s="78">
        <f t="shared" si="88"/>
        <v>79</v>
      </c>
      <c r="R202" s="98">
        <f t="shared" si="88"/>
        <v>85</v>
      </c>
      <c r="S202" s="46">
        <f t="shared" si="88"/>
        <v>0</v>
      </c>
      <c r="T202" s="47">
        <f t="shared" si="88"/>
        <v>85</v>
      </c>
      <c r="U202" s="47">
        <f t="shared" si="88"/>
        <v>0</v>
      </c>
      <c r="V202" s="47">
        <f t="shared" si="88"/>
        <v>85</v>
      </c>
      <c r="W202" s="54">
        <f>IF(Q202=0,0,((V202/Q202)-1)*100)</f>
        <v>7.594936708860756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47"/>
      <c r="L203" s="4" t="s">
        <v>26</v>
      </c>
      <c r="M203" s="280">
        <v>28</v>
      </c>
      <c r="N203" s="216">
        <v>0</v>
      </c>
      <c r="O203" s="31">
        <f>+M203+N203</f>
        <v>28</v>
      </c>
      <c r="P203" s="34">
        <v>0</v>
      </c>
      <c r="Q203" s="31">
        <f>O203+P203</f>
        <v>28</v>
      </c>
      <c r="R203" s="280">
        <v>21</v>
      </c>
      <c r="S203" s="216">
        <v>0</v>
      </c>
      <c r="T203" s="33">
        <f>+S203+R203</f>
        <v>21</v>
      </c>
      <c r="U203" s="34">
        <v>0</v>
      </c>
      <c r="V203" s="31">
        <f>+U203+T203</f>
        <v>21</v>
      </c>
      <c r="W203" s="256">
        <f>IF(Q203=0,0,((V203/Q203)-1)*100)</f>
        <v>-25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47"/>
      <c r="L204" s="4" t="s">
        <v>28</v>
      </c>
      <c r="M204" s="280">
        <v>39</v>
      </c>
      <c r="N204" s="216">
        <v>0</v>
      </c>
      <c r="O204" s="31">
        <f>+M204+N204</f>
        <v>39</v>
      </c>
      <c r="P204" s="34">
        <v>0</v>
      </c>
      <c r="Q204" s="31">
        <f>O204+P204</f>
        <v>39</v>
      </c>
      <c r="R204" s="280">
        <v>19</v>
      </c>
      <c r="S204" s="216">
        <v>0</v>
      </c>
      <c r="T204" s="33">
        <f>+S204+R204</f>
        <v>19</v>
      </c>
      <c r="U204" s="34">
        <v>0</v>
      </c>
      <c r="V204" s="31">
        <f>+U204+T204</f>
        <v>19</v>
      </c>
      <c r="W204" s="256">
        <v>-100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47"/>
      <c r="L205" s="4" t="s">
        <v>29</v>
      </c>
      <c r="M205" s="281">
        <v>2</v>
      </c>
      <c r="N205" s="227">
        <v>0</v>
      </c>
      <c r="O205" s="31">
        <f>+M205+N205</f>
        <v>2</v>
      </c>
      <c r="P205" s="34">
        <v>0</v>
      </c>
      <c r="Q205" s="31">
        <f>O205+P205</f>
        <v>2</v>
      </c>
      <c r="R205" s="281">
        <v>11</v>
      </c>
      <c r="S205" s="227">
        <v>0</v>
      </c>
      <c r="T205" s="33">
        <f>+S205+R205</f>
        <v>11</v>
      </c>
      <c r="U205" s="34">
        <v>0</v>
      </c>
      <c r="V205" s="31">
        <f>+U205+T205</f>
        <v>11</v>
      </c>
      <c r="W205" s="256">
        <v>-100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47"/>
      <c r="L206" s="44" t="s">
        <v>30</v>
      </c>
      <c r="M206" s="40">
        <f aca="true" t="shared" si="89" ref="M206:V206">+M203+M204+M205</f>
        <v>69</v>
      </c>
      <c r="N206" s="41">
        <f t="shared" si="89"/>
        <v>0</v>
      </c>
      <c r="O206" s="40">
        <f t="shared" si="89"/>
        <v>69</v>
      </c>
      <c r="P206" s="40">
        <f t="shared" si="89"/>
        <v>0</v>
      </c>
      <c r="Q206" s="78">
        <f t="shared" si="89"/>
        <v>69</v>
      </c>
      <c r="R206" s="98">
        <f t="shared" si="89"/>
        <v>51</v>
      </c>
      <c r="S206" s="46">
        <f t="shared" si="89"/>
        <v>0</v>
      </c>
      <c r="T206" s="47">
        <f t="shared" si="89"/>
        <v>51</v>
      </c>
      <c r="U206" s="47">
        <f t="shared" si="89"/>
        <v>0</v>
      </c>
      <c r="V206" s="47">
        <f t="shared" si="89"/>
        <v>51</v>
      </c>
      <c r="W206" s="54">
        <f>IF(Q206=0,0,((V206/Q206)-1)*100)</f>
        <v>-26.086956521739136</v>
      </c>
    </row>
    <row r="207" spans="1:23" ht="14.25" thickBot="1" thickTop="1">
      <c r="A207" s="220"/>
      <c r="B207" s="232"/>
      <c r="C207" s="234"/>
      <c r="D207" s="234"/>
      <c r="E207" s="234"/>
      <c r="F207" s="233"/>
      <c r="G207" s="233"/>
      <c r="H207" s="233"/>
      <c r="I207" s="276"/>
      <c r="J207" s="220"/>
      <c r="L207" s="39" t="s">
        <v>66</v>
      </c>
      <c r="M207" s="40">
        <f aca="true" t="shared" si="90" ref="M207:V207">+M198+M202+M206</f>
        <v>240</v>
      </c>
      <c r="N207" s="141">
        <f t="shared" si="90"/>
        <v>0</v>
      </c>
      <c r="O207" s="142">
        <f t="shared" si="90"/>
        <v>240</v>
      </c>
      <c r="P207" s="142">
        <f t="shared" si="90"/>
        <v>0</v>
      </c>
      <c r="Q207" s="142">
        <f t="shared" si="90"/>
        <v>240</v>
      </c>
      <c r="R207" s="40">
        <f t="shared" si="90"/>
        <v>185</v>
      </c>
      <c r="S207" s="141">
        <f t="shared" si="90"/>
        <v>0</v>
      </c>
      <c r="T207" s="142">
        <f t="shared" si="90"/>
        <v>185</v>
      </c>
      <c r="U207" s="142">
        <f t="shared" si="90"/>
        <v>0</v>
      </c>
      <c r="V207" s="142">
        <f t="shared" si="90"/>
        <v>185</v>
      </c>
      <c r="W207" s="54">
        <f>IF(Q207=0,0,((V207/Q207)-1)*100)</f>
        <v>-22.916666666666664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47"/>
      <c r="L208" s="39" t="s">
        <v>9</v>
      </c>
      <c r="M208" s="142">
        <f aca="true" t="shared" si="91" ref="M208:V208">M194+M198+M202+M206</f>
        <v>323</v>
      </c>
      <c r="N208" s="41">
        <f t="shared" si="91"/>
        <v>0</v>
      </c>
      <c r="O208" s="40">
        <f t="shared" si="91"/>
        <v>323</v>
      </c>
      <c r="P208" s="40">
        <f t="shared" si="91"/>
        <v>0</v>
      </c>
      <c r="Q208" s="40">
        <f t="shared" si="91"/>
        <v>323</v>
      </c>
      <c r="R208" s="42">
        <f t="shared" si="91"/>
        <v>202</v>
      </c>
      <c r="S208" s="217">
        <f t="shared" si="91"/>
        <v>0</v>
      </c>
      <c r="T208" s="42">
        <f t="shared" si="91"/>
        <v>202</v>
      </c>
      <c r="U208" s="43">
        <f t="shared" si="91"/>
        <v>0</v>
      </c>
      <c r="V208" s="141">
        <f t="shared" si="91"/>
        <v>202</v>
      </c>
      <c r="W208" s="54">
        <f>IF(Q208=0,0,((V208/Q208)-1)*100)</f>
        <v>-37.461300309597526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47"/>
      <c r="L209" s="63" t="s">
        <v>64</v>
      </c>
    </row>
    <row r="210" spans="2:23" ht="12.75" customHeight="1">
      <c r="B210" s="70"/>
      <c r="C210" s="70"/>
      <c r="D210" s="70"/>
      <c r="E210" s="70"/>
      <c r="F210" s="70"/>
      <c r="G210" s="70"/>
      <c r="H210" s="70"/>
      <c r="I210" s="247"/>
      <c r="L210" s="336" t="s">
        <v>55</v>
      </c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</row>
    <row r="211" spans="2:23" ht="15.75">
      <c r="B211" s="70"/>
      <c r="C211" s="70"/>
      <c r="D211" s="70"/>
      <c r="E211" s="70"/>
      <c r="F211" s="70"/>
      <c r="G211" s="70"/>
      <c r="H211" s="70"/>
      <c r="I211" s="247"/>
      <c r="L211" s="337" t="s">
        <v>62</v>
      </c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47"/>
      <c r="W212" s="242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47"/>
      <c r="L213" s="3"/>
      <c r="M213" s="347" t="s">
        <v>67</v>
      </c>
      <c r="N213" s="348"/>
      <c r="O213" s="348"/>
      <c r="P213" s="348"/>
      <c r="Q213" s="349"/>
      <c r="R213" s="338" t="s">
        <v>68</v>
      </c>
      <c r="S213" s="339"/>
      <c r="T213" s="339"/>
      <c r="U213" s="339"/>
      <c r="V213" s="340"/>
      <c r="W213" s="239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47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0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47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1"/>
    </row>
    <row r="216" spans="2:23" ht="4.5" customHeight="1" thickTop="1">
      <c r="B216" s="70"/>
      <c r="C216" s="70"/>
      <c r="D216" s="70"/>
      <c r="E216" s="70"/>
      <c r="F216" s="70"/>
      <c r="G216" s="70"/>
      <c r="H216" s="70"/>
      <c r="I216" s="247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07"/>
    </row>
    <row r="217" spans="2:23" ht="12.75">
      <c r="B217" s="70"/>
      <c r="C217" s="70"/>
      <c r="D217" s="70"/>
      <c r="E217" s="70"/>
      <c r="F217" s="70"/>
      <c r="G217" s="70"/>
      <c r="H217" s="70"/>
      <c r="I217" s="247"/>
      <c r="L217" s="4" t="s">
        <v>14</v>
      </c>
      <c r="M217" s="29">
        <f aca="true" t="shared" si="92" ref="M217:V217">+M165+M191</f>
        <v>24</v>
      </c>
      <c r="N217" s="36">
        <f t="shared" si="92"/>
        <v>0</v>
      </c>
      <c r="O217" s="33">
        <f t="shared" si="92"/>
        <v>24</v>
      </c>
      <c r="P217" s="34">
        <f t="shared" si="92"/>
        <v>0</v>
      </c>
      <c r="Q217" s="35">
        <f t="shared" si="92"/>
        <v>24</v>
      </c>
      <c r="R217" s="29">
        <f t="shared" si="92"/>
        <v>0</v>
      </c>
      <c r="S217" s="36">
        <f t="shared" si="92"/>
        <v>0</v>
      </c>
      <c r="T217" s="33">
        <f t="shared" si="92"/>
        <v>0</v>
      </c>
      <c r="U217" s="34">
        <f t="shared" si="92"/>
        <v>0</v>
      </c>
      <c r="V217" s="31">
        <f t="shared" si="92"/>
        <v>0</v>
      </c>
      <c r="W217" s="32">
        <f aca="true" t="shared" si="93" ref="W217:W224">IF(Q217=0,0,((V217/Q217)-1)*100)</f>
        <v>-100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47"/>
      <c r="L218" s="4" t="s">
        <v>15</v>
      </c>
      <c r="M218" s="29">
        <f aca="true" t="shared" si="94" ref="M218:V218">+M192+M166</f>
        <v>30</v>
      </c>
      <c r="N218" s="36">
        <f t="shared" si="94"/>
        <v>0</v>
      </c>
      <c r="O218" s="33">
        <f t="shared" si="94"/>
        <v>30</v>
      </c>
      <c r="P218" s="34">
        <f t="shared" si="94"/>
        <v>0</v>
      </c>
      <c r="Q218" s="35">
        <f t="shared" si="94"/>
        <v>30</v>
      </c>
      <c r="R218" s="29">
        <f t="shared" si="94"/>
        <v>0</v>
      </c>
      <c r="S218" s="36">
        <f t="shared" si="94"/>
        <v>0</v>
      </c>
      <c r="T218" s="33">
        <f t="shared" si="94"/>
        <v>0</v>
      </c>
      <c r="U218" s="34">
        <f t="shared" si="94"/>
        <v>0</v>
      </c>
      <c r="V218" s="31">
        <f t="shared" si="94"/>
        <v>0</v>
      </c>
      <c r="W218" s="256">
        <f t="shared" si="93"/>
        <v>-100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47"/>
      <c r="L219" s="4" t="s">
        <v>16</v>
      </c>
      <c r="M219" s="29">
        <f>+M167+M193</f>
        <v>29</v>
      </c>
      <c r="N219" s="36">
        <f>+N167+N193</f>
        <v>0</v>
      </c>
      <c r="O219" s="33">
        <f>+O167+O193</f>
        <v>29</v>
      </c>
      <c r="P219" s="34">
        <f>+P167+P193</f>
        <v>0</v>
      </c>
      <c r="Q219" s="35">
        <f>+Q167+Q193</f>
        <v>29</v>
      </c>
      <c r="R219" s="29">
        <f>+R193+R167</f>
        <v>17</v>
      </c>
      <c r="S219" s="36">
        <f>+S193+S167</f>
        <v>0</v>
      </c>
      <c r="T219" s="33">
        <f>+T193+T167</f>
        <v>17</v>
      </c>
      <c r="U219" s="34">
        <f>+U193+U167</f>
        <v>0</v>
      </c>
      <c r="V219" s="31">
        <f>+V193+V167</f>
        <v>17</v>
      </c>
      <c r="W219" s="32">
        <f t="shared" si="93"/>
        <v>-41.379310344827594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47"/>
      <c r="L220" s="39" t="s">
        <v>58</v>
      </c>
      <c r="M220" s="40">
        <f>M218+M217+M219</f>
        <v>83</v>
      </c>
      <c r="N220" s="41">
        <f>N218+N217+N219</f>
        <v>0</v>
      </c>
      <c r="O220" s="40">
        <f>O218+O217+O219</f>
        <v>83</v>
      </c>
      <c r="P220" s="40">
        <f>P218+P217+P219</f>
        <v>0</v>
      </c>
      <c r="Q220" s="40">
        <f>Q218+Q217+Q219</f>
        <v>83</v>
      </c>
      <c r="R220" s="40">
        <f>+R217+R218+R219</f>
        <v>17</v>
      </c>
      <c r="S220" s="41">
        <f>+S217+S218+S219</f>
        <v>0</v>
      </c>
      <c r="T220" s="40">
        <f>+T217+T218+T219</f>
        <v>17</v>
      </c>
      <c r="U220" s="40">
        <f>+U217+U218+U219</f>
        <v>0</v>
      </c>
      <c r="V220" s="42">
        <f>+V217+V218+V219</f>
        <v>17</v>
      </c>
      <c r="W220" s="54">
        <f t="shared" si="93"/>
        <v>-79.51807228915662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47"/>
      <c r="L221" s="4" t="s">
        <v>18</v>
      </c>
      <c r="M221" s="29">
        <f aca="true" t="shared" si="95" ref="M221:N223">+M169+M195</f>
        <v>25</v>
      </c>
      <c r="N221" s="36">
        <f t="shared" si="95"/>
        <v>0</v>
      </c>
      <c r="O221" s="33">
        <f>+M221+N221</f>
        <v>25</v>
      </c>
      <c r="P221" s="34">
        <f>+P169+P195</f>
        <v>0</v>
      </c>
      <c r="Q221" s="35">
        <f>+O221+P221</f>
        <v>25</v>
      </c>
      <c r="R221" s="29">
        <f aca="true" t="shared" si="96" ref="R221:V222">+R169+R195</f>
        <v>28</v>
      </c>
      <c r="S221" s="36">
        <f t="shared" si="96"/>
        <v>0</v>
      </c>
      <c r="T221" s="33">
        <f t="shared" si="96"/>
        <v>28</v>
      </c>
      <c r="U221" s="34">
        <f t="shared" si="96"/>
        <v>0</v>
      </c>
      <c r="V221" s="31">
        <f t="shared" si="96"/>
        <v>28</v>
      </c>
      <c r="W221" s="256">
        <f t="shared" si="93"/>
        <v>12.00000000000001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47"/>
      <c r="L222" s="4" t="s">
        <v>19</v>
      </c>
      <c r="M222" s="29">
        <f t="shared" si="95"/>
        <v>33</v>
      </c>
      <c r="N222" s="36">
        <f t="shared" si="95"/>
        <v>0</v>
      </c>
      <c r="O222" s="33">
        <f>+M222+N222</f>
        <v>33</v>
      </c>
      <c r="P222" s="34">
        <f>+P196+P170</f>
        <v>0</v>
      </c>
      <c r="Q222" s="35">
        <f>+O222+P222</f>
        <v>33</v>
      </c>
      <c r="R222" s="29">
        <f t="shared" si="96"/>
        <v>0</v>
      </c>
      <c r="S222" s="36">
        <f t="shared" si="96"/>
        <v>0</v>
      </c>
      <c r="T222" s="33">
        <f t="shared" si="96"/>
        <v>0</v>
      </c>
      <c r="U222" s="34">
        <f t="shared" si="96"/>
        <v>0</v>
      </c>
      <c r="V222" s="31">
        <f t="shared" si="96"/>
        <v>0</v>
      </c>
      <c r="W222" s="256">
        <f>IF(Q222=0,0,((V222/Q222)-1)*100)</f>
        <v>-100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47"/>
      <c r="L223" s="12" t="s">
        <v>20</v>
      </c>
      <c r="M223" s="29">
        <f t="shared" si="95"/>
        <v>34</v>
      </c>
      <c r="N223" s="36">
        <f t="shared" si="95"/>
        <v>0</v>
      </c>
      <c r="O223" s="33">
        <f>+M223+N223</f>
        <v>34</v>
      </c>
      <c r="P223" s="34">
        <f>+P197+P171</f>
        <v>0</v>
      </c>
      <c r="Q223" s="35">
        <f>+O223+P223</f>
        <v>34</v>
      </c>
      <c r="R223" s="29">
        <f>+R171+R197</f>
        <v>21</v>
      </c>
      <c r="S223" s="36">
        <f>+S171+S197</f>
        <v>0</v>
      </c>
      <c r="T223" s="33">
        <f>+S223+R223</f>
        <v>21</v>
      </c>
      <c r="U223" s="34">
        <v>0</v>
      </c>
      <c r="V223" s="31">
        <f>+U223+T223</f>
        <v>21</v>
      </c>
      <c r="W223" s="32">
        <f t="shared" si="93"/>
        <v>-38.23529411764706</v>
      </c>
    </row>
    <row r="224" spans="1:23" ht="14.25" thickBot="1" thickTop="1">
      <c r="A224" s="70"/>
      <c r="B224" s="232"/>
      <c r="C224" s="234"/>
      <c r="D224" s="234"/>
      <c r="E224" s="234"/>
      <c r="F224" s="233"/>
      <c r="G224" s="233"/>
      <c r="H224" s="233"/>
      <c r="I224" s="276"/>
      <c r="J224" s="70"/>
      <c r="L224" s="39" t="s">
        <v>21</v>
      </c>
      <c r="M224" s="40">
        <f aca="true" t="shared" si="97" ref="M224:V224">M221+M222+M223</f>
        <v>92</v>
      </c>
      <c r="N224" s="141">
        <f t="shared" si="97"/>
        <v>0</v>
      </c>
      <c r="O224" s="142">
        <f t="shared" si="97"/>
        <v>92</v>
      </c>
      <c r="P224" s="142">
        <f t="shared" si="97"/>
        <v>0</v>
      </c>
      <c r="Q224" s="142">
        <f t="shared" si="97"/>
        <v>92</v>
      </c>
      <c r="R224" s="40">
        <f t="shared" si="97"/>
        <v>49</v>
      </c>
      <c r="S224" s="141">
        <f t="shared" si="97"/>
        <v>0</v>
      </c>
      <c r="T224" s="142">
        <f t="shared" si="97"/>
        <v>49</v>
      </c>
      <c r="U224" s="142">
        <f t="shared" si="97"/>
        <v>0</v>
      </c>
      <c r="V224" s="142">
        <f t="shared" si="97"/>
        <v>49</v>
      </c>
      <c r="W224" s="257">
        <f t="shared" si="93"/>
        <v>-46.7391304347826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47"/>
      <c r="L225" s="4" t="s">
        <v>22</v>
      </c>
      <c r="M225" s="29">
        <f aca="true" t="shared" si="98" ref="M225:N227">+M173+M199</f>
        <v>36</v>
      </c>
      <c r="N225" s="36">
        <f t="shared" si="98"/>
        <v>0</v>
      </c>
      <c r="O225" s="33">
        <f>+N225+M225</f>
        <v>36</v>
      </c>
      <c r="P225" s="34">
        <f>+P199+P173</f>
        <v>0</v>
      </c>
      <c r="Q225" s="35">
        <f>+O225+P225</f>
        <v>36</v>
      </c>
      <c r="R225" s="29">
        <f>+R173+R199</f>
        <v>32</v>
      </c>
      <c r="S225" s="36">
        <f>+S173+S199</f>
        <v>0</v>
      </c>
      <c r="T225" s="33">
        <f>+T173+T199</f>
        <v>32</v>
      </c>
      <c r="U225" s="34">
        <f>+U173+U199</f>
        <v>0</v>
      </c>
      <c r="V225" s="31">
        <f>+V173+V199</f>
        <v>32</v>
      </c>
      <c r="W225" s="256">
        <f aca="true" t="shared" si="99" ref="W225:W234">IF(Q225=0,0,((V225/Q225)-1)*100)</f>
        <v>-11.111111111111116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47"/>
      <c r="L226" s="4" t="s">
        <v>23</v>
      </c>
      <c r="M226" s="29">
        <f t="shared" si="98"/>
        <v>25</v>
      </c>
      <c r="N226" s="36">
        <f t="shared" si="98"/>
        <v>0</v>
      </c>
      <c r="O226" s="33">
        <f>+N226+M226</f>
        <v>25</v>
      </c>
      <c r="P226" s="34">
        <f>+P200+P174</f>
        <v>0</v>
      </c>
      <c r="Q226" s="35">
        <f>+O226+P226</f>
        <v>25</v>
      </c>
      <c r="R226" s="29">
        <f>+R174+R200</f>
        <v>31</v>
      </c>
      <c r="S226" s="36">
        <f>+S174+S200</f>
        <v>0</v>
      </c>
      <c r="T226" s="33">
        <f>+S226+R226</f>
        <v>31</v>
      </c>
      <c r="U226" s="34">
        <v>0</v>
      </c>
      <c r="V226" s="31">
        <f>+U226+T226</f>
        <v>31</v>
      </c>
      <c r="W226" s="32">
        <f t="shared" si="99"/>
        <v>24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47"/>
      <c r="L227" s="4" t="s">
        <v>24</v>
      </c>
      <c r="M227" s="29">
        <f t="shared" si="98"/>
        <v>18</v>
      </c>
      <c r="N227" s="36">
        <f t="shared" si="98"/>
        <v>0</v>
      </c>
      <c r="O227" s="33">
        <f>+M227+N227</f>
        <v>18</v>
      </c>
      <c r="P227" s="34">
        <f>+P184+P201</f>
        <v>0</v>
      </c>
      <c r="Q227" s="35">
        <f>+O227+P227</f>
        <v>18</v>
      </c>
      <c r="R227" s="29">
        <f>+R175+R201</f>
        <v>22</v>
      </c>
      <c r="S227" s="36">
        <f>+S175+S201</f>
        <v>0</v>
      </c>
      <c r="T227" s="33">
        <f>+S227+R227</f>
        <v>22</v>
      </c>
      <c r="U227" s="34">
        <v>0</v>
      </c>
      <c r="V227" s="31">
        <f>+U227+T227</f>
        <v>22</v>
      </c>
      <c r="W227" s="32">
        <f t="shared" si="99"/>
        <v>22.222222222222232</v>
      </c>
    </row>
    <row r="228" spans="1:23" ht="14.25" thickBot="1" thickTop="1">
      <c r="A228" s="220"/>
      <c r="B228" s="232"/>
      <c r="C228" s="234"/>
      <c r="D228" s="234"/>
      <c r="E228" s="234"/>
      <c r="F228" s="233"/>
      <c r="G228" s="233"/>
      <c r="H228" s="233"/>
      <c r="I228" s="276"/>
      <c r="J228" s="220"/>
      <c r="L228" s="44" t="s">
        <v>25</v>
      </c>
      <c r="M228" s="40">
        <f aca="true" t="shared" si="100" ref="M228:V228">+M225+M226+M227</f>
        <v>79</v>
      </c>
      <c r="N228" s="141">
        <f t="shared" si="100"/>
        <v>0</v>
      </c>
      <c r="O228" s="142">
        <f t="shared" si="100"/>
        <v>79</v>
      </c>
      <c r="P228" s="142">
        <f t="shared" si="100"/>
        <v>0</v>
      </c>
      <c r="Q228" s="142">
        <f t="shared" si="100"/>
        <v>79</v>
      </c>
      <c r="R228" s="40">
        <f t="shared" si="100"/>
        <v>85</v>
      </c>
      <c r="S228" s="141">
        <f t="shared" si="100"/>
        <v>0</v>
      </c>
      <c r="T228" s="142">
        <f t="shared" si="100"/>
        <v>85</v>
      </c>
      <c r="U228" s="142">
        <f t="shared" si="100"/>
        <v>0</v>
      </c>
      <c r="V228" s="142">
        <f t="shared" si="100"/>
        <v>85</v>
      </c>
      <c r="W228" s="257">
        <f t="shared" si="99"/>
        <v>7.594936708860756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47"/>
      <c r="L229" s="4" t="s">
        <v>26</v>
      </c>
      <c r="M229" s="156">
        <f aca="true" t="shared" si="101" ref="M229:V229">+M177+M203</f>
        <v>28</v>
      </c>
      <c r="N229" s="36">
        <f t="shared" si="101"/>
        <v>0</v>
      </c>
      <c r="O229" s="33">
        <f t="shared" si="101"/>
        <v>28</v>
      </c>
      <c r="P229" s="34">
        <f t="shared" si="101"/>
        <v>0</v>
      </c>
      <c r="Q229" s="35">
        <f t="shared" si="101"/>
        <v>28</v>
      </c>
      <c r="R229" s="29">
        <f t="shared" si="101"/>
        <v>21</v>
      </c>
      <c r="S229" s="36">
        <f t="shared" si="101"/>
        <v>0</v>
      </c>
      <c r="T229" s="33">
        <f t="shared" si="101"/>
        <v>21</v>
      </c>
      <c r="U229" s="34">
        <f t="shared" si="101"/>
        <v>0</v>
      </c>
      <c r="V229" s="31">
        <f t="shared" si="101"/>
        <v>21</v>
      </c>
      <c r="W229" s="256">
        <f t="shared" si="99"/>
        <v>-25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47"/>
      <c r="L230" s="4" t="s">
        <v>28</v>
      </c>
      <c r="M230" s="29">
        <f>+M178+M204</f>
        <v>39</v>
      </c>
      <c r="N230" s="36">
        <f>+N178+N204</f>
        <v>0</v>
      </c>
      <c r="O230" s="33">
        <f aca="true" t="shared" si="102" ref="O230:Q231">+O204+O178</f>
        <v>39</v>
      </c>
      <c r="P230" s="34">
        <f t="shared" si="102"/>
        <v>0</v>
      </c>
      <c r="Q230" s="35">
        <f t="shared" si="102"/>
        <v>39</v>
      </c>
      <c r="R230" s="29">
        <f>+R178+R204</f>
        <v>19</v>
      </c>
      <c r="S230" s="36">
        <f>+S178+S204</f>
        <v>0</v>
      </c>
      <c r="T230" s="33">
        <f>+S230+R230</f>
        <v>19</v>
      </c>
      <c r="U230" s="34">
        <v>0</v>
      </c>
      <c r="V230" s="31">
        <f>+U230+T230</f>
        <v>19</v>
      </c>
      <c r="W230" s="32">
        <f t="shared" si="99"/>
        <v>-51.28205128205128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47"/>
      <c r="L231" s="4" t="s">
        <v>29</v>
      </c>
      <c r="M231" s="29">
        <f>+M179+M205</f>
        <v>2</v>
      </c>
      <c r="N231" s="36">
        <f>+N179+N205</f>
        <v>0</v>
      </c>
      <c r="O231" s="33">
        <f t="shared" si="102"/>
        <v>2</v>
      </c>
      <c r="P231" s="52">
        <f t="shared" si="102"/>
        <v>0</v>
      </c>
      <c r="Q231" s="35">
        <f t="shared" si="102"/>
        <v>2</v>
      </c>
      <c r="R231" s="29">
        <f>+R179+R205</f>
        <v>11</v>
      </c>
      <c r="S231" s="36">
        <f>+S179+S205</f>
        <v>0</v>
      </c>
      <c r="T231" s="33">
        <f>+S231+R231</f>
        <v>11</v>
      </c>
      <c r="U231" s="34">
        <v>0</v>
      </c>
      <c r="V231" s="31">
        <f>+U231+T231</f>
        <v>11</v>
      </c>
      <c r="W231" s="32">
        <f t="shared" si="99"/>
        <v>450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47"/>
      <c r="L232" s="44" t="s">
        <v>30</v>
      </c>
      <c r="M232" s="40">
        <f aca="true" t="shared" si="103" ref="M232:V232">+M229+M230+M231</f>
        <v>69</v>
      </c>
      <c r="N232" s="154">
        <f t="shared" si="103"/>
        <v>0</v>
      </c>
      <c r="O232" s="43">
        <f t="shared" si="103"/>
        <v>69</v>
      </c>
      <c r="P232" s="43">
        <f t="shared" si="103"/>
        <v>0</v>
      </c>
      <c r="Q232" s="53">
        <f t="shared" si="103"/>
        <v>69</v>
      </c>
      <c r="R232" s="40">
        <f t="shared" si="103"/>
        <v>51</v>
      </c>
      <c r="S232" s="141">
        <f t="shared" si="103"/>
        <v>0</v>
      </c>
      <c r="T232" s="142">
        <f t="shared" si="103"/>
        <v>51</v>
      </c>
      <c r="U232" s="142">
        <f t="shared" si="103"/>
        <v>0</v>
      </c>
      <c r="V232" s="142">
        <f t="shared" si="103"/>
        <v>51</v>
      </c>
      <c r="W232" s="257">
        <f t="shared" si="99"/>
        <v>-26.086956521739136</v>
      </c>
    </row>
    <row r="233" spans="1:23" ht="14.25" thickBot="1" thickTop="1">
      <c r="A233" s="70"/>
      <c r="B233" s="232"/>
      <c r="C233" s="234"/>
      <c r="D233" s="234"/>
      <c r="E233" s="234"/>
      <c r="F233" s="233"/>
      <c r="G233" s="233"/>
      <c r="H233" s="233"/>
      <c r="I233" s="276"/>
      <c r="J233" s="70"/>
      <c r="L233" s="39" t="s">
        <v>66</v>
      </c>
      <c r="M233" s="40">
        <f aca="true" t="shared" si="104" ref="M233:V233">+M224+M228+M232</f>
        <v>240</v>
      </c>
      <c r="N233" s="141">
        <f t="shared" si="104"/>
        <v>0</v>
      </c>
      <c r="O233" s="142">
        <f t="shared" si="104"/>
        <v>240</v>
      </c>
      <c r="P233" s="142">
        <f t="shared" si="104"/>
        <v>0</v>
      </c>
      <c r="Q233" s="142">
        <f t="shared" si="104"/>
        <v>240</v>
      </c>
      <c r="R233" s="40">
        <f t="shared" si="104"/>
        <v>185</v>
      </c>
      <c r="S233" s="141">
        <f t="shared" si="104"/>
        <v>0</v>
      </c>
      <c r="T233" s="142">
        <f t="shared" si="104"/>
        <v>185</v>
      </c>
      <c r="U233" s="142">
        <f t="shared" si="104"/>
        <v>0</v>
      </c>
      <c r="V233" s="142">
        <f t="shared" si="104"/>
        <v>185</v>
      </c>
      <c r="W233" s="257">
        <f t="shared" si="99"/>
        <v>-22.916666666666664</v>
      </c>
    </row>
    <row r="234" spans="12:23" ht="14.25" thickBot="1" thickTop="1">
      <c r="L234" s="39" t="s">
        <v>9</v>
      </c>
      <c r="M234" s="40">
        <f aca="true" t="shared" si="105" ref="M234:V234">M220+M224+M228+M232</f>
        <v>323</v>
      </c>
      <c r="N234" s="41">
        <f t="shared" si="105"/>
        <v>0</v>
      </c>
      <c r="O234" s="40">
        <f t="shared" si="105"/>
        <v>323</v>
      </c>
      <c r="P234" s="40">
        <f t="shared" si="105"/>
        <v>0</v>
      </c>
      <c r="Q234" s="40">
        <f t="shared" si="105"/>
        <v>323</v>
      </c>
      <c r="R234" s="42">
        <f t="shared" si="105"/>
        <v>202</v>
      </c>
      <c r="S234" s="217">
        <f t="shared" si="105"/>
        <v>0</v>
      </c>
      <c r="T234" s="42">
        <f t="shared" si="105"/>
        <v>202</v>
      </c>
      <c r="U234" s="43">
        <f t="shared" si="105"/>
        <v>0</v>
      </c>
      <c r="V234" s="141">
        <f t="shared" si="105"/>
        <v>202</v>
      </c>
      <c r="W234" s="257">
        <f t="shared" si="99"/>
        <v>-37.461300309597526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B2:I2"/>
    <mergeCell ref="L2:W2"/>
    <mergeCell ref="B3:I3"/>
    <mergeCell ref="L3:W3"/>
    <mergeCell ref="R31:V31"/>
    <mergeCell ref="L29:W29"/>
    <mergeCell ref="C31:E31"/>
    <mergeCell ref="F31:H31"/>
  </mergeCells>
  <printOptions horizontalCentered="1"/>
  <pageMargins left="0.6692913385826772" right="0.4330708661417323" top="1.1811023622047245" bottom="0.984251968503937" header="0.8661417322834646" footer="0.4330708661417323"/>
  <pageSetup fitToHeight="1" fitToWidth="1" horizontalDpi="300" verticalDpi="300" orientation="landscape" paperSize="9" scale="44" r:id="rId1"/>
  <headerFooter alignWithMargins="0">
    <oddHeader>&amp;LMonthly Air Transport Statistics : Hat Yai International Airport
</oddHeader>
    <oddFooter>&amp;LAir Transport Information Division, Corporate Strategy Department&amp;C&amp;D&amp;R&amp;T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A1">
      <selection activeCell="J11" sqref="J11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29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9" width="11.0039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9.57421875" style="291" customWidth="1"/>
    <col min="24" max="24" width="9.8515625" style="119" bestFit="1" customWidth="1"/>
    <col min="25" max="25" width="6.8515625" style="1" bestFit="1" customWidth="1"/>
    <col min="26" max="26" width="7.00390625" style="1" customWidth="1"/>
    <col min="27" max="27" width="7.00390625" style="304" customWidth="1"/>
    <col min="28" max="16384" width="7.00390625" style="1" customWidth="1"/>
  </cols>
  <sheetData>
    <row r="2" spans="2:23" ht="12.75">
      <c r="B2" s="336" t="s">
        <v>0</v>
      </c>
      <c r="C2" s="336"/>
      <c r="D2" s="336"/>
      <c r="E2" s="336"/>
      <c r="F2" s="336"/>
      <c r="G2" s="336"/>
      <c r="H2" s="336"/>
      <c r="I2" s="336"/>
      <c r="L2" s="336" t="s">
        <v>1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ht="15.75">
      <c r="B3" s="337" t="s">
        <v>2</v>
      </c>
      <c r="C3" s="337"/>
      <c r="D3" s="337"/>
      <c r="E3" s="337"/>
      <c r="F3" s="337"/>
      <c r="G3" s="337"/>
      <c r="H3" s="337"/>
      <c r="I3" s="337"/>
      <c r="L3" s="337" t="s">
        <v>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ht="13.5" thickBot="1"/>
    <row r="5" spans="2:23" ht="17.25" thickBot="1" thickTop="1">
      <c r="B5" s="3"/>
      <c r="C5" s="341" t="s">
        <v>67</v>
      </c>
      <c r="D5" s="342"/>
      <c r="E5" s="343"/>
      <c r="F5" s="344" t="s">
        <v>68</v>
      </c>
      <c r="G5" s="345"/>
      <c r="H5" s="346"/>
      <c r="I5" s="292" t="s">
        <v>4</v>
      </c>
      <c r="L5" s="3"/>
      <c r="M5" s="347" t="s">
        <v>67</v>
      </c>
      <c r="N5" s="348"/>
      <c r="O5" s="348"/>
      <c r="P5" s="348"/>
      <c r="Q5" s="349"/>
      <c r="R5" s="338" t="s">
        <v>68</v>
      </c>
      <c r="S5" s="339"/>
      <c r="T5" s="339"/>
      <c r="U5" s="339"/>
      <c r="V5" s="340"/>
      <c r="W5" s="292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93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93" t="s">
        <v>6</v>
      </c>
    </row>
    <row r="7" spans="2:23" ht="13.5" thickBot="1">
      <c r="B7" s="12"/>
      <c r="C7" s="13" t="s">
        <v>7</v>
      </c>
      <c r="D7" s="230" t="s">
        <v>8</v>
      </c>
      <c r="E7" s="14" t="s">
        <v>9</v>
      </c>
      <c r="F7" s="13" t="s">
        <v>7</v>
      </c>
      <c r="G7" s="230" t="s">
        <v>8</v>
      </c>
      <c r="H7" s="14" t="s">
        <v>9</v>
      </c>
      <c r="I7" s="294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94"/>
    </row>
    <row r="8" spans="2:23" ht="6" customHeight="1" thickTop="1">
      <c r="B8" s="4"/>
      <c r="C8" s="20"/>
      <c r="D8" s="21"/>
      <c r="E8" s="22"/>
      <c r="F8" s="20"/>
      <c r="G8" s="21"/>
      <c r="H8" s="22"/>
      <c r="I8" s="275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79"/>
    </row>
    <row r="9" spans="2:23" ht="12.75">
      <c r="B9" s="4" t="s">
        <v>14</v>
      </c>
      <c r="C9" s="71">
        <v>952</v>
      </c>
      <c r="D9" s="72">
        <v>927</v>
      </c>
      <c r="E9" s="73">
        <f>C9+D9</f>
        <v>1879</v>
      </c>
      <c r="F9" s="71">
        <v>1244</v>
      </c>
      <c r="G9" s="72">
        <v>1220</v>
      </c>
      <c r="H9" s="73">
        <f>F9+G9</f>
        <v>2464</v>
      </c>
      <c r="I9" s="256">
        <f aca="true" t="shared" si="0" ref="I9:I26">IF(E9=0,0,((H9/E9)-1)*100)</f>
        <v>31.133581692389576</v>
      </c>
      <c r="L9" s="4" t="s">
        <v>14</v>
      </c>
      <c r="M9" s="29">
        <v>137455</v>
      </c>
      <c r="N9" s="36">
        <v>129680</v>
      </c>
      <c r="O9" s="33">
        <f>SUM(M9:N9)</f>
        <v>267135</v>
      </c>
      <c r="P9" s="34">
        <v>3293</v>
      </c>
      <c r="Q9" s="31">
        <f>O9+P9</f>
        <v>270428</v>
      </c>
      <c r="R9" s="29">
        <v>178663</v>
      </c>
      <c r="S9" s="36">
        <v>169306</v>
      </c>
      <c r="T9" s="33">
        <f>SUM(R9:S9)</f>
        <v>347969</v>
      </c>
      <c r="U9" s="34">
        <v>2879</v>
      </c>
      <c r="V9" s="31">
        <f>T9+U9</f>
        <v>350848</v>
      </c>
      <c r="W9" s="256">
        <f aca="true" t="shared" si="1" ref="W9:W26">IF(Q9=0,0,((V9/Q9)-1)*100)</f>
        <v>29.738044877009774</v>
      </c>
    </row>
    <row r="10" spans="2:23" ht="12.75">
      <c r="B10" s="4" t="s">
        <v>15</v>
      </c>
      <c r="C10" s="71">
        <v>1047</v>
      </c>
      <c r="D10" s="72">
        <v>1011</v>
      </c>
      <c r="E10" s="73">
        <f>C10+D10</f>
        <v>2058</v>
      </c>
      <c r="F10" s="71">
        <v>1262</v>
      </c>
      <c r="G10" s="72">
        <v>1220</v>
      </c>
      <c r="H10" s="73">
        <f>F10+G10</f>
        <v>2482</v>
      </c>
      <c r="I10" s="256">
        <f t="shared" si="0"/>
        <v>20.60252672497571</v>
      </c>
      <c r="L10" s="4" t="s">
        <v>15</v>
      </c>
      <c r="M10" s="29">
        <v>152920</v>
      </c>
      <c r="N10" s="36">
        <v>136413</v>
      </c>
      <c r="O10" s="33">
        <f>SUM(M10:N10)</f>
        <v>289333</v>
      </c>
      <c r="P10" s="34">
        <v>2964</v>
      </c>
      <c r="Q10" s="35">
        <f>O10+P10</f>
        <v>292297</v>
      </c>
      <c r="R10" s="29">
        <v>198881</v>
      </c>
      <c r="S10" s="36">
        <v>183405</v>
      </c>
      <c r="T10" s="33">
        <f>SUM(R10:S10)</f>
        <v>382286</v>
      </c>
      <c r="U10" s="34">
        <v>91</v>
      </c>
      <c r="V10" s="31">
        <f>T10+U10</f>
        <v>382377</v>
      </c>
      <c r="W10" s="256">
        <f t="shared" si="1"/>
        <v>30.81796939414363</v>
      </c>
    </row>
    <row r="11" spans="2:23" ht="13.5" thickBot="1">
      <c r="B11" s="12" t="s">
        <v>16</v>
      </c>
      <c r="C11" s="74">
        <v>1258</v>
      </c>
      <c r="D11" s="75">
        <v>1222</v>
      </c>
      <c r="E11" s="73">
        <f>C11+D11</f>
        <v>2480</v>
      </c>
      <c r="F11" s="74">
        <v>1436</v>
      </c>
      <c r="G11" s="75">
        <v>1387</v>
      </c>
      <c r="H11" s="73">
        <f>F11+G11</f>
        <v>2823</v>
      </c>
      <c r="I11" s="256">
        <f t="shared" si="0"/>
        <v>13.830645161290334</v>
      </c>
      <c r="L11" s="12" t="s">
        <v>16</v>
      </c>
      <c r="M11" s="29">
        <v>214056</v>
      </c>
      <c r="N11" s="36">
        <v>168565</v>
      </c>
      <c r="O11" s="33">
        <f>SUM(M11:N11)</f>
        <v>382621</v>
      </c>
      <c r="P11" s="34">
        <v>3831</v>
      </c>
      <c r="Q11" s="35">
        <f>O11+P11</f>
        <v>386452</v>
      </c>
      <c r="R11" s="29">
        <v>246992</v>
      </c>
      <c r="S11" s="36">
        <v>202835</v>
      </c>
      <c r="T11" s="33">
        <f>SUM(R11:S11)</f>
        <v>449827</v>
      </c>
      <c r="U11" s="34">
        <v>32</v>
      </c>
      <c r="V11" s="31">
        <f>T11+U11</f>
        <v>449859</v>
      </c>
      <c r="W11" s="256">
        <f t="shared" si="1"/>
        <v>16.407471044269407</v>
      </c>
    </row>
    <row r="12" spans="2:23" ht="14.25" thickBot="1" thickTop="1">
      <c r="B12" s="39" t="s">
        <v>58</v>
      </c>
      <c r="C12" s="40">
        <f aca="true" t="shared" si="2" ref="C12:H12">+C9+C10+C11</f>
        <v>3257</v>
      </c>
      <c r="D12" s="41">
        <f t="shared" si="2"/>
        <v>3160</v>
      </c>
      <c r="E12" s="40">
        <f t="shared" si="2"/>
        <v>6417</v>
      </c>
      <c r="F12" s="40">
        <f t="shared" si="2"/>
        <v>3942</v>
      </c>
      <c r="G12" s="41">
        <f t="shared" si="2"/>
        <v>3827</v>
      </c>
      <c r="H12" s="40">
        <f t="shared" si="2"/>
        <v>7769</v>
      </c>
      <c r="I12" s="257">
        <f t="shared" si="0"/>
        <v>21.069035374785727</v>
      </c>
      <c r="L12" s="39" t="s">
        <v>58</v>
      </c>
      <c r="M12" s="40">
        <f aca="true" t="shared" si="3" ref="M12:V12">+M9+M10+M11</f>
        <v>504431</v>
      </c>
      <c r="N12" s="41">
        <f t="shared" si="3"/>
        <v>434658</v>
      </c>
      <c r="O12" s="40">
        <f t="shared" si="3"/>
        <v>939089</v>
      </c>
      <c r="P12" s="40">
        <f t="shared" si="3"/>
        <v>10088</v>
      </c>
      <c r="Q12" s="40">
        <f t="shared" si="3"/>
        <v>949177</v>
      </c>
      <c r="R12" s="40">
        <f t="shared" si="3"/>
        <v>624536</v>
      </c>
      <c r="S12" s="41">
        <f t="shared" si="3"/>
        <v>555546</v>
      </c>
      <c r="T12" s="40">
        <f t="shared" si="3"/>
        <v>1180082</v>
      </c>
      <c r="U12" s="40">
        <f t="shared" si="3"/>
        <v>3002</v>
      </c>
      <c r="V12" s="40">
        <f t="shared" si="3"/>
        <v>1183084</v>
      </c>
      <c r="W12" s="257">
        <f t="shared" si="1"/>
        <v>24.643138213420677</v>
      </c>
    </row>
    <row r="13" spans="2:23" ht="13.5" thickTop="1">
      <c r="B13" s="4" t="s">
        <v>18</v>
      </c>
      <c r="C13" s="71">
        <v>1363</v>
      </c>
      <c r="D13" s="72">
        <v>1335</v>
      </c>
      <c r="E13" s="73">
        <f>C13+D13</f>
        <v>2698</v>
      </c>
      <c r="F13" s="71">
        <v>1729</v>
      </c>
      <c r="G13" s="72">
        <v>1690</v>
      </c>
      <c r="H13" s="73">
        <f>F13+G13</f>
        <v>3419</v>
      </c>
      <c r="I13" s="256">
        <f t="shared" si="0"/>
        <v>26.723498888065222</v>
      </c>
      <c r="L13" s="4" t="s">
        <v>18</v>
      </c>
      <c r="M13" s="29">
        <v>226862</v>
      </c>
      <c r="N13" s="36">
        <v>230109</v>
      </c>
      <c r="O13" s="33">
        <f>M13+N13</f>
        <v>456971</v>
      </c>
      <c r="P13" s="34">
        <v>2041</v>
      </c>
      <c r="Q13" s="35">
        <f>O13+P13</f>
        <v>459012</v>
      </c>
      <c r="R13" s="29">
        <v>286298</v>
      </c>
      <c r="S13" s="36">
        <v>291342</v>
      </c>
      <c r="T13" s="33">
        <f>R13+S13</f>
        <v>577640</v>
      </c>
      <c r="U13" s="34">
        <v>1313</v>
      </c>
      <c r="V13" s="31">
        <f>T13+U13</f>
        <v>578953</v>
      </c>
      <c r="W13" s="256">
        <f t="shared" si="1"/>
        <v>26.130253675285186</v>
      </c>
    </row>
    <row r="14" spans="2:23" ht="12.75">
      <c r="B14" s="4" t="s">
        <v>19</v>
      </c>
      <c r="C14" s="71">
        <v>1341</v>
      </c>
      <c r="D14" s="72">
        <v>1318</v>
      </c>
      <c r="E14" s="73">
        <f>C14+D14</f>
        <v>2659</v>
      </c>
      <c r="F14" s="71">
        <v>1343</v>
      </c>
      <c r="G14" s="72">
        <v>1305</v>
      </c>
      <c r="H14" s="73">
        <f>F14+G14</f>
        <v>2648</v>
      </c>
      <c r="I14" s="256">
        <f t="shared" si="0"/>
        <v>-0.41368935690109243</v>
      </c>
      <c r="L14" s="4" t="s">
        <v>19</v>
      </c>
      <c r="M14" s="29">
        <v>229671</v>
      </c>
      <c r="N14" s="36">
        <v>235355</v>
      </c>
      <c r="O14" s="33">
        <f>M14+N14</f>
        <v>465026</v>
      </c>
      <c r="P14" s="34">
        <v>3251</v>
      </c>
      <c r="Q14" s="35">
        <f>O14+P14</f>
        <v>468277</v>
      </c>
      <c r="R14" s="29">
        <v>230570</v>
      </c>
      <c r="S14" s="36">
        <v>241226</v>
      </c>
      <c r="T14" s="33">
        <f>R14+S14</f>
        <v>471796</v>
      </c>
      <c r="U14" s="34">
        <v>1253</v>
      </c>
      <c r="V14" s="31">
        <f>T14+U14</f>
        <v>473049</v>
      </c>
      <c r="W14" s="256">
        <f t="shared" si="1"/>
        <v>1.0190549610593624</v>
      </c>
    </row>
    <row r="15" spans="2:23" ht="13.5" thickBot="1">
      <c r="B15" s="4" t="s">
        <v>20</v>
      </c>
      <c r="C15" s="71">
        <v>1256</v>
      </c>
      <c r="D15" s="72">
        <v>1224</v>
      </c>
      <c r="E15" s="73">
        <f>+D15+C15</f>
        <v>2480</v>
      </c>
      <c r="F15" s="71">
        <v>1374</v>
      </c>
      <c r="G15" s="72">
        <v>1340</v>
      </c>
      <c r="H15" s="73">
        <f>F15+G15</f>
        <v>2714</v>
      </c>
      <c r="I15" s="256">
        <f t="shared" si="0"/>
        <v>9.435483870967731</v>
      </c>
      <c r="L15" s="4" t="s">
        <v>20</v>
      </c>
      <c r="M15" s="29">
        <v>192843</v>
      </c>
      <c r="N15" s="36">
        <v>217568</v>
      </c>
      <c r="O15" s="33">
        <f>M15+N15</f>
        <v>410411</v>
      </c>
      <c r="P15" s="34">
        <v>2278</v>
      </c>
      <c r="Q15" s="35">
        <f>O15+P15</f>
        <v>412689</v>
      </c>
      <c r="R15" s="29">
        <v>213799</v>
      </c>
      <c r="S15" s="36">
        <v>234544</v>
      </c>
      <c r="T15" s="33">
        <f>R15+S15</f>
        <v>448343</v>
      </c>
      <c r="U15" s="34">
        <v>385</v>
      </c>
      <c r="V15" s="31">
        <f>T15+U15</f>
        <v>448728</v>
      </c>
      <c r="W15" s="256">
        <f t="shared" si="1"/>
        <v>8.73272609640674</v>
      </c>
    </row>
    <row r="16" spans="2:23" ht="14.25" thickBot="1" thickTop="1">
      <c r="B16" s="44" t="s">
        <v>21</v>
      </c>
      <c r="C16" s="45">
        <f aca="true" t="shared" si="4" ref="C16:H16">C15+C13+C14</f>
        <v>3960</v>
      </c>
      <c r="D16" s="46">
        <f t="shared" si="4"/>
        <v>3877</v>
      </c>
      <c r="E16" s="47">
        <f t="shared" si="4"/>
        <v>7837</v>
      </c>
      <c r="F16" s="45">
        <f t="shared" si="4"/>
        <v>4446</v>
      </c>
      <c r="G16" s="46">
        <f t="shared" si="4"/>
        <v>4335</v>
      </c>
      <c r="H16" s="45">
        <f t="shared" si="4"/>
        <v>8781</v>
      </c>
      <c r="I16" s="258">
        <f t="shared" si="0"/>
        <v>12.045425545489351</v>
      </c>
      <c r="L16" s="44" t="s">
        <v>21</v>
      </c>
      <c r="M16" s="45">
        <f aca="true" t="shared" si="5" ref="M16:V16">M15+M13+M14</f>
        <v>649376</v>
      </c>
      <c r="N16" s="49">
        <f t="shared" si="5"/>
        <v>683032</v>
      </c>
      <c r="O16" s="49">
        <f t="shared" si="5"/>
        <v>1332408</v>
      </c>
      <c r="P16" s="47">
        <f t="shared" si="5"/>
        <v>7570</v>
      </c>
      <c r="Q16" s="49">
        <f t="shared" si="5"/>
        <v>1339978</v>
      </c>
      <c r="R16" s="45">
        <f t="shared" si="5"/>
        <v>730667</v>
      </c>
      <c r="S16" s="49">
        <f t="shared" si="5"/>
        <v>767112</v>
      </c>
      <c r="T16" s="49">
        <f t="shared" si="5"/>
        <v>1497779</v>
      </c>
      <c r="U16" s="47">
        <f t="shared" si="5"/>
        <v>2951</v>
      </c>
      <c r="V16" s="49">
        <f t="shared" si="5"/>
        <v>1500730</v>
      </c>
      <c r="W16" s="262">
        <f t="shared" si="1"/>
        <v>11.996614869796375</v>
      </c>
    </row>
    <row r="17" spans="2:23" ht="13.5" thickTop="1">
      <c r="B17" s="4" t="s">
        <v>22</v>
      </c>
      <c r="C17" s="184">
        <v>1143</v>
      </c>
      <c r="D17" s="185">
        <v>1114</v>
      </c>
      <c r="E17" s="73">
        <f>C17+D17</f>
        <v>2257</v>
      </c>
      <c r="F17" s="184">
        <v>1289</v>
      </c>
      <c r="G17" s="185">
        <v>1257</v>
      </c>
      <c r="H17" s="73">
        <f>F17+G17</f>
        <v>2546</v>
      </c>
      <c r="I17" s="256">
        <f t="shared" si="0"/>
        <v>12.804607886575091</v>
      </c>
      <c r="L17" s="4" t="s">
        <v>22</v>
      </c>
      <c r="M17" s="29">
        <v>156499</v>
      </c>
      <c r="N17" s="36">
        <v>168529</v>
      </c>
      <c r="O17" s="33">
        <f>M17+N17</f>
        <v>325028</v>
      </c>
      <c r="P17" s="34">
        <v>3414</v>
      </c>
      <c r="Q17" s="35">
        <f>+O17+P17</f>
        <v>328442</v>
      </c>
      <c r="R17" s="29">
        <v>184477</v>
      </c>
      <c r="S17" s="36">
        <v>201636</v>
      </c>
      <c r="T17" s="33">
        <f>R17+S17</f>
        <v>386113</v>
      </c>
      <c r="U17" s="34">
        <v>916</v>
      </c>
      <c r="V17" s="35">
        <f>T17+U17</f>
        <v>387029</v>
      </c>
      <c r="W17" s="273">
        <f t="shared" si="1"/>
        <v>17.837852649782903</v>
      </c>
    </row>
    <row r="18" spans="2:23" ht="12.75">
      <c r="B18" s="4" t="s">
        <v>23</v>
      </c>
      <c r="C18" s="184">
        <v>1071</v>
      </c>
      <c r="D18" s="185">
        <v>1042</v>
      </c>
      <c r="E18" s="73">
        <f>C18+D18</f>
        <v>2113</v>
      </c>
      <c r="F18" s="184">
        <v>1188</v>
      </c>
      <c r="G18" s="185">
        <v>1157</v>
      </c>
      <c r="H18" s="73">
        <f>F18+G18</f>
        <v>2345</v>
      </c>
      <c r="I18" s="256">
        <f t="shared" si="0"/>
        <v>10.979649787032653</v>
      </c>
      <c r="L18" s="4" t="s">
        <v>23</v>
      </c>
      <c r="M18" s="29">
        <v>128726</v>
      </c>
      <c r="N18" s="36">
        <v>138729</v>
      </c>
      <c r="O18" s="33">
        <f>M18+N18</f>
        <v>267455</v>
      </c>
      <c r="P18" s="34">
        <v>3807</v>
      </c>
      <c r="Q18" s="35">
        <f>O18+P18</f>
        <v>271262</v>
      </c>
      <c r="R18" s="29">
        <v>144278</v>
      </c>
      <c r="S18" s="36">
        <v>159626</v>
      </c>
      <c r="T18" s="33">
        <f>R18+S18</f>
        <v>303904</v>
      </c>
      <c r="U18" s="34">
        <v>1114</v>
      </c>
      <c r="V18" s="31">
        <f>T18+U18</f>
        <v>305018</v>
      </c>
      <c r="W18" s="256">
        <f t="shared" si="1"/>
        <v>12.444057774402605</v>
      </c>
    </row>
    <row r="19" spans="2:23" ht="13.5" thickBot="1">
      <c r="B19" s="4" t="s">
        <v>24</v>
      </c>
      <c r="C19" s="184">
        <v>1009</v>
      </c>
      <c r="D19" s="185">
        <v>974</v>
      </c>
      <c r="E19" s="73">
        <f>C19+D19</f>
        <v>1983</v>
      </c>
      <c r="F19" s="29">
        <v>1072</v>
      </c>
      <c r="G19" s="38">
        <v>1044</v>
      </c>
      <c r="H19" s="31">
        <f>F19+G19</f>
        <v>2116</v>
      </c>
      <c r="I19" s="256">
        <f t="shared" si="0"/>
        <v>6.707009581442258</v>
      </c>
      <c r="L19" s="4" t="s">
        <v>24</v>
      </c>
      <c r="M19" s="29">
        <v>137804</v>
      </c>
      <c r="N19" s="36">
        <v>131671</v>
      </c>
      <c r="O19" s="51">
        <f>M19+N19</f>
        <v>269475</v>
      </c>
      <c r="P19" s="52">
        <v>4227</v>
      </c>
      <c r="Q19" s="35">
        <f>O19+P19</f>
        <v>273702</v>
      </c>
      <c r="R19" s="29">
        <v>156267</v>
      </c>
      <c r="S19" s="36">
        <v>146416</v>
      </c>
      <c r="T19" s="51">
        <f>R19+S19</f>
        <v>302683</v>
      </c>
      <c r="U19" s="52">
        <v>539</v>
      </c>
      <c r="V19" s="31">
        <f>T19+U19</f>
        <v>303222</v>
      </c>
      <c r="W19" s="256">
        <f t="shared" si="1"/>
        <v>10.785452791722383</v>
      </c>
    </row>
    <row r="20" spans="2:23" ht="14.25" thickBot="1" thickTop="1">
      <c r="B20" s="44" t="s">
        <v>65</v>
      </c>
      <c r="C20" s="76">
        <f aca="true" t="shared" si="6" ref="C20:H20">C19+C17+C18</f>
        <v>3223</v>
      </c>
      <c r="D20" s="186">
        <f t="shared" si="6"/>
        <v>3130</v>
      </c>
      <c r="E20" s="49">
        <f t="shared" si="6"/>
        <v>6353</v>
      </c>
      <c r="F20" s="76">
        <f t="shared" si="6"/>
        <v>3549</v>
      </c>
      <c r="G20" s="186">
        <f t="shared" si="6"/>
        <v>3458</v>
      </c>
      <c r="H20" s="186">
        <f t="shared" si="6"/>
        <v>7007</v>
      </c>
      <c r="I20" s="257">
        <f t="shared" si="0"/>
        <v>10.294349126396973</v>
      </c>
      <c r="L20" s="44" t="s">
        <v>65</v>
      </c>
      <c r="M20" s="45">
        <f aca="true" t="shared" si="7" ref="M20:V20">M19+M17+M18</f>
        <v>423029</v>
      </c>
      <c r="N20" s="45">
        <f t="shared" si="7"/>
        <v>438929</v>
      </c>
      <c r="O20" s="47">
        <f t="shared" si="7"/>
        <v>861958</v>
      </c>
      <c r="P20" s="47">
        <f t="shared" si="7"/>
        <v>11448</v>
      </c>
      <c r="Q20" s="47">
        <f t="shared" si="7"/>
        <v>873406</v>
      </c>
      <c r="R20" s="45">
        <f t="shared" si="7"/>
        <v>485022</v>
      </c>
      <c r="S20" s="45">
        <f t="shared" si="7"/>
        <v>507678</v>
      </c>
      <c r="T20" s="47">
        <f t="shared" si="7"/>
        <v>992700</v>
      </c>
      <c r="U20" s="47">
        <f t="shared" si="7"/>
        <v>2569</v>
      </c>
      <c r="V20" s="47">
        <f t="shared" si="7"/>
        <v>995269</v>
      </c>
      <c r="W20" s="262">
        <f t="shared" si="1"/>
        <v>13.952617682956149</v>
      </c>
    </row>
    <row r="21" spans="2:23" ht="13.5" thickTop="1">
      <c r="B21" s="4" t="s">
        <v>26</v>
      </c>
      <c r="C21" s="29">
        <v>1157</v>
      </c>
      <c r="D21" s="30">
        <v>1131</v>
      </c>
      <c r="E21" s="57">
        <f>C21+D21</f>
        <v>2288</v>
      </c>
      <c r="F21" s="29">
        <v>1277</v>
      </c>
      <c r="G21" s="30">
        <v>1239</v>
      </c>
      <c r="H21" s="58">
        <f>F21+G21</f>
        <v>2516</v>
      </c>
      <c r="I21" s="256">
        <f t="shared" si="0"/>
        <v>9.965034965034958</v>
      </c>
      <c r="L21" s="4" t="s">
        <v>27</v>
      </c>
      <c r="M21" s="29">
        <v>167452</v>
      </c>
      <c r="N21" s="36">
        <v>161321</v>
      </c>
      <c r="O21" s="51">
        <f>SUM(M21:N21)</f>
        <v>328773</v>
      </c>
      <c r="P21" s="59">
        <v>4915</v>
      </c>
      <c r="Q21" s="35">
        <f>O21+P21</f>
        <v>333688</v>
      </c>
      <c r="R21" s="29">
        <v>194226</v>
      </c>
      <c r="S21" s="36">
        <v>190155</v>
      </c>
      <c r="T21" s="51">
        <f>SUM(R21:S21)</f>
        <v>384381</v>
      </c>
      <c r="U21" s="59">
        <v>1658</v>
      </c>
      <c r="V21" s="31">
        <f>T21+U21</f>
        <v>386039</v>
      </c>
      <c r="W21" s="256">
        <f t="shared" si="1"/>
        <v>15.688607321809588</v>
      </c>
    </row>
    <row r="22" spans="2:23" ht="12.75">
      <c r="B22" s="4" t="s">
        <v>28</v>
      </c>
      <c r="C22" s="29">
        <v>1198</v>
      </c>
      <c r="D22" s="30">
        <v>1170</v>
      </c>
      <c r="E22" s="33">
        <f>C22+D22</f>
        <v>2368</v>
      </c>
      <c r="F22" s="29">
        <v>1359</v>
      </c>
      <c r="G22" s="30">
        <v>1327</v>
      </c>
      <c r="H22" s="33">
        <f>F22+G22</f>
        <v>2686</v>
      </c>
      <c r="I22" s="256">
        <f>IF(E22=0,0,((H22/E22)-1)*100)</f>
        <v>13.429054054054056</v>
      </c>
      <c r="L22" s="4" t="s">
        <v>28</v>
      </c>
      <c r="M22" s="29">
        <v>175821</v>
      </c>
      <c r="N22" s="36">
        <v>177756</v>
      </c>
      <c r="O22" s="51">
        <f>SUM(M22:N22)</f>
        <v>353577</v>
      </c>
      <c r="P22" s="34">
        <v>4103</v>
      </c>
      <c r="Q22" s="35">
        <f>O22+P22</f>
        <v>357680</v>
      </c>
      <c r="R22" s="29">
        <v>208619</v>
      </c>
      <c r="S22" s="36">
        <v>217634</v>
      </c>
      <c r="T22" s="51">
        <f>SUM(R22:S22)</f>
        <v>426253</v>
      </c>
      <c r="U22" s="34">
        <v>1315</v>
      </c>
      <c r="V22" s="31">
        <f>T22+U22</f>
        <v>427568</v>
      </c>
      <c r="W22" s="256">
        <f>IF(Q22=0,0,((V22/Q22)-1)*100)</f>
        <v>19.539252963542843</v>
      </c>
    </row>
    <row r="23" spans="2:23" ht="13.5" thickBot="1">
      <c r="B23" s="4" t="s">
        <v>29</v>
      </c>
      <c r="C23" s="29">
        <v>1078</v>
      </c>
      <c r="D23" s="60">
        <v>1048</v>
      </c>
      <c r="E23" s="61">
        <f>C23+D23</f>
        <v>2126</v>
      </c>
      <c r="F23" s="29">
        <v>1199</v>
      </c>
      <c r="G23" s="60">
        <v>1172</v>
      </c>
      <c r="H23" s="61">
        <f>F23+G23</f>
        <v>2371</v>
      </c>
      <c r="I23" s="263">
        <f t="shared" si="0"/>
        <v>11.523988711194733</v>
      </c>
      <c r="J23" s="50"/>
      <c r="L23" s="4" t="s">
        <v>29</v>
      </c>
      <c r="M23" s="29">
        <v>141449</v>
      </c>
      <c r="N23" s="36">
        <v>137034</v>
      </c>
      <c r="O23" s="51">
        <f>SUM(M23:N23)</f>
        <v>278483</v>
      </c>
      <c r="P23" s="52">
        <v>4400</v>
      </c>
      <c r="Q23" s="35">
        <f>O23+P23</f>
        <v>282883</v>
      </c>
      <c r="R23" s="29">
        <v>165453</v>
      </c>
      <c r="S23" s="36">
        <v>156657</v>
      </c>
      <c r="T23" s="51">
        <f>SUM(R23:S23)</f>
        <v>322110</v>
      </c>
      <c r="U23" s="52">
        <v>2172</v>
      </c>
      <c r="V23" s="31">
        <f>T23+U23</f>
        <v>324282</v>
      </c>
      <c r="W23" s="256">
        <f t="shared" si="1"/>
        <v>14.6346722850083</v>
      </c>
    </row>
    <row r="24" spans="2:23" ht="17.25" thickBot="1" thickTop="1">
      <c r="B24" s="39" t="s">
        <v>63</v>
      </c>
      <c r="C24" s="40">
        <f aca="true" t="shared" si="8" ref="C24:H24">+C21+C22+C23</f>
        <v>3433</v>
      </c>
      <c r="D24" s="41">
        <f t="shared" si="8"/>
        <v>3349</v>
      </c>
      <c r="E24" s="40">
        <f t="shared" si="8"/>
        <v>6782</v>
      </c>
      <c r="F24" s="40">
        <f t="shared" si="8"/>
        <v>3835</v>
      </c>
      <c r="G24" s="41">
        <f t="shared" si="8"/>
        <v>3738</v>
      </c>
      <c r="H24" s="40">
        <f t="shared" si="8"/>
        <v>7573</v>
      </c>
      <c r="I24" s="257">
        <f t="shared" si="0"/>
        <v>11.663226186965492</v>
      </c>
      <c r="J24" s="55"/>
      <c r="K24" s="56"/>
      <c r="L24" s="39" t="s">
        <v>63</v>
      </c>
      <c r="M24" s="40">
        <f aca="true" t="shared" si="9" ref="M24:V24">+M21+M22+M23</f>
        <v>484722</v>
      </c>
      <c r="N24" s="41">
        <f t="shared" si="9"/>
        <v>476111</v>
      </c>
      <c r="O24" s="40">
        <f t="shared" si="9"/>
        <v>960833</v>
      </c>
      <c r="P24" s="40">
        <f t="shared" si="9"/>
        <v>13418</v>
      </c>
      <c r="Q24" s="40">
        <f t="shared" si="9"/>
        <v>974251</v>
      </c>
      <c r="R24" s="40">
        <f t="shared" si="9"/>
        <v>568298</v>
      </c>
      <c r="S24" s="41">
        <f t="shared" si="9"/>
        <v>564446</v>
      </c>
      <c r="T24" s="40">
        <f t="shared" si="9"/>
        <v>1132744</v>
      </c>
      <c r="U24" s="40">
        <f t="shared" si="9"/>
        <v>5145</v>
      </c>
      <c r="V24" s="40">
        <f t="shared" si="9"/>
        <v>1137889</v>
      </c>
      <c r="W24" s="257">
        <f t="shared" si="1"/>
        <v>16.796287609661164</v>
      </c>
    </row>
    <row r="25" spans="2:23" ht="14.25" thickBot="1" thickTop="1">
      <c r="B25" s="39" t="s">
        <v>66</v>
      </c>
      <c r="C25" s="40">
        <f aca="true" t="shared" si="10" ref="C25:H25">+C16+C20+C24</f>
        <v>10616</v>
      </c>
      <c r="D25" s="41">
        <f t="shared" si="10"/>
        <v>10356</v>
      </c>
      <c r="E25" s="40">
        <f t="shared" si="10"/>
        <v>20972</v>
      </c>
      <c r="F25" s="40">
        <f t="shared" si="10"/>
        <v>11830</v>
      </c>
      <c r="G25" s="41">
        <f t="shared" si="10"/>
        <v>11531</v>
      </c>
      <c r="H25" s="40">
        <f t="shared" si="10"/>
        <v>23361</v>
      </c>
      <c r="I25" s="257">
        <f t="shared" si="0"/>
        <v>11.391378981499134</v>
      </c>
      <c r="L25" s="39" t="s">
        <v>66</v>
      </c>
      <c r="M25" s="40">
        <f aca="true" t="shared" si="11" ref="M25:V25">+M16+M20+M24</f>
        <v>1557127</v>
      </c>
      <c r="N25" s="41">
        <f t="shared" si="11"/>
        <v>1598072</v>
      </c>
      <c r="O25" s="40">
        <f t="shared" si="11"/>
        <v>3155199</v>
      </c>
      <c r="P25" s="40">
        <f t="shared" si="11"/>
        <v>32436</v>
      </c>
      <c r="Q25" s="40">
        <f t="shared" si="11"/>
        <v>3187635</v>
      </c>
      <c r="R25" s="40">
        <f t="shared" si="11"/>
        <v>1783987</v>
      </c>
      <c r="S25" s="41">
        <f t="shared" si="11"/>
        <v>1839236</v>
      </c>
      <c r="T25" s="40">
        <f t="shared" si="11"/>
        <v>3623223</v>
      </c>
      <c r="U25" s="40">
        <f t="shared" si="11"/>
        <v>10665</v>
      </c>
      <c r="V25" s="40">
        <f t="shared" si="11"/>
        <v>3633888</v>
      </c>
      <c r="W25" s="257">
        <f t="shared" si="1"/>
        <v>13.999501197596341</v>
      </c>
    </row>
    <row r="26" spans="2:23" ht="14.25" thickBot="1" thickTop="1">
      <c r="B26" s="39" t="s">
        <v>9</v>
      </c>
      <c r="C26" s="40">
        <f aca="true" t="shared" si="12" ref="C26:H26">+C16+C20+C24+C12</f>
        <v>13873</v>
      </c>
      <c r="D26" s="41">
        <f t="shared" si="12"/>
        <v>13516</v>
      </c>
      <c r="E26" s="40">
        <f t="shared" si="12"/>
        <v>27389</v>
      </c>
      <c r="F26" s="40">
        <f t="shared" si="12"/>
        <v>15772</v>
      </c>
      <c r="G26" s="41">
        <f t="shared" si="12"/>
        <v>15358</v>
      </c>
      <c r="H26" s="40">
        <f t="shared" si="12"/>
        <v>31130</v>
      </c>
      <c r="I26" s="257">
        <f t="shared" si="0"/>
        <v>13.65876811858775</v>
      </c>
      <c r="L26" s="39" t="s">
        <v>9</v>
      </c>
      <c r="M26" s="40">
        <f aca="true" t="shared" si="13" ref="M26:V26">+M16+M20+M24+M12</f>
        <v>2061558</v>
      </c>
      <c r="N26" s="41">
        <f t="shared" si="13"/>
        <v>2032730</v>
      </c>
      <c r="O26" s="40">
        <f t="shared" si="13"/>
        <v>4094288</v>
      </c>
      <c r="P26" s="40">
        <f t="shared" si="13"/>
        <v>42524</v>
      </c>
      <c r="Q26" s="40">
        <f t="shared" si="13"/>
        <v>4136812</v>
      </c>
      <c r="R26" s="40">
        <f t="shared" si="13"/>
        <v>2408523</v>
      </c>
      <c r="S26" s="41">
        <f t="shared" si="13"/>
        <v>2394782</v>
      </c>
      <c r="T26" s="40">
        <f t="shared" si="13"/>
        <v>4803305</v>
      </c>
      <c r="U26" s="40">
        <f t="shared" si="13"/>
        <v>13667</v>
      </c>
      <c r="V26" s="40">
        <f t="shared" si="13"/>
        <v>4816972</v>
      </c>
      <c r="W26" s="257">
        <f t="shared" si="1"/>
        <v>16.44164636923311</v>
      </c>
    </row>
    <row r="27" spans="2:12" ht="13.5" thickTop="1">
      <c r="B27" s="63" t="s">
        <v>64</v>
      </c>
      <c r="L27" s="63" t="s">
        <v>64</v>
      </c>
    </row>
    <row r="28" spans="2:23" ht="12.75">
      <c r="B28" s="336" t="s">
        <v>31</v>
      </c>
      <c r="C28" s="336"/>
      <c r="D28" s="336"/>
      <c r="E28" s="336"/>
      <c r="F28" s="336"/>
      <c r="G28" s="336"/>
      <c r="H28" s="336"/>
      <c r="I28" s="336"/>
      <c r="L28" s="336" t="s">
        <v>32</v>
      </c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</row>
    <row r="29" spans="2:23" ht="15.75">
      <c r="B29" s="337" t="s">
        <v>33</v>
      </c>
      <c r="C29" s="337"/>
      <c r="D29" s="337"/>
      <c r="E29" s="337"/>
      <c r="F29" s="337"/>
      <c r="G29" s="337"/>
      <c r="H29" s="337"/>
      <c r="I29" s="337"/>
      <c r="L29" s="337" t="s">
        <v>34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</row>
    <row r="30" ht="13.5" thickBot="1"/>
    <row r="31" spans="2:23" ht="17.25" thickBot="1" thickTop="1">
      <c r="B31" s="3"/>
      <c r="C31" s="341" t="s">
        <v>67</v>
      </c>
      <c r="D31" s="342"/>
      <c r="E31" s="343"/>
      <c r="F31" s="344" t="s">
        <v>68</v>
      </c>
      <c r="G31" s="345"/>
      <c r="H31" s="346"/>
      <c r="I31" s="292" t="s">
        <v>4</v>
      </c>
      <c r="L31" s="3"/>
      <c r="M31" s="347" t="s">
        <v>67</v>
      </c>
      <c r="N31" s="348"/>
      <c r="O31" s="348"/>
      <c r="P31" s="348"/>
      <c r="Q31" s="349"/>
      <c r="R31" s="338" t="s">
        <v>68</v>
      </c>
      <c r="S31" s="339"/>
      <c r="T31" s="339"/>
      <c r="U31" s="339"/>
      <c r="V31" s="340"/>
      <c r="W31" s="292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93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93" t="s">
        <v>6</v>
      </c>
    </row>
    <row r="33" spans="2:23" ht="13.5" thickBot="1">
      <c r="B33" s="12"/>
      <c r="C33" s="13" t="s">
        <v>7</v>
      </c>
      <c r="D33" s="230" t="s">
        <v>8</v>
      </c>
      <c r="E33" s="14" t="s">
        <v>9</v>
      </c>
      <c r="F33" s="13" t="s">
        <v>7</v>
      </c>
      <c r="G33" s="230" t="s">
        <v>8</v>
      </c>
      <c r="H33" s="14" t="s">
        <v>9</v>
      </c>
      <c r="I33" s="294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94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75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79"/>
    </row>
    <row r="35" spans="2:23" ht="12.75">
      <c r="B35" s="4" t="s">
        <v>14</v>
      </c>
      <c r="C35" s="71">
        <v>1092</v>
      </c>
      <c r="D35" s="72">
        <v>1119</v>
      </c>
      <c r="E35" s="81">
        <f>C35+D35</f>
        <v>2211</v>
      </c>
      <c r="F35" s="71">
        <v>1149</v>
      </c>
      <c r="G35" s="72">
        <v>1176</v>
      </c>
      <c r="H35" s="73">
        <f>F35+G35</f>
        <v>2325</v>
      </c>
      <c r="I35" s="256">
        <f aca="true" t="shared" si="14" ref="I35:I52">IF(E35=0,0,((H35/E35)-1)*100)</f>
        <v>5.156037991858886</v>
      </c>
      <c r="L35" s="4" t="s">
        <v>14</v>
      </c>
      <c r="M35" s="29">
        <v>162985</v>
      </c>
      <c r="N35" s="36">
        <v>161639</v>
      </c>
      <c r="O35" s="33">
        <f>SUM(M35:N35)</f>
        <v>324624</v>
      </c>
      <c r="P35" s="34">
        <v>0</v>
      </c>
      <c r="Q35" s="31">
        <f>O35+P35</f>
        <v>324624</v>
      </c>
      <c r="R35" s="29">
        <v>176391</v>
      </c>
      <c r="S35" s="36">
        <v>163425</v>
      </c>
      <c r="T35" s="33">
        <f>SUM(R35:S35)</f>
        <v>339816</v>
      </c>
      <c r="U35" s="34">
        <v>0</v>
      </c>
      <c r="V35" s="31">
        <f>T35+U35</f>
        <v>339816</v>
      </c>
      <c r="W35" s="256">
        <f aca="true" t="shared" si="15" ref="W35:W52">IF(Q35=0,0,((V35/Q35)-1)*100)</f>
        <v>4.679875794765631</v>
      </c>
    </row>
    <row r="36" spans="2:23" ht="12.75">
      <c r="B36" s="4" t="s">
        <v>15</v>
      </c>
      <c r="C36" s="71">
        <v>1096</v>
      </c>
      <c r="D36" s="72">
        <v>1132</v>
      </c>
      <c r="E36" s="81">
        <f>C36+D36</f>
        <v>2228</v>
      </c>
      <c r="F36" s="71">
        <v>1101</v>
      </c>
      <c r="G36" s="72">
        <v>1142</v>
      </c>
      <c r="H36" s="73">
        <f>F36+G36</f>
        <v>2243</v>
      </c>
      <c r="I36" s="256">
        <f t="shared" si="14"/>
        <v>0.6732495511669656</v>
      </c>
      <c r="L36" s="4" t="s">
        <v>15</v>
      </c>
      <c r="M36" s="29">
        <v>161162</v>
      </c>
      <c r="N36" s="36">
        <v>153992</v>
      </c>
      <c r="O36" s="33">
        <f>SUM(M36:N36)</f>
        <v>315154</v>
      </c>
      <c r="P36" s="34">
        <v>170</v>
      </c>
      <c r="Q36" s="31">
        <f>O36+P36</f>
        <v>315324</v>
      </c>
      <c r="R36" s="29">
        <v>155990</v>
      </c>
      <c r="S36" s="36">
        <v>157338</v>
      </c>
      <c r="T36" s="33">
        <f>SUM(R36:S36)</f>
        <v>313328</v>
      </c>
      <c r="U36" s="34">
        <v>68</v>
      </c>
      <c r="V36" s="31">
        <f>T36+U36</f>
        <v>313396</v>
      </c>
      <c r="W36" s="256">
        <f t="shared" si="15"/>
        <v>-0.6114345879159266</v>
      </c>
    </row>
    <row r="37" spans="2:23" ht="13.5" thickBot="1">
      <c r="B37" s="12" t="s">
        <v>16</v>
      </c>
      <c r="C37" s="74">
        <v>1189</v>
      </c>
      <c r="D37" s="75">
        <v>1227</v>
      </c>
      <c r="E37" s="82">
        <f>C37+D37</f>
        <v>2416</v>
      </c>
      <c r="F37" s="74">
        <v>1225</v>
      </c>
      <c r="G37" s="75">
        <v>1273</v>
      </c>
      <c r="H37" s="73">
        <f>F37+G37</f>
        <v>2498</v>
      </c>
      <c r="I37" s="256">
        <f t="shared" si="14"/>
        <v>3.39403973509933</v>
      </c>
      <c r="L37" s="12" t="s">
        <v>16</v>
      </c>
      <c r="M37" s="29">
        <v>183277</v>
      </c>
      <c r="N37" s="36">
        <v>161104</v>
      </c>
      <c r="O37" s="33">
        <f>SUM(M37:N37)</f>
        <v>344381</v>
      </c>
      <c r="P37" s="34">
        <v>231</v>
      </c>
      <c r="Q37" s="31">
        <f>O37+P37</f>
        <v>344612</v>
      </c>
      <c r="R37" s="29">
        <v>190375</v>
      </c>
      <c r="S37" s="36">
        <v>167980</v>
      </c>
      <c r="T37" s="33">
        <f>SUM(R37:S37)</f>
        <v>358355</v>
      </c>
      <c r="U37" s="34">
        <v>676</v>
      </c>
      <c r="V37" s="31">
        <f>T37+U37</f>
        <v>359031</v>
      </c>
      <c r="W37" s="256">
        <f t="shared" si="15"/>
        <v>4.184125915522374</v>
      </c>
    </row>
    <row r="38" spans="2:23" ht="14.25" thickBot="1" thickTop="1">
      <c r="B38" s="39" t="s">
        <v>58</v>
      </c>
      <c r="C38" s="40">
        <f aca="true" t="shared" si="16" ref="C38:H38">+C35+C36+C37</f>
        <v>3377</v>
      </c>
      <c r="D38" s="41">
        <f t="shared" si="16"/>
        <v>3478</v>
      </c>
      <c r="E38" s="40">
        <f t="shared" si="16"/>
        <v>6855</v>
      </c>
      <c r="F38" s="40">
        <f t="shared" si="16"/>
        <v>3475</v>
      </c>
      <c r="G38" s="41">
        <f t="shared" si="16"/>
        <v>3591</v>
      </c>
      <c r="H38" s="40">
        <f t="shared" si="16"/>
        <v>7066</v>
      </c>
      <c r="I38" s="257">
        <f t="shared" si="14"/>
        <v>3.078045222465353</v>
      </c>
      <c r="L38" s="39" t="s">
        <v>58</v>
      </c>
      <c r="M38" s="40">
        <f>+M35+M36+M37</f>
        <v>507424</v>
      </c>
      <c r="N38" s="41">
        <f>+N35+N36+N37</f>
        <v>476735</v>
      </c>
      <c r="O38" s="40">
        <f>+O35+O36+O37</f>
        <v>984159</v>
      </c>
      <c r="P38" s="40">
        <f>+P35+P36+P37</f>
        <v>401</v>
      </c>
      <c r="Q38" s="40">
        <f aca="true" t="shared" si="17" ref="Q38:V38">+Q35+Q36+Q37</f>
        <v>984560</v>
      </c>
      <c r="R38" s="40">
        <f t="shared" si="17"/>
        <v>522756</v>
      </c>
      <c r="S38" s="41">
        <f t="shared" si="17"/>
        <v>488743</v>
      </c>
      <c r="T38" s="40">
        <f t="shared" si="17"/>
        <v>1011499</v>
      </c>
      <c r="U38" s="40">
        <f t="shared" si="17"/>
        <v>744</v>
      </c>
      <c r="V38" s="40">
        <f t="shared" si="17"/>
        <v>1012243</v>
      </c>
      <c r="W38" s="257">
        <f t="shared" si="15"/>
        <v>2.8117128463476027</v>
      </c>
    </row>
    <row r="39" spans="2:23" ht="13.5" thickTop="1">
      <c r="B39" s="4" t="s">
        <v>18</v>
      </c>
      <c r="C39" s="29">
        <v>1209</v>
      </c>
      <c r="D39" s="30">
        <v>1235</v>
      </c>
      <c r="E39" s="81">
        <f>C39+D39</f>
        <v>2444</v>
      </c>
      <c r="F39" s="29">
        <v>1228</v>
      </c>
      <c r="G39" s="30">
        <v>1270</v>
      </c>
      <c r="H39" s="31">
        <f>F39+G39</f>
        <v>2498</v>
      </c>
      <c r="I39" s="256">
        <f t="shared" si="14"/>
        <v>2.209492635024546</v>
      </c>
      <c r="L39" s="4" t="s">
        <v>18</v>
      </c>
      <c r="M39" s="29">
        <v>193159</v>
      </c>
      <c r="N39" s="36">
        <v>203274</v>
      </c>
      <c r="O39" s="33">
        <f>M39+N39</f>
        <v>396433</v>
      </c>
      <c r="P39" s="34">
        <v>352</v>
      </c>
      <c r="Q39" s="35">
        <f>O39+P39</f>
        <v>396785</v>
      </c>
      <c r="R39" s="29">
        <v>205985</v>
      </c>
      <c r="S39" s="36">
        <v>216223</v>
      </c>
      <c r="T39" s="33">
        <f>R39+S39</f>
        <v>422208</v>
      </c>
      <c r="U39" s="34">
        <v>190</v>
      </c>
      <c r="V39" s="31">
        <f>T39+U39</f>
        <v>422398</v>
      </c>
      <c r="W39" s="256">
        <f t="shared" si="15"/>
        <v>6.455133132552904</v>
      </c>
    </row>
    <row r="40" spans="2:23" ht="12.75">
      <c r="B40" s="4" t="s">
        <v>19</v>
      </c>
      <c r="C40" s="29">
        <v>1142</v>
      </c>
      <c r="D40" s="30">
        <v>1164</v>
      </c>
      <c r="E40" s="81">
        <f>C40+D40</f>
        <v>2306</v>
      </c>
      <c r="F40" s="29">
        <v>1119</v>
      </c>
      <c r="G40" s="30">
        <v>1154</v>
      </c>
      <c r="H40" s="31">
        <f>F40+G40</f>
        <v>2273</v>
      </c>
      <c r="I40" s="256">
        <f>IF(E40=0,0,((H40/E40)-1)*100)</f>
        <v>-1.431049436253251</v>
      </c>
      <c r="L40" s="4" t="s">
        <v>19</v>
      </c>
      <c r="M40" s="29">
        <v>183658</v>
      </c>
      <c r="N40" s="36">
        <v>191942</v>
      </c>
      <c r="O40" s="33">
        <f>M40+N40</f>
        <v>375600</v>
      </c>
      <c r="P40" s="34">
        <v>0</v>
      </c>
      <c r="Q40" s="35">
        <f>O40+P40</f>
        <v>375600</v>
      </c>
      <c r="R40" s="29">
        <v>192781</v>
      </c>
      <c r="S40" s="36">
        <v>202044</v>
      </c>
      <c r="T40" s="33">
        <f>R40+S40</f>
        <v>394825</v>
      </c>
      <c r="U40" s="34">
        <v>0</v>
      </c>
      <c r="V40" s="31">
        <f>T40+U40</f>
        <v>394825</v>
      </c>
      <c r="W40" s="256">
        <f>IF(Q40=0,0,((V40/Q40)-1)*100)</f>
        <v>5.118477103301378</v>
      </c>
    </row>
    <row r="41" spans="2:23" ht="13.5" thickBot="1">
      <c r="B41" s="65" t="s">
        <v>20</v>
      </c>
      <c r="C41" s="68">
        <v>1236</v>
      </c>
      <c r="D41" s="30">
        <v>1266</v>
      </c>
      <c r="E41" s="84">
        <f>C41+D41</f>
        <v>2502</v>
      </c>
      <c r="F41" s="68">
        <v>1172</v>
      </c>
      <c r="G41" s="30">
        <v>1213</v>
      </c>
      <c r="H41" s="31">
        <f>F41+G41</f>
        <v>2385</v>
      </c>
      <c r="I41" s="256">
        <f t="shared" si="14"/>
        <v>-4.67625899280576</v>
      </c>
      <c r="L41" s="85" t="s">
        <v>20</v>
      </c>
      <c r="M41" s="86">
        <v>177944</v>
      </c>
      <c r="N41" s="36">
        <v>192941</v>
      </c>
      <c r="O41" s="33">
        <f>M41+N41</f>
        <v>370885</v>
      </c>
      <c r="P41" s="87">
        <v>566</v>
      </c>
      <c r="Q41" s="88">
        <f>O41+P41</f>
        <v>371451</v>
      </c>
      <c r="R41" s="86">
        <v>196233</v>
      </c>
      <c r="S41" s="36">
        <v>205107</v>
      </c>
      <c r="T41" s="33">
        <f>R41+S41</f>
        <v>401340</v>
      </c>
      <c r="U41" s="87">
        <v>178</v>
      </c>
      <c r="V41" s="31">
        <f>T41+U41</f>
        <v>401518</v>
      </c>
      <c r="W41" s="256">
        <f t="shared" si="15"/>
        <v>8.094472756837368</v>
      </c>
    </row>
    <row r="42" spans="2:23" ht="14.25" thickBot="1" thickTop="1">
      <c r="B42" s="44" t="s">
        <v>21</v>
      </c>
      <c r="C42" s="40">
        <f aca="true" t="shared" si="18" ref="C42:H42">C41+C39+C40</f>
        <v>3587</v>
      </c>
      <c r="D42" s="41">
        <f t="shared" si="18"/>
        <v>3665</v>
      </c>
      <c r="E42" s="40">
        <f t="shared" si="18"/>
        <v>7252</v>
      </c>
      <c r="F42" s="40">
        <f t="shared" si="18"/>
        <v>3519</v>
      </c>
      <c r="G42" s="41">
        <f t="shared" si="18"/>
        <v>3637</v>
      </c>
      <c r="H42" s="40">
        <f t="shared" si="18"/>
        <v>7156</v>
      </c>
      <c r="I42" s="257">
        <f>IF(E42=0,0,((H42/E42)-1)*100)</f>
        <v>-1.3237727523441767</v>
      </c>
      <c r="L42" s="44" t="s">
        <v>21</v>
      </c>
      <c r="M42" s="40">
        <f aca="true" t="shared" si="19" ref="M42:V42">M41+M39+M40</f>
        <v>554761</v>
      </c>
      <c r="N42" s="41">
        <f t="shared" si="19"/>
        <v>588157</v>
      </c>
      <c r="O42" s="40">
        <f t="shared" si="19"/>
        <v>1142918</v>
      </c>
      <c r="P42" s="40">
        <f t="shared" si="19"/>
        <v>918</v>
      </c>
      <c r="Q42" s="40">
        <f t="shared" si="19"/>
        <v>1143836</v>
      </c>
      <c r="R42" s="40">
        <f t="shared" si="19"/>
        <v>594999</v>
      </c>
      <c r="S42" s="41">
        <f t="shared" si="19"/>
        <v>623374</v>
      </c>
      <c r="T42" s="40">
        <f t="shared" si="19"/>
        <v>1218373</v>
      </c>
      <c r="U42" s="40">
        <f t="shared" si="19"/>
        <v>368</v>
      </c>
      <c r="V42" s="40">
        <f t="shared" si="19"/>
        <v>1218741</v>
      </c>
      <c r="W42" s="257">
        <f>IF(Q42=0,0,((V42/Q42)-1)*100)</f>
        <v>6.548578642392799</v>
      </c>
    </row>
    <row r="43" spans="2:23" ht="13.5" thickTop="1">
      <c r="B43" s="4" t="s">
        <v>35</v>
      </c>
      <c r="C43" s="29">
        <v>1226</v>
      </c>
      <c r="D43" s="30">
        <v>1256</v>
      </c>
      <c r="E43" s="81">
        <f>C43+D43</f>
        <v>2482</v>
      </c>
      <c r="F43" s="29">
        <v>1183</v>
      </c>
      <c r="G43" s="30">
        <v>1211</v>
      </c>
      <c r="H43" s="31">
        <f>SUM(F43:G43)</f>
        <v>2394</v>
      </c>
      <c r="I43" s="256">
        <f t="shared" si="14"/>
        <v>-3.5455278001611634</v>
      </c>
      <c r="L43" s="4" t="s">
        <v>22</v>
      </c>
      <c r="M43" s="29">
        <v>176405</v>
      </c>
      <c r="N43" s="36">
        <v>174906</v>
      </c>
      <c r="O43" s="33">
        <f>M43+N43</f>
        <v>351311</v>
      </c>
      <c r="P43" s="34">
        <v>7</v>
      </c>
      <c r="Q43" s="35">
        <f>O43+P43</f>
        <v>351318</v>
      </c>
      <c r="R43" s="29">
        <v>189164</v>
      </c>
      <c r="S43" s="36">
        <v>194571</v>
      </c>
      <c r="T43" s="33">
        <f>R43+S43</f>
        <v>383735</v>
      </c>
      <c r="U43" s="34">
        <v>142</v>
      </c>
      <c r="V43" s="31">
        <f>T43+U43</f>
        <v>383877</v>
      </c>
      <c r="W43" s="256">
        <f t="shared" si="15"/>
        <v>9.267672023636697</v>
      </c>
    </row>
    <row r="44" spans="2:23" ht="12.75">
      <c r="B44" s="4" t="s">
        <v>23</v>
      </c>
      <c r="C44" s="29">
        <v>1144</v>
      </c>
      <c r="D44" s="30">
        <v>1176</v>
      </c>
      <c r="E44" s="81">
        <f>C44+D44</f>
        <v>2320</v>
      </c>
      <c r="F44" s="29">
        <v>1194</v>
      </c>
      <c r="G44" s="30">
        <v>1226</v>
      </c>
      <c r="H44" s="31">
        <f>SUM(F44:G44)</f>
        <v>2420</v>
      </c>
      <c r="I44" s="256">
        <f t="shared" si="14"/>
        <v>4.31034482758621</v>
      </c>
      <c r="L44" s="4" t="s">
        <v>23</v>
      </c>
      <c r="M44" s="29">
        <v>135544</v>
      </c>
      <c r="N44" s="36">
        <v>151925</v>
      </c>
      <c r="O44" s="33">
        <f>M44+N44</f>
        <v>287469</v>
      </c>
      <c r="P44" s="34">
        <v>0</v>
      </c>
      <c r="Q44" s="35">
        <f>O44+P44</f>
        <v>287469</v>
      </c>
      <c r="R44" s="29">
        <v>158224</v>
      </c>
      <c r="S44" s="36">
        <v>167103</v>
      </c>
      <c r="T44" s="33">
        <f>R44+S44</f>
        <v>325327</v>
      </c>
      <c r="U44" s="34">
        <v>95</v>
      </c>
      <c r="V44" s="31">
        <f>T44+U44</f>
        <v>325422</v>
      </c>
      <c r="W44" s="256">
        <f t="shared" si="15"/>
        <v>13.202467048620893</v>
      </c>
    </row>
    <row r="45" spans="2:23" ht="13.5" thickBot="1">
      <c r="B45" s="4" t="s">
        <v>24</v>
      </c>
      <c r="C45" s="29">
        <v>1058</v>
      </c>
      <c r="D45" s="38">
        <v>1087</v>
      </c>
      <c r="E45" s="81">
        <f>C45+D45</f>
        <v>2145</v>
      </c>
      <c r="F45" s="29">
        <v>1103</v>
      </c>
      <c r="G45" s="38">
        <v>1133</v>
      </c>
      <c r="H45" s="31">
        <f>SUM(F45:G45)</f>
        <v>2236</v>
      </c>
      <c r="I45" s="263">
        <f t="shared" si="14"/>
        <v>4.2424242424242475</v>
      </c>
      <c r="L45" s="4" t="s">
        <v>24</v>
      </c>
      <c r="M45" s="29">
        <v>141797</v>
      </c>
      <c r="N45" s="36">
        <v>135889</v>
      </c>
      <c r="O45" s="51">
        <f>M45+N45</f>
        <v>277686</v>
      </c>
      <c r="P45" s="52">
        <v>0</v>
      </c>
      <c r="Q45" s="35">
        <f>O45+P45</f>
        <v>277686</v>
      </c>
      <c r="R45" s="29">
        <v>160904</v>
      </c>
      <c r="S45" s="36">
        <v>157489</v>
      </c>
      <c r="T45" s="51">
        <f>R45+S45</f>
        <v>318393</v>
      </c>
      <c r="U45" s="52">
        <v>274</v>
      </c>
      <c r="V45" s="31">
        <f>T45+U45</f>
        <v>318667</v>
      </c>
      <c r="W45" s="256">
        <f t="shared" si="15"/>
        <v>14.758036055112612</v>
      </c>
    </row>
    <row r="46" spans="2:23" ht="14.25" thickBot="1" thickTop="1">
      <c r="B46" s="44" t="s">
        <v>65</v>
      </c>
      <c r="C46" s="40">
        <f aca="true" t="shared" si="20" ref="C46:H46">C45+C43+C44</f>
        <v>3428</v>
      </c>
      <c r="D46" s="53">
        <f t="shared" si="20"/>
        <v>3519</v>
      </c>
      <c r="E46" s="186">
        <f t="shared" si="20"/>
        <v>6947</v>
      </c>
      <c r="F46" s="40">
        <f t="shared" si="20"/>
        <v>3480</v>
      </c>
      <c r="G46" s="53">
        <f t="shared" si="20"/>
        <v>3570</v>
      </c>
      <c r="H46" s="53">
        <f t="shared" si="20"/>
        <v>7050</v>
      </c>
      <c r="I46" s="257">
        <f t="shared" si="14"/>
        <v>1.4826543831869765</v>
      </c>
      <c r="L46" s="44" t="s">
        <v>65</v>
      </c>
      <c r="M46" s="45">
        <f aca="true" t="shared" si="21" ref="M46:V46">M45+M43+M44</f>
        <v>453746</v>
      </c>
      <c r="N46" s="45">
        <f t="shared" si="21"/>
        <v>462720</v>
      </c>
      <c r="O46" s="47">
        <f t="shared" si="21"/>
        <v>916466</v>
      </c>
      <c r="P46" s="47">
        <f t="shared" si="21"/>
        <v>7</v>
      </c>
      <c r="Q46" s="47">
        <f t="shared" si="21"/>
        <v>916473</v>
      </c>
      <c r="R46" s="45">
        <f t="shared" si="21"/>
        <v>508292</v>
      </c>
      <c r="S46" s="45">
        <f t="shared" si="21"/>
        <v>519163</v>
      </c>
      <c r="T46" s="47">
        <f t="shared" si="21"/>
        <v>1027455</v>
      </c>
      <c r="U46" s="47">
        <f t="shared" si="21"/>
        <v>511</v>
      </c>
      <c r="V46" s="47">
        <f t="shared" si="21"/>
        <v>1027966</v>
      </c>
      <c r="W46" s="262">
        <f t="shared" si="15"/>
        <v>12.165442953584016</v>
      </c>
    </row>
    <row r="47" spans="2:23" ht="13.5" thickTop="1">
      <c r="B47" s="4" t="s">
        <v>26</v>
      </c>
      <c r="C47" s="29">
        <v>1113</v>
      </c>
      <c r="D47" s="30">
        <v>1137</v>
      </c>
      <c r="E47" s="89">
        <f>C47+D47</f>
        <v>2250</v>
      </c>
      <c r="F47" s="29">
        <v>1185</v>
      </c>
      <c r="G47" s="30">
        <v>1223</v>
      </c>
      <c r="H47" s="31">
        <f>F47+G47</f>
        <v>2408</v>
      </c>
      <c r="I47" s="256">
        <f t="shared" si="14"/>
        <v>7.022222222222219</v>
      </c>
      <c r="L47" s="4" t="s">
        <v>27</v>
      </c>
      <c r="M47" s="29">
        <v>180356</v>
      </c>
      <c r="N47" s="36">
        <v>176217</v>
      </c>
      <c r="O47" s="51">
        <f>SUM(M47:N47)</f>
        <v>356573</v>
      </c>
      <c r="P47" s="59">
        <v>0</v>
      </c>
      <c r="Q47" s="35">
        <f>O47+P47</f>
        <v>356573</v>
      </c>
      <c r="R47" s="29">
        <v>185134</v>
      </c>
      <c r="S47" s="36">
        <v>181406</v>
      </c>
      <c r="T47" s="51">
        <f>SUM(R47:S47)</f>
        <v>366540</v>
      </c>
      <c r="U47" s="59">
        <v>0</v>
      </c>
      <c r="V47" s="33">
        <f>T47+U47</f>
        <v>366540</v>
      </c>
      <c r="W47" s="256">
        <f t="shared" si="15"/>
        <v>2.7952200531167426</v>
      </c>
    </row>
    <row r="48" spans="2:23" ht="12.75">
      <c r="B48" s="4" t="s">
        <v>28</v>
      </c>
      <c r="C48" s="29">
        <v>1109</v>
      </c>
      <c r="D48" s="30">
        <v>1138</v>
      </c>
      <c r="E48" s="81">
        <f>C48+D48</f>
        <v>2247</v>
      </c>
      <c r="F48" s="29">
        <v>1190</v>
      </c>
      <c r="G48" s="30">
        <v>1218</v>
      </c>
      <c r="H48" s="31">
        <f>F48+G48</f>
        <v>2408</v>
      </c>
      <c r="I48" s="256">
        <f>IF(E48=0,0,((H48/E48)-1)*100)</f>
        <v>7.1651090342679025</v>
      </c>
      <c r="L48" s="4" t="s">
        <v>28</v>
      </c>
      <c r="M48" s="29">
        <v>177668</v>
      </c>
      <c r="N48" s="36">
        <v>179727</v>
      </c>
      <c r="O48" s="33">
        <f>SUM(M48:N48)</f>
        <v>357395</v>
      </c>
      <c r="P48" s="34">
        <v>66</v>
      </c>
      <c r="Q48" s="35">
        <f>O48+P48</f>
        <v>357461</v>
      </c>
      <c r="R48" s="29">
        <v>202620</v>
      </c>
      <c r="S48" s="36">
        <v>206288</v>
      </c>
      <c r="T48" s="33">
        <f>SUM(R48:S48)</f>
        <v>408908</v>
      </c>
      <c r="U48" s="34">
        <v>0</v>
      </c>
      <c r="V48" s="33">
        <f>T48+U48</f>
        <v>408908</v>
      </c>
      <c r="W48" s="256">
        <f>IF(Q48=0,0,((V48/Q48)-1)*100)</f>
        <v>14.392339304147871</v>
      </c>
    </row>
    <row r="49" spans="2:23" ht="13.5" thickBot="1">
      <c r="B49" s="4" t="s">
        <v>29</v>
      </c>
      <c r="C49" s="29">
        <v>1069</v>
      </c>
      <c r="D49" s="60">
        <v>1101</v>
      </c>
      <c r="E49" s="81">
        <f>C49+D49</f>
        <v>2170</v>
      </c>
      <c r="F49" s="29">
        <v>1079</v>
      </c>
      <c r="G49" s="60">
        <v>1109</v>
      </c>
      <c r="H49" s="31">
        <f>F49+G49</f>
        <v>2188</v>
      </c>
      <c r="I49" s="256">
        <f t="shared" si="14"/>
        <v>0.8294930875575979</v>
      </c>
      <c r="L49" s="4" t="s">
        <v>29</v>
      </c>
      <c r="M49" s="29">
        <v>157683</v>
      </c>
      <c r="N49" s="36">
        <v>152815</v>
      </c>
      <c r="O49" s="33">
        <f>SUM(M49:N49)</f>
        <v>310498</v>
      </c>
      <c r="P49" s="34">
        <v>192</v>
      </c>
      <c r="Q49" s="35">
        <f>O49+P49</f>
        <v>310690</v>
      </c>
      <c r="R49" s="29">
        <v>156834</v>
      </c>
      <c r="S49" s="36">
        <v>152801</v>
      </c>
      <c r="T49" s="33">
        <f>SUM(R49:S49)</f>
        <v>309635</v>
      </c>
      <c r="U49" s="34">
        <v>0</v>
      </c>
      <c r="V49" s="33">
        <f>T49+U49</f>
        <v>309635</v>
      </c>
      <c r="W49" s="256">
        <f t="shared" si="15"/>
        <v>-0.3395667707360994</v>
      </c>
    </row>
    <row r="50" spans="2:23" ht="14.25" thickBot="1" thickTop="1">
      <c r="B50" s="39" t="s">
        <v>63</v>
      </c>
      <c r="C50" s="40">
        <f aca="true" t="shared" si="22" ref="C50:H50">+C47+C48+C49</f>
        <v>3291</v>
      </c>
      <c r="D50" s="41">
        <f t="shared" si="22"/>
        <v>3376</v>
      </c>
      <c r="E50" s="40">
        <f t="shared" si="22"/>
        <v>6667</v>
      </c>
      <c r="F50" s="40">
        <f t="shared" si="22"/>
        <v>3454</v>
      </c>
      <c r="G50" s="41">
        <f t="shared" si="22"/>
        <v>3550</v>
      </c>
      <c r="H50" s="40">
        <f t="shared" si="22"/>
        <v>7004</v>
      </c>
      <c r="I50" s="257">
        <f t="shared" si="14"/>
        <v>5.054747262636861</v>
      </c>
      <c r="L50" s="39" t="s">
        <v>63</v>
      </c>
      <c r="M50" s="40">
        <f aca="true" t="shared" si="23" ref="M50:V50">+M47+M48+M49</f>
        <v>515707</v>
      </c>
      <c r="N50" s="41">
        <f t="shared" si="23"/>
        <v>508759</v>
      </c>
      <c r="O50" s="40">
        <f t="shared" si="23"/>
        <v>1024466</v>
      </c>
      <c r="P50" s="40">
        <f t="shared" si="23"/>
        <v>258</v>
      </c>
      <c r="Q50" s="40">
        <f t="shared" si="23"/>
        <v>1024724</v>
      </c>
      <c r="R50" s="40">
        <f t="shared" si="23"/>
        <v>544588</v>
      </c>
      <c r="S50" s="41">
        <f t="shared" si="23"/>
        <v>540495</v>
      </c>
      <c r="T50" s="40">
        <f t="shared" si="23"/>
        <v>1085083</v>
      </c>
      <c r="U50" s="40">
        <f t="shared" si="23"/>
        <v>0</v>
      </c>
      <c r="V50" s="40">
        <f t="shared" si="23"/>
        <v>1085083</v>
      </c>
      <c r="W50" s="257">
        <f t="shared" si="15"/>
        <v>5.890268989503511</v>
      </c>
    </row>
    <row r="51" spans="2:23" ht="14.25" thickBot="1" thickTop="1">
      <c r="B51" s="39" t="s">
        <v>66</v>
      </c>
      <c r="C51" s="40">
        <f aca="true" t="shared" si="24" ref="C51:H51">+C42+C46+C50</f>
        <v>10306</v>
      </c>
      <c r="D51" s="41">
        <f t="shared" si="24"/>
        <v>10560</v>
      </c>
      <c r="E51" s="40">
        <f t="shared" si="24"/>
        <v>20866</v>
      </c>
      <c r="F51" s="40">
        <f t="shared" si="24"/>
        <v>10453</v>
      </c>
      <c r="G51" s="41">
        <f t="shared" si="24"/>
        <v>10757</v>
      </c>
      <c r="H51" s="40">
        <f t="shared" si="24"/>
        <v>21210</v>
      </c>
      <c r="I51" s="257">
        <f t="shared" si="14"/>
        <v>1.648614971724327</v>
      </c>
      <c r="L51" s="39" t="s">
        <v>66</v>
      </c>
      <c r="M51" s="40">
        <f aca="true" t="shared" si="25" ref="M51:V51">+M42+M46+M50</f>
        <v>1524214</v>
      </c>
      <c r="N51" s="41">
        <f t="shared" si="25"/>
        <v>1559636</v>
      </c>
      <c r="O51" s="40">
        <f t="shared" si="25"/>
        <v>3083850</v>
      </c>
      <c r="P51" s="40">
        <f t="shared" si="25"/>
        <v>1183</v>
      </c>
      <c r="Q51" s="40">
        <f t="shared" si="25"/>
        <v>3085033</v>
      </c>
      <c r="R51" s="40">
        <f t="shared" si="25"/>
        <v>1647879</v>
      </c>
      <c r="S51" s="41">
        <f t="shared" si="25"/>
        <v>1683032</v>
      </c>
      <c r="T51" s="40">
        <f t="shared" si="25"/>
        <v>3330911</v>
      </c>
      <c r="U51" s="40">
        <f t="shared" si="25"/>
        <v>879</v>
      </c>
      <c r="V51" s="40">
        <f t="shared" si="25"/>
        <v>3331790</v>
      </c>
      <c r="W51" s="257">
        <f t="shared" si="15"/>
        <v>7.998520599293424</v>
      </c>
    </row>
    <row r="52" spans="2:23" ht="14.25" thickBot="1" thickTop="1">
      <c r="B52" s="39" t="s">
        <v>9</v>
      </c>
      <c r="C52" s="40">
        <f aca="true" t="shared" si="26" ref="C52:H52">+C42+C46+C50+C38</f>
        <v>13683</v>
      </c>
      <c r="D52" s="41">
        <f t="shared" si="26"/>
        <v>14038</v>
      </c>
      <c r="E52" s="40">
        <f t="shared" si="26"/>
        <v>27721</v>
      </c>
      <c r="F52" s="40">
        <f t="shared" si="26"/>
        <v>13928</v>
      </c>
      <c r="G52" s="41">
        <f t="shared" si="26"/>
        <v>14348</v>
      </c>
      <c r="H52" s="40">
        <f t="shared" si="26"/>
        <v>28276</v>
      </c>
      <c r="I52" s="257">
        <f t="shared" si="14"/>
        <v>2.0020922766133875</v>
      </c>
      <c r="L52" s="39" t="s">
        <v>9</v>
      </c>
      <c r="M52" s="40">
        <f aca="true" t="shared" si="27" ref="M52:V52">+M42+M46+M50+M38</f>
        <v>2031638</v>
      </c>
      <c r="N52" s="41">
        <f t="shared" si="27"/>
        <v>2036371</v>
      </c>
      <c r="O52" s="40">
        <f t="shared" si="27"/>
        <v>4068009</v>
      </c>
      <c r="P52" s="40">
        <f t="shared" si="27"/>
        <v>1584</v>
      </c>
      <c r="Q52" s="40">
        <f t="shared" si="27"/>
        <v>4069593</v>
      </c>
      <c r="R52" s="40">
        <f t="shared" si="27"/>
        <v>2170635</v>
      </c>
      <c r="S52" s="41">
        <f t="shared" si="27"/>
        <v>2171775</v>
      </c>
      <c r="T52" s="40">
        <f t="shared" si="27"/>
        <v>4342410</v>
      </c>
      <c r="U52" s="40">
        <f t="shared" si="27"/>
        <v>1623</v>
      </c>
      <c r="V52" s="40">
        <f t="shared" si="27"/>
        <v>4344033</v>
      </c>
      <c r="W52" s="257">
        <f t="shared" si="15"/>
        <v>6.7436719101885645</v>
      </c>
    </row>
    <row r="53" spans="2:15" ht="13.5" thickTop="1">
      <c r="B53" s="63" t="s">
        <v>64</v>
      </c>
      <c r="L53" s="63" t="s">
        <v>64</v>
      </c>
      <c r="O53" s="99"/>
    </row>
    <row r="54" spans="2:23" ht="12.75">
      <c r="B54" s="336" t="s">
        <v>36</v>
      </c>
      <c r="C54" s="336"/>
      <c r="D54" s="336"/>
      <c r="E54" s="336"/>
      <c r="F54" s="336"/>
      <c r="G54" s="336"/>
      <c r="H54" s="336"/>
      <c r="I54" s="336"/>
      <c r="L54" s="336" t="s">
        <v>37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</row>
    <row r="55" spans="2:23" ht="15.75">
      <c r="B55" s="337" t="s">
        <v>38</v>
      </c>
      <c r="C55" s="337"/>
      <c r="D55" s="337"/>
      <c r="E55" s="337"/>
      <c r="F55" s="337"/>
      <c r="G55" s="337"/>
      <c r="H55" s="337"/>
      <c r="I55" s="337"/>
      <c r="L55" s="337" t="s">
        <v>39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ht="13.5" thickBot="1"/>
    <row r="57" spans="2:23" ht="17.25" thickBot="1" thickTop="1">
      <c r="B57" s="3"/>
      <c r="C57" s="341" t="s">
        <v>67</v>
      </c>
      <c r="D57" s="342"/>
      <c r="E57" s="343"/>
      <c r="F57" s="344" t="s">
        <v>68</v>
      </c>
      <c r="G57" s="345"/>
      <c r="H57" s="346"/>
      <c r="I57" s="292" t="s">
        <v>4</v>
      </c>
      <c r="L57" s="3"/>
      <c r="M57" s="347" t="s">
        <v>67</v>
      </c>
      <c r="N57" s="348"/>
      <c r="O57" s="348"/>
      <c r="P57" s="348"/>
      <c r="Q57" s="349"/>
      <c r="R57" s="338" t="s">
        <v>68</v>
      </c>
      <c r="S57" s="339"/>
      <c r="T57" s="339"/>
      <c r="U57" s="339"/>
      <c r="V57" s="340"/>
      <c r="W57" s="292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93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93" t="s">
        <v>6</v>
      </c>
    </row>
    <row r="59" spans="2:23" ht="13.5" thickBot="1">
      <c r="B59" s="12" t="s">
        <v>40</v>
      </c>
      <c r="C59" s="13" t="s">
        <v>7</v>
      </c>
      <c r="D59" s="230" t="s">
        <v>8</v>
      </c>
      <c r="E59" s="14" t="s">
        <v>9</v>
      </c>
      <c r="F59" s="13" t="s">
        <v>7</v>
      </c>
      <c r="G59" s="230" t="s">
        <v>8</v>
      </c>
      <c r="H59" s="14" t="s">
        <v>9</v>
      </c>
      <c r="I59" s="294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94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75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79"/>
    </row>
    <row r="61" spans="2:23" ht="12.75">
      <c r="B61" s="4" t="s">
        <v>14</v>
      </c>
      <c r="C61" s="71">
        <f aca="true" t="shared" si="28" ref="C61:G63">+C9+C35</f>
        <v>2044</v>
      </c>
      <c r="D61" s="72">
        <f t="shared" si="28"/>
        <v>2046</v>
      </c>
      <c r="E61" s="81">
        <f t="shared" si="28"/>
        <v>4090</v>
      </c>
      <c r="F61" s="71">
        <f t="shared" si="28"/>
        <v>2393</v>
      </c>
      <c r="G61" s="72">
        <f t="shared" si="28"/>
        <v>2396</v>
      </c>
      <c r="H61" s="73">
        <f>F61+G61</f>
        <v>4789</v>
      </c>
      <c r="I61" s="256">
        <f aca="true" t="shared" si="29" ref="I61:I78">IF(E61=0,0,((H61/E61)-1)*100)</f>
        <v>17.090464547677264</v>
      </c>
      <c r="L61" s="4" t="s">
        <v>14</v>
      </c>
      <c r="M61" s="29">
        <f aca="true" t="shared" si="30" ref="M61:V61">+M9+M35</f>
        <v>300440</v>
      </c>
      <c r="N61" s="36">
        <f t="shared" si="30"/>
        <v>291319</v>
      </c>
      <c r="O61" s="33">
        <f t="shared" si="30"/>
        <v>591759</v>
      </c>
      <c r="P61" s="34">
        <f t="shared" si="30"/>
        <v>3293</v>
      </c>
      <c r="Q61" s="35">
        <f t="shared" si="30"/>
        <v>595052</v>
      </c>
      <c r="R61" s="29">
        <f t="shared" si="30"/>
        <v>355054</v>
      </c>
      <c r="S61" s="36">
        <f t="shared" si="30"/>
        <v>332731</v>
      </c>
      <c r="T61" s="33">
        <f t="shared" si="30"/>
        <v>687785</v>
      </c>
      <c r="U61" s="34">
        <f t="shared" si="30"/>
        <v>2879</v>
      </c>
      <c r="V61" s="31">
        <f t="shared" si="30"/>
        <v>690664</v>
      </c>
      <c r="W61" s="256">
        <f aca="true" t="shared" si="31" ref="W61:W78">IF(Q61=0,0,((V61/Q61)-1)*100)</f>
        <v>16.06783944932544</v>
      </c>
    </row>
    <row r="62" spans="2:23" ht="12.75">
      <c r="B62" s="4" t="s">
        <v>15</v>
      </c>
      <c r="C62" s="71">
        <f t="shared" si="28"/>
        <v>2143</v>
      </c>
      <c r="D62" s="72">
        <f t="shared" si="28"/>
        <v>2143</v>
      </c>
      <c r="E62" s="81">
        <f t="shared" si="28"/>
        <v>4286</v>
      </c>
      <c r="F62" s="71">
        <f t="shared" si="28"/>
        <v>2363</v>
      </c>
      <c r="G62" s="72">
        <f t="shared" si="28"/>
        <v>2362</v>
      </c>
      <c r="H62" s="73">
        <f>F62+G62</f>
        <v>4725</v>
      </c>
      <c r="I62" s="256">
        <f t="shared" si="29"/>
        <v>10.242650489967332</v>
      </c>
      <c r="L62" s="4" t="s">
        <v>15</v>
      </c>
      <c r="M62" s="29">
        <f aca="true" t="shared" si="32" ref="M62:V62">+M10+M36</f>
        <v>314082</v>
      </c>
      <c r="N62" s="36">
        <f t="shared" si="32"/>
        <v>290405</v>
      </c>
      <c r="O62" s="33">
        <f t="shared" si="32"/>
        <v>604487</v>
      </c>
      <c r="P62" s="34">
        <f t="shared" si="32"/>
        <v>3134</v>
      </c>
      <c r="Q62" s="35">
        <f t="shared" si="32"/>
        <v>607621</v>
      </c>
      <c r="R62" s="29">
        <f t="shared" si="32"/>
        <v>354871</v>
      </c>
      <c r="S62" s="36">
        <f t="shared" si="32"/>
        <v>340743</v>
      </c>
      <c r="T62" s="33">
        <f t="shared" si="32"/>
        <v>695614</v>
      </c>
      <c r="U62" s="34">
        <f t="shared" si="32"/>
        <v>159</v>
      </c>
      <c r="V62" s="31">
        <f t="shared" si="32"/>
        <v>695773</v>
      </c>
      <c r="W62" s="256">
        <f t="shared" si="31"/>
        <v>14.507727678931449</v>
      </c>
    </row>
    <row r="63" spans="2:23" ht="13.5" thickBot="1">
      <c r="B63" s="12" t="s">
        <v>16</v>
      </c>
      <c r="C63" s="74">
        <f t="shared" si="28"/>
        <v>2447</v>
      </c>
      <c r="D63" s="75">
        <f t="shared" si="28"/>
        <v>2449</v>
      </c>
      <c r="E63" s="82">
        <f t="shared" si="28"/>
        <v>4896</v>
      </c>
      <c r="F63" s="74">
        <f t="shared" si="28"/>
        <v>2661</v>
      </c>
      <c r="G63" s="75">
        <f t="shared" si="28"/>
        <v>2660</v>
      </c>
      <c r="H63" s="73">
        <f>F63+G63</f>
        <v>5321</v>
      </c>
      <c r="I63" s="256">
        <f t="shared" si="29"/>
        <v>8.680555555555557</v>
      </c>
      <c r="L63" s="12" t="s">
        <v>16</v>
      </c>
      <c r="M63" s="29">
        <f aca="true" t="shared" si="33" ref="M63:V63">+M11+M37</f>
        <v>397333</v>
      </c>
      <c r="N63" s="36">
        <f t="shared" si="33"/>
        <v>329669</v>
      </c>
      <c r="O63" s="33">
        <f t="shared" si="33"/>
        <v>727002</v>
      </c>
      <c r="P63" s="34">
        <f t="shared" si="33"/>
        <v>4062</v>
      </c>
      <c r="Q63" s="35">
        <f t="shared" si="33"/>
        <v>731064</v>
      </c>
      <c r="R63" s="29">
        <f t="shared" si="33"/>
        <v>437367</v>
      </c>
      <c r="S63" s="36">
        <f t="shared" si="33"/>
        <v>370815</v>
      </c>
      <c r="T63" s="33">
        <f t="shared" si="33"/>
        <v>808182</v>
      </c>
      <c r="U63" s="34">
        <f t="shared" si="33"/>
        <v>708</v>
      </c>
      <c r="V63" s="31">
        <f t="shared" si="33"/>
        <v>808890</v>
      </c>
      <c r="W63" s="256">
        <f t="shared" si="31"/>
        <v>10.645579593578681</v>
      </c>
    </row>
    <row r="64" spans="2:23" ht="14.25" thickBot="1" thickTop="1">
      <c r="B64" s="39" t="s">
        <v>58</v>
      </c>
      <c r="C64" s="40">
        <f aca="true" t="shared" si="34" ref="C64:H64">+C61+C62+C63</f>
        <v>6634</v>
      </c>
      <c r="D64" s="41">
        <f t="shared" si="34"/>
        <v>6638</v>
      </c>
      <c r="E64" s="40">
        <f t="shared" si="34"/>
        <v>13272</v>
      </c>
      <c r="F64" s="40">
        <f t="shared" si="34"/>
        <v>7417</v>
      </c>
      <c r="G64" s="41">
        <f t="shared" si="34"/>
        <v>7418</v>
      </c>
      <c r="H64" s="40">
        <f t="shared" si="34"/>
        <v>14835</v>
      </c>
      <c r="I64" s="257">
        <f t="shared" si="29"/>
        <v>11.776672694394218</v>
      </c>
      <c r="L64" s="39" t="s">
        <v>58</v>
      </c>
      <c r="M64" s="40">
        <f aca="true" t="shared" si="35" ref="M64:V64">+M61+M62+M63</f>
        <v>1011855</v>
      </c>
      <c r="N64" s="41">
        <f t="shared" si="35"/>
        <v>911393</v>
      </c>
      <c r="O64" s="40">
        <f t="shared" si="35"/>
        <v>1923248</v>
      </c>
      <c r="P64" s="40">
        <f t="shared" si="35"/>
        <v>10489</v>
      </c>
      <c r="Q64" s="40">
        <f t="shared" si="35"/>
        <v>1933737</v>
      </c>
      <c r="R64" s="40">
        <f t="shared" si="35"/>
        <v>1147292</v>
      </c>
      <c r="S64" s="41">
        <f t="shared" si="35"/>
        <v>1044289</v>
      </c>
      <c r="T64" s="40">
        <f t="shared" si="35"/>
        <v>2191581</v>
      </c>
      <c r="U64" s="40">
        <f t="shared" si="35"/>
        <v>3746</v>
      </c>
      <c r="V64" s="40">
        <f t="shared" si="35"/>
        <v>2195327</v>
      </c>
      <c r="W64" s="257">
        <f t="shared" si="31"/>
        <v>13.527692752427045</v>
      </c>
    </row>
    <row r="65" spans="2:23" ht="13.5" thickTop="1">
      <c r="B65" s="4" t="s">
        <v>18</v>
      </c>
      <c r="C65" s="29">
        <f aca="true" t="shared" si="36" ref="C65:H66">+C13+C39</f>
        <v>2572</v>
      </c>
      <c r="D65" s="30">
        <f t="shared" si="36"/>
        <v>2570</v>
      </c>
      <c r="E65" s="81">
        <f t="shared" si="36"/>
        <v>5142</v>
      </c>
      <c r="F65" s="29">
        <f t="shared" si="36"/>
        <v>2957</v>
      </c>
      <c r="G65" s="30">
        <f t="shared" si="36"/>
        <v>2960</v>
      </c>
      <c r="H65" s="31">
        <f t="shared" si="36"/>
        <v>5917</v>
      </c>
      <c r="I65" s="256">
        <f t="shared" si="29"/>
        <v>15.071956437183974</v>
      </c>
      <c r="L65" s="4" t="s">
        <v>18</v>
      </c>
      <c r="M65" s="29">
        <f aca="true" t="shared" si="37" ref="M65:V65">+M13+M39</f>
        <v>420021</v>
      </c>
      <c r="N65" s="36">
        <f t="shared" si="37"/>
        <v>433383</v>
      </c>
      <c r="O65" s="33">
        <f t="shared" si="37"/>
        <v>853404</v>
      </c>
      <c r="P65" s="34">
        <f t="shared" si="37"/>
        <v>2393</v>
      </c>
      <c r="Q65" s="35">
        <f t="shared" si="37"/>
        <v>855797</v>
      </c>
      <c r="R65" s="29">
        <f t="shared" si="37"/>
        <v>492283</v>
      </c>
      <c r="S65" s="36">
        <f t="shared" si="37"/>
        <v>507565</v>
      </c>
      <c r="T65" s="33">
        <f t="shared" si="37"/>
        <v>999848</v>
      </c>
      <c r="U65" s="34">
        <f t="shared" si="37"/>
        <v>1503</v>
      </c>
      <c r="V65" s="31">
        <f t="shared" si="37"/>
        <v>1001351</v>
      </c>
      <c r="W65" s="256">
        <f t="shared" si="31"/>
        <v>17.008005403150506</v>
      </c>
    </row>
    <row r="66" spans="2:23" ht="12.75">
      <c r="B66" s="4" t="s">
        <v>19</v>
      </c>
      <c r="C66" s="29">
        <f t="shared" si="36"/>
        <v>2483</v>
      </c>
      <c r="D66" s="30">
        <f t="shared" si="36"/>
        <v>2482</v>
      </c>
      <c r="E66" s="81">
        <f t="shared" si="36"/>
        <v>4965</v>
      </c>
      <c r="F66" s="29">
        <f t="shared" si="36"/>
        <v>2462</v>
      </c>
      <c r="G66" s="30">
        <f t="shared" si="36"/>
        <v>2459</v>
      </c>
      <c r="H66" s="31">
        <f t="shared" si="36"/>
        <v>4921</v>
      </c>
      <c r="I66" s="256">
        <f t="shared" si="29"/>
        <v>-0.8862034239677796</v>
      </c>
      <c r="L66" s="4" t="s">
        <v>19</v>
      </c>
      <c r="M66" s="29">
        <f aca="true" t="shared" si="38" ref="M66:V66">+M14+M40</f>
        <v>413329</v>
      </c>
      <c r="N66" s="36">
        <f t="shared" si="38"/>
        <v>427297</v>
      </c>
      <c r="O66" s="33">
        <f t="shared" si="38"/>
        <v>840626</v>
      </c>
      <c r="P66" s="34">
        <f t="shared" si="38"/>
        <v>3251</v>
      </c>
      <c r="Q66" s="35">
        <f t="shared" si="38"/>
        <v>843877</v>
      </c>
      <c r="R66" s="29">
        <f t="shared" si="38"/>
        <v>423351</v>
      </c>
      <c r="S66" s="36">
        <f t="shared" si="38"/>
        <v>443270</v>
      </c>
      <c r="T66" s="33">
        <f t="shared" si="38"/>
        <v>866621</v>
      </c>
      <c r="U66" s="34">
        <f t="shared" si="38"/>
        <v>1253</v>
      </c>
      <c r="V66" s="31">
        <f t="shared" si="38"/>
        <v>867874</v>
      </c>
      <c r="W66" s="256">
        <f t="shared" si="31"/>
        <v>2.8436608652682827</v>
      </c>
    </row>
    <row r="67" spans="2:23" ht="13.5" thickBot="1">
      <c r="B67" s="4" t="s">
        <v>20</v>
      </c>
      <c r="C67" s="29">
        <f>+C15+C41</f>
        <v>2492</v>
      </c>
      <c r="D67" s="30">
        <f>+D15+D41</f>
        <v>2490</v>
      </c>
      <c r="E67" s="91">
        <f>E15+E41</f>
        <v>4982</v>
      </c>
      <c r="F67" s="29">
        <f>+F15+F41</f>
        <v>2546</v>
      </c>
      <c r="G67" s="30">
        <f>+G15+G41</f>
        <v>2553</v>
      </c>
      <c r="H67" s="31">
        <f>+H15+H41</f>
        <v>5099</v>
      </c>
      <c r="I67" s="256">
        <f t="shared" si="29"/>
        <v>2.3484544359694937</v>
      </c>
      <c r="L67" s="4" t="s">
        <v>20</v>
      </c>
      <c r="M67" s="68">
        <f aca="true" t="shared" si="39" ref="M67:V67">+M15+M41</f>
        <v>370787</v>
      </c>
      <c r="N67" s="92">
        <f t="shared" si="39"/>
        <v>410509</v>
      </c>
      <c r="O67" s="33">
        <f t="shared" si="39"/>
        <v>781296</v>
      </c>
      <c r="P67" s="34">
        <f t="shared" si="39"/>
        <v>2844</v>
      </c>
      <c r="Q67" s="35">
        <f t="shared" si="39"/>
        <v>784140</v>
      </c>
      <c r="R67" s="29">
        <f t="shared" si="39"/>
        <v>410032</v>
      </c>
      <c r="S67" s="36">
        <f t="shared" si="39"/>
        <v>439651</v>
      </c>
      <c r="T67" s="33">
        <f t="shared" si="39"/>
        <v>849683</v>
      </c>
      <c r="U67" s="34">
        <f t="shared" si="39"/>
        <v>563</v>
      </c>
      <c r="V67" s="31">
        <f t="shared" si="39"/>
        <v>850246</v>
      </c>
      <c r="W67" s="256">
        <f t="shared" si="31"/>
        <v>8.430382329686026</v>
      </c>
    </row>
    <row r="68" spans="2:23" ht="14.25" thickBot="1" thickTop="1">
      <c r="B68" s="44" t="s">
        <v>21</v>
      </c>
      <c r="C68" s="40">
        <f aca="true" t="shared" si="40" ref="C68:H68">C67+C65+C66</f>
        <v>7547</v>
      </c>
      <c r="D68" s="41">
        <f t="shared" si="40"/>
        <v>7542</v>
      </c>
      <c r="E68" s="40">
        <f t="shared" si="40"/>
        <v>15089</v>
      </c>
      <c r="F68" s="40">
        <f t="shared" si="40"/>
        <v>7965</v>
      </c>
      <c r="G68" s="41">
        <f t="shared" si="40"/>
        <v>7972</v>
      </c>
      <c r="H68" s="40">
        <f t="shared" si="40"/>
        <v>15937</v>
      </c>
      <c r="I68" s="257">
        <f>IF(E68=0,0,((H68/E68)-1)*100)</f>
        <v>5.619988070780035</v>
      </c>
      <c r="L68" s="44" t="s">
        <v>21</v>
      </c>
      <c r="M68" s="40">
        <f aca="true" t="shared" si="41" ref="M68:V68">M67+M65+M66</f>
        <v>1204137</v>
      </c>
      <c r="N68" s="41">
        <f t="shared" si="41"/>
        <v>1271189</v>
      </c>
      <c r="O68" s="40">
        <f t="shared" si="41"/>
        <v>2475326</v>
      </c>
      <c r="P68" s="40">
        <f t="shared" si="41"/>
        <v>8488</v>
      </c>
      <c r="Q68" s="40">
        <f t="shared" si="41"/>
        <v>2483814</v>
      </c>
      <c r="R68" s="40">
        <f t="shared" si="41"/>
        <v>1325666</v>
      </c>
      <c r="S68" s="41">
        <f t="shared" si="41"/>
        <v>1390486</v>
      </c>
      <c r="T68" s="40">
        <f t="shared" si="41"/>
        <v>2716152</v>
      </c>
      <c r="U68" s="40">
        <f t="shared" si="41"/>
        <v>3319</v>
      </c>
      <c r="V68" s="40">
        <f t="shared" si="41"/>
        <v>2719471</v>
      </c>
      <c r="W68" s="257">
        <f>IF(Q68=0,0,((V68/Q68)-1)*100)</f>
        <v>9.487707211570594</v>
      </c>
    </row>
    <row r="69" spans="2:23" ht="13.5" thickTop="1">
      <c r="B69" s="4" t="s">
        <v>22</v>
      </c>
      <c r="C69" s="29">
        <f aca="true" t="shared" si="42" ref="C69:H71">+C17+C43</f>
        <v>2369</v>
      </c>
      <c r="D69" s="30">
        <f t="shared" si="42"/>
        <v>2370</v>
      </c>
      <c r="E69" s="81">
        <f t="shared" si="42"/>
        <v>4739</v>
      </c>
      <c r="F69" s="29">
        <f t="shared" si="42"/>
        <v>2472</v>
      </c>
      <c r="G69" s="30">
        <f t="shared" si="42"/>
        <v>2468</v>
      </c>
      <c r="H69" s="35">
        <f t="shared" si="42"/>
        <v>4940</v>
      </c>
      <c r="I69" s="256">
        <f t="shared" si="29"/>
        <v>4.241401139480905</v>
      </c>
      <c r="L69" s="4" t="s">
        <v>22</v>
      </c>
      <c r="M69" s="29">
        <f aca="true" t="shared" si="43" ref="M69:V69">+M17+M43</f>
        <v>332904</v>
      </c>
      <c r="N69" s="36">
        <f t="shared" si="43"/>
        <v>343435</v>
      </c>
      <c r="O69" s="33">
        <f t="shared" si="43"/>
        <v>676339</v>
      </c>
      <c r="P69" s="34">
        <f t="shared" si="43"/>
        <v>3421</v>
      </c>
      <c r="Q69" s="35">
        <f t="shared" si="43"/>
        <v>679760</v>
      </c>
      <c r="R69" s="29">
        <f t="shared" si="43"/>
        <v>373641</v>
      </c>
      <c r="S69" s="36">
        <f t="shared" si="43"/>
        <v>396207</v>
      </c>
      <c r="T69" s="33">
        <f t="shared" si="43"/>
        <v>769848</v>
      </c>
      <c r="U69" s="34">
        <f t="shared" si="43"/>
        <v>1058</v>
      </c>
      <c r="V69" s="31">
        <f t="shared" si="43"/>
        <v>770906</v>
      </c>
      <c r="W69" s="256">
        <f t="shared" si="31"/>
        <v>13.408555960927382</v>
      </c>
    </row>
    <row r="70" spans="2:23" ht="12.75">
      <c r="B70" s="4" t="s">
        <v>23</v>
      </c>
      <c r="C70" s="29">
        <f t="shared" si="42"/>
        <v>2215</v>
      </c>
      <c r="D70" s="30">
        <f t="shared" si="42"/>
        <v>2218</v>
      </c>
      <c r="E70" s="81">
        <f t="shared" si="42"/>
        <v>4433</v>
      </c>
      <c r="F70" s="29">
        <f t="shared" si="42"/>
        <v>2382</v>
      </c>
      <c r="G70" s="30">
        <f t="shared" si="42"/>
        <v>2383</v>
      </c>
      <c r="H70" s="31">
        <f t="shared" si="42"/>
        <v>4765</v>
      </c>
      <c r="I70" s="256">
        <f t="shared" si="29"/>
        <v>7.489284908639737</v>
      </c>
      <c r="L70" s="4" t="s">
        <v>23</v>
      </c>
      <c r="M70" s="29">
        <f aca="true" t="shared" si="44" ref="M70:V70">+M18+M44</f>
        <v>264270</v>
      </c>
      <c r="N70" s="36">
        <f t="shared" si="44"/>
        <v>290654</v>
      </c>
      <c r="O70" s="33">
        <f t="shared" si="44"/>
        <v>554924</v>
      </c>
      <c r="P70" s="34">
        <f t="shared" si="44"/>
        <v>3807</v>
      </c>
      <c r="Q70" s="35">
        <f t="shared" si="44"/>
        <v>558731</v>
      </c>
      <c r="R70" s="29">
        <f t="shared" si="44"/>
        <v>302502</v>
      </c>
      <c r="S70" s="36">
        <f t="shared" si="44"/>
        <v>326729</v>
      </c>
      <c r="T70" s="33">
        <f t="shared" si="44"/>
        <v>629231</v>
      </c>
      <c r="U70" s="34">
        <f t="shared" si="44"/>
        <v>1209</v>
      </c>
      <c r="V70" s="31">
        <f t="shared" si="44"/>
        <v>630440</v>
      </c>
      <c r="W70" s="256">
        <f t="shared" si="31"/>
        <v>12.834261925685176</v>
      </c>
    </row>
    <row r="71" spans="2:23" ht="13.5" thickBot="1">
      <c r="B71" s="4" t="s">
        <v>24</v>
      </c>
      <c r="C71" s="29">
        <f t="shared" si="42"/>
        <v>2067</v>
      </c>
      <c r="D71" s="30">
        <f t="shared" si="42"/>
        <v>2061</v>
      </c>
      <c r="E71" s="81">
        <f t="shared" si="42"/>
        <v>4128</v>
      </c>
      <c r="F71" s="29">
        <f t="shared" si="42"/>
        <v>2175</v>
      </c>
      <c r="G71" s="30">
        <f t="shared" si="42"/>
        <v>2177</v>
      </c>
      <c r="H71" s="31">
        <f t="shared" si="42"/>
        <v>4352</v>
      </c>
      <c r="I71" s="256">
        <f t="shared" si="29"/>
        <v>5.4263565891472965</v>
      </c>
      <c r="L71" s="4" t="s">
        <v>24</v>
      </c>
      <c r="M71" s="29">
        <f aca="true" t="shared" si="45" ref="M71:V71">+M19+M45</f>
        <v>279601</v>
      </c>
      <c r="N71" s="36">
        <f t="shared" si="45"/>
        <v>267560</v>
      </c>
      <c r="O71" s="33">
        <f t="shared" si="45"/>
        <v>547161</v>
      </c>
      <c r="P71" s="34">
        <f t="shared" si="45"/>
        <v>4227</v>
      </c>
      <c r="Q71" s="35">
        <f t="shared" si="45"/>
        <v>551388</v>
      </c>
      <c r="R71" s="29">
        <f t="shared" si="45"/>
        <v>317171</v>
      </c>
      <c r="S71" s="36">
        <f t="shared" si="45"/>
        <v>303905</v>
      </c>
      <c r="T71" s="51">
        <f t="shared" si="45"/>
        <v>621076</v>
      </c>
      <c r="U71" s="52">
        <f t="shared" si="45"/>
        <v>813</v>
      </c>
      <c r="V71" s="31">
        <f t="shared" si="45"/>
        <v>621889</v>
      </c>
      <c r="W71" s="256">
        <f t="shared" si="31"/>
        <v>12.786096179097118</v>
      </c>
    </row>
    <row r="72" spans="2:23" ht="14.25" thickBot="1" thickTop="1">
      <c r="B72" s="44" t="s">
        <v>65</v>
      </c>
      <c r="C72" s="40">
        <f aca="true" t="shared" si="46" ref="C72:H72">C71+C69+C70</f>
        <v>6651</v>
      </c>
      <c r="D72" s="53">
        <f t="shared" si="46"/>
        <v>6649</v>
      </c>
      <c r="E72" s="186">
        <f t="shared" si="46"/>
        <v>13300</v>
      </c>
      <c r="F72" s="40">
        <f t="shared" si="46"/>
        <v>7029</v>
      </c>
      <c r="G72" s="53">
        <f t="shared" si="46"/>
        <v>7028</v>
      </c>
      <c r="H72" s="53">
        <f t="shared" si="46"/>
        <v>14057</v>
      </c>
      <c r="I72" s="257">
        <f t="shared" si="29"/>
        <v>5.691729323308281</v>
      </c>
      <c r="L72" s="44" t="s">
        <v>65</v>
      </c>
      <c r="M72" s="45">
        <f aca="true" t="shared" si="47" ref="M72:V72">M71+M69+M70</f>
        <v>876775</v>
      </c>
      <c r="N72" s="45">
        <f t="shared" si="47"/>
        <v>901649</v>
      </c>
      <c r="O72" s="47">
        <f t="shared" si="47"/>
        <v>1778424</v>
      </c>
      <c r="P72" s="47">
        <f t="shared" si="47"/>
        <v>11455</v>
      </c>
      <c r="Q72" s="47">
        <f t="shared" si="47"/>
        <v>1789879</v>
      </c>
      <c r="R72" s="45">
        <f t="shared" si="47"/>
        <v>993314</v>
      </c>
      <c r="S72" s="45">
        <f t="shared" si="47"/>
        <v>1026841</v>
      </c>
      <c r="T72" s="47">
        <f t="shared" si="47"/>
        <v>2020155</v>
      </c>
      <c r="U72" s="47">
        <f t="shared" si="47"/>
        <v>3080</v>
      </c>
      <c r="V72" s="47">
        <f t="shared" si="47"/>
        <v>2023235</v>
      </c>
      <c r="W72" s="262">
        <f t="shared" si="31"/>
        <v>13.037529352542832</v>
      </c>
    </row>
    <row r="73" spans="2:23" ht="13.5" thickTop="1">
      <c r="B73" s="4" t="s">
        <v>27</v>
      </c>
      <c r="C73" s="29">
        <f aca="true" t="shared" si="48" ref="C73:G75">+C21+C47</f>
        <v>2270</v>
      </c>
      <c r="D73" s="30">
        <f t="shared" si="48"/>
        <v>2268</v>
      </c>
      <c r="E73" s="89">
        <f t="shared" si="48"/>
        <v>4538</v>
      </c>
      <c r="F73" s="29">
        <f t="shared" si="48"/>
        <v>2462</v>
      </c>
      <c r="G73" s="30">
        <f t="shared" si="48"/>
        <v>2462</v>
      </c>
      <c r="H73" s="31">
        <f>F73+G73</f>
        <v>4924</v>
      </c>
      <c r="I73" s="256">
        <f t="shared" si="29"/>
        <v>8.50594975760246</v>
      </c>
      <c r="L73" s="4" t="s">
        <v>27</v>
      </c>
      <c r="M73" s="29">
        <f aca="true" t="shared" si="49" ref="M73:V73">+M21+M47</f>
        <v>347808</v>
      </c>
      <c r="N73" s="36">
        <f t="shared" si="49"/>
        <v>337538</v>
      </c>
      <c r="O73" s="33">
        <f t="shared" si="49"/>
        <v>685346</v>
      </c>
      <c r="P73" s="34">
        <f t="shared" si="49"/>
        <v>4915</v>
      </c>
      <c r="Q73" s="35">
        <f t="shared" si="49"/>
        <v>690261</v>
      </c>
      <c r="R73" s="29">
        <f t="shared" si="49"/>
        <v>379360</v>
      </c>
      <c r="S73" s="36">
        <f t="shared" si="49"/>
        <v>371561</v>
      </c>
      <c r="T73" s="51">
        <f t="shared" si="49"/>
        <v>750921</v>
      </c>
      <c r="U73" s="59">
        <f t="shared" si="49"/>
        <v>1658</v>
      </c>
      <c r="V73" s="31">
        <f t="shared" si="49"/>
        <v>752579</v>
      </c>
      <c r="W73" s="256">
        <f t="shared" si="31"/>
        <v>9.028179195985286</v>
      </c>
    </row>
    <row r="74" spans="2:23" ht="12.75">
      <c r="B74" s="4" t="s">
        <v>28</v>
      </c>
      <c r="C74" s="29">
        <f t="shared" si="48"/>
        <v>2307</v>
      </c>
      <c r="D74" s="30">
        <f t="shared" si="48"/>
        <v>2308</v>
      </c>
      <c r="E74" s="81">
        <f t="shared" si="48"/>
        <v>4615</v>
      </c>
      <c r="F74" s="29">
        <f t="shared" si="48"/>
        <v>2549</v>
      </c>
      <c r="G74" s="30">
        <f t="shared" si="48"/>
        <v>2545</v>
      </c>
      <c r="H74" s="31">
        <f>+H22+H48</f>
        <v>5094</v>
      </c>
      <c r="I74" s="256">
        <f>IF(E74=0,0,((H74/E74)-1)*100)</f>
        <v>10.379198266522206</v>
      </c>
      <c r="L74" s="4" t="s">
        <v>28</v>
      </c>
      <c r="M74" s="29">
        <f aca="true" t="shared" si="50" ref="M74:V74">+M22+M48</f>
        <v>353489</v>
      </c>
      <c r="N74" s="36">
        <f t="shared" si="50"/>
        <v>357483</v>
      </c>
      <c r="O74" s="33">
        <f t="shared" si="50"/>
        <v>710972</v>
      </c>
      <c r="P74" s="34">
        <f t="shared" si="50"/>
        <v>4169</v>
      </c>
      <c r="Q74" s="35">
        <f t="shared" si="50"/>
        <v>715141</v>
      </c>
      <c r="R74" s="29">
        <f t="shared" si="50"/>
        <v>411239</v>
      </c>
      <c r="S74" s="36">
        <f t="shared" si="50"/>
        <v>423922</v>
      </c>
      <c r="T74" s="33">
        <f t="shared" si="50"/>
        <v>835161</v>
      </c>
      <c r="U74" s="34">
        <f t="shared" si="50"/>
        <v>1315</v>
      </c>
      <c r="V74" s="31">
        <f t="shared" si="50"/>
        <v>836476</v>
      </c>
      <c r="W74" s="256">
        <f>IF(Q74=0,0,((V74/Q74)-1)*100)</f>
        <v>16.966584212064472</v>
      </c>
    </row>
    <row r="75" spans="2:23" ht="13.5" thickBot="1">
      <c r="B75" s="4" t="s">
        <v>29</v>
      </c>
      <c r="C75" s="29">
        <f t="shared" si="48"/>
        <v>2147</v>
      </c>
      <c r="D75" s="30">
        <f t="shared" si="48"/>
        <v>2149</v>
      </c>
      <c r="E75" s="81">
        <f t="shared" si="48"/>
        <v>4296</v>
      </c>
      <c r="F75" s="29">
        <f t="shared" si="48"/>
        <v>2278</v>
      </c>
      <c r="G75" s="30">
        <f t="shared" si="48"/>
        <v>2281</v>
      </c>
      <c r="H75" s="31">
        <f>F75+G75</f>
        <v>4559</v>
      </c>
      <c r="I75" s="256">
        <f t="shared" si="29"/>
        <v>6.121973929236502</v>
      </c>
      <c r="L75" s="4" t="s">
        <v>29</v>
      </c>
      <c r="M75" s="29">
        <f aca="true" t="shared" si="51" ref="M75:V75">+M23+M49</f>
        <v>299132</v>
      </c>
      <c r="N75" s="36">
        <f t="shared" si="51"/>
        <v>289849</v>
      </c>
      <c r="O75" s="33">
        <f t="shared" si="51"/>
        <v>588981</v>
      </c>
      <c r="P75" s="34">
        <f t="shared" si="51"/>
        <v>4592</v>
      </c>
      <c r="Q75" s="35">
        <f t="shared" si="51"/>
        <v>593573</v>
      </c>
      <c r="R75" s="29">
        <f t="shared" si="51"/>
        <v>322287</v>
      </c>
      <c r="S75" s="36">
        <f t="shared" si="51"/>
        <v>309458</v>
      </c>
      <c r="T75" s="33">
        <f t="shared" si="51"/>
        <v>631745</v>
      </c>
      <c r="U75" s="34">
        <f t="shared" si="51"/>
        <v>2172</v>
      </c>
      <c r="V75" s="31">
        <f t="shared" si="51"/>
        <v>633917</v>
      </c>
      <c r="W75" s="256">
        <f t="shared" si="31"/>
        <v>6.796805110744586</v>
      </c>
    </row>
    <row r="76" spans="2:23" ht="14.25" thickBot="1" thickTop="1">
      <c r="B76" s="39" t="s">
        <v>63</v>
      </c>
      <c r="C76" s="40">
        <f aca="true" t="shared" si="52" ref="C76:H76">+C73+C74+C75</f>
        <v>6724</v>
      </c>
      <c r="D76" s="41">
        <f t="shared" si="52"/>
        <v>6725</v>
      </c>
      <c r="E76" s="40">
        <f t="shared" si="52"/>
        <v>13449</v>
      </c>
      <c r="F76" s="40">
        <f t="shared" si="52"/>
        <v>7289</v>
      </c>
      <c r="G76" s="41">
        <f t="shared" si="52"/>
        <v>7288</v>
      </c>
      <c r="H76" s="40">
        <f t="shared" si="52"/>
        <v>14577</v>
      </c>
      <c r="I76" s="257">
        <f t="shared" si="29"/>
        <v>8.387240687039931</v>
      </c>
      <c r="L76" s="39" t="s">
        <v>63</v>
      </c>
      <c r="M76" s="40">
        <f aca="true" t="shared" si="53" ref="M76:V76">+M73+M74+M75</f>
        <v>1000429</v>
      </c>
      <c r="N76" s="41">
        <f t="shared" si="53"/>
        <v>984870</v>
      </c>
      <c r="O76" s="40">
        <f t="shared" si="53"/>
        <v>1985299</v>
      </c>
      <c r="P76" s="40">
        <f t="shared" si="53"/>
        <v>13676</v>
      </c>
      <c r="Q76" s="40">
        <f t="shared" si="53"/>
        <v>1998975</v>
      </c>
      <c r="R76" s="40">
        <f t="shared" si="53"/>
        <v>1112886</v>
      </c>
      <c r="S76" s="41">
        <f t="shared" si="53"/>
        <v>1104941</v>
      </c>
      <c r="T76" s="40">
        <f t="shared" si="53"/>
        <v>2217827</v>
      </c>
      <c r="U76" s="40">
        <f t="shared" si="53"/>
        <v>5145</v>
      </c>
      <c r="V76" s="40">
        <f t="shared" si="53"/>
        <v>2222972</v>
      </c>
      <c r="W76" s="257">
        <f t="shared" si="31"/>
        <v>11.205592866343995</v>
      </c>
    </row>
    <row r="77" spans="2:23" ht="14.25" thickBot="1" thickTop="1">
      <c r="B77" s="39" t="s">
        <v>66</v>
      </c>
      <c r="C77" s="40">
        <f aca="true" t="shared" si="54" ref="C77:H77">+C68+C72+C76</f>
        <v>20922</v>
      </c>
      <c r="D77" s="41">
        <f t="shared" si="54"/>
        <v>20916</v>
      </c>
      <c r="E77" s="40">
        <f t="shared" si="54"/>
        <v>41838</v>
      </c>
      <c r="F77" s="40">
        <f t="shared" si="54"/>
        <v>22283</v>
      </c>
      <c r="G77" s="41">
        <f t="shared" si="54"/>
        <v>22288</v>
      </c>
      <c r="H77" s="40">
        <f t="shared" si="54"/>
        <v>44571</v>
      </c>
      <c r="I77" s="257">
        <f t="shared" si="29"/>
        <v>6.532339021941769</v>
      </c>
      <c r="L77" s="39" t="s">
        <v>66</v>
      </c>
      <c r="M77" s="40">
        <f aca="true" t="shared" si="55" ref="M77:V77">+M68+M72+M76</f>
        <v>3081341</v>
      </c>
      <c r="N77" s="41">
        <f t="shared" si="55"/>
        <v>3157708</v>
      </c>
      <c r="O77" s="40">
        <f t="shared" si="55"/>
        <v>6239049</v>
      </c>
      <c r="P77" s="40">
        <f t="shared" si="55"/>
        <v>33619</v>
      </c>
      <c r="Q77" s="40">
        <f t="shared" si="55"/>
        <v>6272668</v>
      </c>
      <c r="R77" s="40">
        <f t="shared" si="55"/>
        <v>3431866</v>
      </c>
      <c r="S77" s="41">
        <f t="shared" si="55"/>
        <v>3522268</v>
      </c>
      <c r="T77" s="40">
        <f t="shared" si="55"/>
        <v>6954134</v>
      </c>
      <c r="U77" s="40">
        <f t="shared" si="55"/>
        <v>11544</v>
      </c>
      <c r="V77" s="40">
        <f t="shared" si="55"/>
        <v>6965678</v>
      </c>
      <c r="W77" s="257">
        <f t="shared" si="31"/>
        <v>11.048089903690105</v>
      </c>
    </row>
    <row r="78" spans="2:23" ht="14.25" thickBot="1" thickTop="1">
      <c r="B78" s="39" t="s">
        <v>9</v>
      </c>
      <c r="C78" s="40">
        <f aca="true" t="shared" si="56" ref="C78:H78">+C68+C72+C76+C64</f>
        <v>27556</v>
      </c>
      <c r="D78" s="41">
        <f t="shared" si="56"/>
        <v>27554</v>
      </c>
      <c r="E78" s="40">
        <f t="shared" si="56"/>
        <v>55110</v>
      </c>
      <c r="F78" s="40">
        <f t="shared" si="56"/>
        <v>29700</v>
      </c>
      <c r="G78" s="41">
        <f t="shared" si="56"/>
        <v>29706</v>
      </c>
      <c r="H78" s="40">
        <f t="shared" si="56"/>
        <v>59406</v>
      </c>
      <c r="I78" s="257">
        <f t="shared" si="29"/>
        <v>7.795318454001099</v>
      </c>
      <c r="L78" s="39" t="s">
        <v>9</v>
      </c>
      <c r="M78" s="40">
        <f aca="true" t="shared" si="57" ref="M78:V78">+M68+M72+M76+M64</f>
        <v>4093196</v>
      </c>
      <c r="N78" s="41">
        <f t="shared" si="57"/>
        <v>4069101</v>
      </c>
      <c r="O78" s="40">
        <f t="shared" si="57"/>
        <v>8162297</v>
      </c>
      <c r="P78" s="40">
        <f t="shared" si="57"/>
        <v>44108</v>
      </c>
      <c r="Q78" s="40">
        <f t="shared" si="57"/>
        <v>8206405</v>
      </c>
      <c r="R78" s="40">
        <f t="shared" si="57"/>
        <v>4579158</v>
      </c>
      <c r="S78" s="41">
        <f t="shared" si="57"/>
        <v>4566557</v>
      </c>
      <c r="T78" s="40">
        <f t="shared" si="57"/>
        <v>9145715</v>
      </c>
      <c r="U78" s="40">
        <f t="shared" si="57"/>
        <v>15290</v>
      </c>
      <c r="V78" s="40">
        <f t="shared" si="57"/>
        <v>9161005</v>
      </c>
      <c r="W78" s="257">
        <f t="shared" si="31"/>
        <v>11.632377393024118</v>
      </c>
    </row>
    <row r="79" spans="2:12" ht="13.5" thickTop="1">
      <c r="B79" s="63" t="s">
        <v>64</v>
      </c>
      <c r="L79" s="63" t="s">
        <v>64</v>
      </c>
    </row>
    <row r="80" spans="12:23" ht="12.75">
      <c r="L80" s="336" t="s">
        <v>41</v>
      </c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</row>
    <row r="81" spans="12:23" ht="15.75">
      <c r="L81" s="337" t="s">
        <v>42</v>
      </c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ht="13.5" thickBot="1">
      <c r="W82" s="296" t="s">
        <v>43</v>
      </c>
    </row>
    <row r="83" spans="12:23" ht="17.25" thickBot="1" thickTop="1">
      <c r="L83" s="3"/>
      <c r="M83" s="347" t="s">
        <v>67</v>
      </c>
      <c r="N83" s="348"/>
      <c r="O83" s="348"/>
      <c r="P83" s="348"/>
      <c r="Q83" s="349"/>
      <c r="R83" s="338" t="s">
        <v>68</v>
      </c>
      <c r="S83" s="339"/>
      <c r="T83" s="339"/>
      <c r="U83" s="339"/>
      <c r="V83" s="340"/>
      <c r="W83" s="292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93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94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79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95"/>
      <c r="J87" s="70"/>
      <c r="L87" s="4" t="s">
        <v>14</v>
      </c>
      <c r="M87" s="29">
        <v>255</v>
      </c>
      <c r="N87" s="36">
        <v>752</v>
      </c>
      <c r="O87" s="33">
        <f>M87+N87</f>
        <v>1007</v>
      </c>
      <c r="P87" s="34">
        <v>225</v>
      </c>
      <c r="Q87" s="35">
        <f aca="true" t="shared" si="58" ref="Q87:Q93">O87+P87</f>
        <v>1232</v>
      </c>
      <c r="R87" s="29">
        <v>162</v>
      </c>
      <c r="S87" s="36">
        <v>459</v>
      </c>
      <c r="T87" s="33">
        <f>R87+S87</f>
        <v>621</v>
      </c>
      <c r="U87" s="34">
        <v>154</v>
      </c>
      <c r="V87" s="31">
        <f>T87+U87</f>
        <v>775</v>
      </c>
      <c r="W87" s="256">
        <f aca="true" t="shared" si="59" ref="W87:W104">IF(Q87=0,0,((V87/Q87)-1)*100)</f>
        <v>-37.09415584415584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95"/>
      <c r="J88" s="70"/>
      <c r="L88" s="4" t="s">
        <v>15</v>
      </c>
      <c r="M88" s="29">
        <v>251</v>
      </c>
      <c r="N88" s="36">
        <v>960</v>
      </c>
      <c r="O88" s="33">
        <f>M88+N88</f>
        <v>1211</v>
      </c>
      <c r="P88" s="34">
        <v>172</v>
      </c>
      <c r="Q88" s="35">
        <f t="shared" si="58"/>
        <v>1383</v>
      </c>
      <c r="R88" s="29">
        <v>490</v>
      </c>
      <c r="S88" s="36">
        <v>592</v>
      </c>
      <c r="T88" s="33">
        <f>R88+S88</f>
        <v>1082</v>
      </c>
      <c r="U88" s="34">
        <v>11</v>
      </c>
      <c r="V88" s="31">
        <f>T88+U88</f>
        <v>1093</v>
      </c>
      <c r="W88" s="256">
        <f t="shared" si="59"/>
        <v>-20.96890817064353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95"/>
      <c r="J89" s="70"/>
      <c r="L89" s="12" t="s">
        <v>16</v>
      </c>
      <c r="M89" s="29">
        <v>201</v>
      </c>
      <c r="N89" s="36">
        <v>972</v>
      </c>
      <c r="O89" s="33">
        <f>M89+N89</f>
        <v>1173</v>
      </c>
      <c r="P89" s="34">
        <v>162</v>
      </c>
      <c r="Q89" s="35">
        <f t="shared" si="58"/>
        <v>1335</v>
      </c>
      <c r="R89" s="29">
        <v>370</v>
      </c>
      <c r="S89" s="36">
        <v>710</v>
      </c>
      <c r="T89" s="33">
        <f>R89+S89</f>
        <v>1080</v>
      </c>
      <c r="U89" s="34">
        <v>0</v>
      </c>
      <c r="V89" s="31">
        <f>T89+U89</f>
        <v>1080</v>
      </c>
      <c r="W89" s="256">
        <f t="shared" si="59"/>
        <v>-19.10112359550562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95"/>
      <c r="J90" s="70"/>
      <c r="L90" s="39" t="s">
        <v>58</v>
      </c>
      <c r="M90" s="40">
        <f>+M87+M88+M89</f>
        <v>707</v>
      </c>
      <c r="N90" s="41">
        <f>+N87+N88+N89</f>
        <v>2684</v>
      </c>
      <c r="O90" s="40">
        <f>+O87+O88+O89</f>
        <v>3391</v>
      </c>
      <c r="P90" s="40">
        <f>+P87+P88+P89</f>
        <v>559</v>
      </c>
      <c r="Q90" s="40">
        <f t="shared" si="58"/>
        <v>3950</v>
      </c>
      <c r="R90" s="40">
        <f>+R87+R88+R89</f>
        <v>1022</v>
      </c>
      <c r="S90" s="41">
        <f>+S87+S88+S89</f>
        <v>1761</v>
      </c>
      <c r="T90" s="40">
        <f>+T87+T88+T89</f>
        <v>2783</v>
      </c>
      <c r="U90" s="40">
        <f>+U87+U88+U89</f>
        <v>165</v>
      </c>
      <c r="V90" s="40">
        <f>+V87+V88+V89</f>
        <v>2948</v>
      </c>
      <c r="W90" s="257">
        <f t="shared" si="59"/>
        <v>-25.367088607594933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95"/>
      <c r="J91" s="70"/>
      <c r="L91" s="4" t="s">
        <v>18</v>
      </c>
      <c r="M91" s="29">
        <v>219</v>
      </c>
      <c r="N91" s="36">
        <v>931</v>
      </c>
      <c r="O91" s="33">
        <f>M91+N91</f>
        <v>1150</v>
      </c>
      <c r="P91" s="34">
        <v>156</v>
      </c>
      <c r="Q91" s="35">
        <f t="shared" si="58"/>
        <v>1306</v>
      </c>
      <c r="R91" s="29">
        <v>308</v>
      </c>
      <c r="S91" s="36">
        <v>977</v>
      </c>
      <c r="T91" s="33">
        <f>R91+S91</f>
        <v>1285</v>
      </c>
      <c r="U91" s="34">
        <v>26</v>
      </c>
      <c r="V91" s="31">
        <f>T91+U91</f>
        <v>1311</v>
      </c>
      <c r="W91" s="256">
        <f t="shared" si="59"/>
        <v>0.3828483920367498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95"/>
      <c r="J92" s="70"/>
      <c r="L92" s="4" t="s">
        <v>19</v>
      </c>
      <c r="M92" s="29">
        <v>109</v>
      </c>
      <c r="N92" s="36">
        <v>853</v>
      </c>
      <c r="O92" s="33">
        <f>M92+N92</f>
        <v>962</v>
      </c>
      <c r="P92" s="34">
        <v>224</v>
      </c>
      <c r="Q92" s="35">
        <f>O92+P92</f>
        <v>1186</v>
      </c>
      <c r="R92" s="29">
        <v>235</v>
      </c>
      <c r="S92" s="36">
        <v>676</v>
      </c>
      <c r="T92" s="33">
        <f>R92+S92</f>
        <v>911</v>
      </c>
      <c r="U92" s="34">
        <v>16</v>
      </c>
      <c r="V92" s="31">
        <f>T92+U92</f>
        <v>927</v>
      </c>
      <c r="W92" s="256">
        <f>IF(Q92=0,0,((V92/Q92)-1)*100)</f>
        <v>-21.8381112984823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95"/>
      <c r="J93" s="70"/>
      <c r="L93" s="4" t="s">
        <v>20</v>
      </c>
      <c r="M93" s="29">
        <v>208</v>
      </c>
      <c r="N93" s="36">
        <v>829</v>
      </c>
      <c r="O93" s="33">
        <f>M93+N93</f>
        <v>1037</v>
      </c>
      <c r="P93" s="34">
        <v>109</v>
      </c>
      <c r="Q93" s="35">
        <f t="shared" si="58"/>
        <v>1146</v>
      </c>
      <c r="R93" s="29">
        <v>435</v>
      </c>
      <c r="S93" s="36">
        <v>999</v>
      </c>
      <c r="T93" s="33">
        <f>R93+S93</f>
        <v>1434</v>
      </c>
      <c r="U93" s="34">
        <v>0</v>
      </c>
      <c r="V93" s="31">
        <f>T93+U93</f>
        <v>1434</v>
      </c>
      <c r="W93" s="256">
        <f t="shared" si="59"/>
        <v>25.130890052356026</v>
      </c>
    </row>
    <row r="94" spans="1:26" ht="14.25" thickBot="1" thickTop="1">
      <c r="A94" s="70"/>
      <c r="B94" s="232"/>
      <c r="C94" s="234"/>
      <c r="D94" s="234"/>
      <c r="E94" s="234"/>
      <c r="F94" s="234"/>
      <c r="G94" s="234"/>
      <c r="H94" s="234"/>
      <c r="I94" s="276"/>
      <c r="J94" s="70"/>
      <c r="L94" s="44" t="s">
        <v>21</v>
      </c>
      <c r="M94" s="40">
        <f aca="true" t="shared" si="60" ref="M94:V94">M93+M91+M92</f>
        <v>536</v>
      </c>
      <c r="N94" s="41">
        <f t="shared" si="60"/>
        <v>2613</v>
      </c>
      <c r="O94" s="40">
        <f t="shared" si="60"/>
        <v>3149</v>
      </c>
      <c r="P94" s="40">
        <f t="shared" si="60"/>
        <v>489</v>
      </c>
      <c r="Q94" s="40">
        <f t="shared" si="60"/>
        <v>3638</v>
      </c>
      <c r="R94" s="40">
        <f t="shared" si="60"/>
        <v>978</v>
      </c>
      <c r="S94" s="41">
        <f t="shared" si="60"/>
        <v>2652</v>
      </c>
      <c r="T94" s="40">
        <f t="shared" si="60"/>
        <v>3630</v>
      </c>
      <c r="U94" s="40">
        <f t="shared" si="60"/>
        <v>42</v>
      </c>
      <c r="V94" s="40">
        <f t="shared" si="60"/>
        <v>3672</v>
      </c>
      <c r="W94" s="257">
        <f t="shared" si="59"/>
        <v>0.9345794392523255</v>
      </c>
      <c r="Y94" s="99"/>
      <c r="Z94" s="99"/>
    </row>
    <row r="95" spans="1:26" ht="13.5" thickTop="1">
      <c r="A95" s="70"/>
      <c r="B95" s="70"/>
      <c r="C95" s="70"/>
      <c r="D95" s="70"/>
      <c r="E95" s="70"/>
      <c r="F95" s="70"/>
      <c r="G95" s="70"/>
      <c r="H95" s="70"/>
      <c r="I95" s="295"/>
      <c r="J95" s="70"/>
      <c r="L95" s="4" t="s">
        <v>22</v>
      </c>
      <c r="M95" s="29">
        <v>168</v>
      </c>
      <c r="N95" s="36">
        <v>450</v>
      </c>
      <c r="O95" s="33">
        <f>SUM(M95:N95)</f>
        <v>618</v>
      </c>
      <c r="P95" s="34">
        <v>108</v>
      </c>
      <c r="Q95" s="35">
        <f>O95+P95</f>
        <v>726</v>
      </c>
      <c r="R95" s="29">
        <v>311</v>
      </c>
      <c r="S95" s="36">
        <v>968</v>
      </c>
      <c r="T95" s="33">
        <f>SUM(R95:S95)</f>
        <v>1279</v>
      </c>
      <c r="U95" s="34">
        <v>0</v>
      </c>
      <c r="V95" s="31">
        <f>SUM(T95:U95)</f>
        <v>1279</v>
      </c>
      <c r="W95" s="256">
        <f t="shared" si="59"/>
        <v>76.17079889807164</v>
      </c>
      <c r="Y95" s="99"/>
      <c r="Z95" s="99"/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95"/>
      <c r="J96" s="70"/>
      <c r="L96" s="4" t="s">
        <v>23</v>
      </c>
      <c r="M96" s="29">
        <v>168</v>
      </c>
      <c r="N96" s="36">
        <v>334</v>
      </c>
      <c r="O96" s="33">
        <f>SUM(M96:N96)</f>
        <v>502</v>
      </c>
      <c r="P96" s="34">
        <v>202</v>
      </c>
      <c r="Q96" s="35">
        <f>O96+P96</f>
        <v>704</v>
      </c>
      <c r="R96" s="29">
        <v>221</v>
      </c>
      <c r="S96" s="36">
        <v>979</v>
      </c>
      <c r="T96" s="33">
        <f>SUM(R96:S96)</f>
        <v>1200</v>
      </c>
      <c r="U96" s="34">
        <v>0</v>
      </c>
      <c r="V96" s="31">
        <f>SUM(T96:U96)</f>
        <v>1200</v>
      </c>
      <c r="W96" s="256">
        <f t="shared" si="59"/>
        <v>70.45454545454545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95"/>
      <c r="J97" s="70"/>
      <c r="L97" s="4" t="s">
        <v>24</v>
      </c>
      <c r="M97" s="29">
        <v>191</v>
      </c>
      <c r="N97" s="36">
        <v>318</v>
      </c>
      <c r="O97" s="51">
        <f>SUM(M97:N97)</f>
        <v>509</v>
      </c>
      <c r="P97" s="52">
        <v>200</v>
      </c>
      <c r="Q97" s="35">
        <f>O97+P97</f>
        <v>709</v>
      </c>
      <c r="R97" s="29">
        <v>197</v>
      </c>
      <c r="S97" s="36">
        <v>772</v>
      </c>
      <c r="T97" s="51">
        <f>SUM(R97:S97)</f>
        <v>969</v>
      </c>
      <c r="U97" s="52">
        <v>15</v>
      </c>
      <c r="V97" s="31">
        <f>SUM(T97:U97)</f>
        <v>984</v>
      </c>
      <c r="W97" s="256">
        <f t="shared" si="59"/>
        <v>38.78702397743301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95"/>
      <c r="J98" s="70"/>
      <c r="L98" s="44" t="s">
        <v>65</v>
      </c>
      <c r="M98" s="45">
        <f aca="true" t="shared" si="61" ref="M98:V98">M97+M95+M96</f>
        <v>527</v>
      </c>
      <c r="N98" s="45">
        <f t="shared" si="61"/>
        <v>1102</v>
      </c>
      <c r="O98" s="47">
        <f t="shared" si="61"/>
        <v>1629</v>
      </c>
      <c r="P98" s="47">
        <f t="shared" si="61"/>
        <v>510</v>
      </c>
      <c r="Q98" s="47">
        <f t="shared" si="61"/>
        <v>2139</v>
      </c>
      <c r="R98" s="45">
        <f t="shared" si="61"/>
        <v>729</v>
      </c>
      <c r="S98" s="45">
        <f t="shared" si="61"/>
        <v>2719</v>
      </c>
      <c r="T98" s="47">
        <f t="shared" si="61"/>
        <v>3448</v>
      </c>
      <c r="U98" s="47">
        <f t="shared" si="61"/>
        <v>15</v>
      </c>
      <c r="V98" s="47">
        <f t="shared" si="61"/>
        <v>3463</v>
      </c>
      <c r="W98" s="262">
        <f t="shared" si="59"/>
        <v>61.89808321645629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95"/>
      <c r="J99" s="70"/>
      <c r="L99" s="4" t="s">
        <v>27</v>
      </c>
      <c r="M99" s="29">
        <v>129</v>
      </c>
      <c r="N99" s="36">
        <v>328</v>
      </c>
      <c r="O99" s="51">
        <f>SUM(M99:N99)</f>
        <v>457</v>
      </c>
      <c r="P99" s="59">
        <v>200</v>
      </c>
      <c r="Q99" s="35">
        <f>O99+P99</f>
        <v>657</v>
      </c>
      <c r="R99" s="29">
        <v>261</v>
      </c>
      <c r="S99" s="36">
        <v>834</v>
      </c>
      <c r="T99" s="51">
        <f>SUM(R99:S99)</f>
        <v>1095</v>
      </c>
      <c r="U99" s="59">
        <v>23</v>
      </c>
      <c r="V99" s="31">
        <f>T99+U99</f>
        <v>1118</v>
      </c>
      <c r="W99" s="256">
        <f t="shared" si="59"/>
        <v>70.16742770167428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95"/>
      <c r="J100" s="70"/>
      <c r="L100" s="4" t="s">
        <v>28</v>
      </c>
      <c r="M100" s="29">
        <v>85</v>
      </c>
      <c r="N100" s="36">
        <v>349</v>
      </c>
      <c r="O100" s="51">
        <f>SUM(M100:N100)</f>
        <v>434</v>
      </c>
      <c r="P100" s="34">
        <v>153</v>
      </c>
      <c r="Q100" s="35">
        <f>O100+P100</f>
        <v>587</v>
      </c>
      <c r="R100" s="29">
        <v>224</v>
      </c>
      <c r="S100" s="36">
        <v>611</v>
      </c>
      <c r="T100" s="51">
        <f>SUM(R100:S100)</f>
        <v>835</v>
      </c>
      <c r="U100" s="34">
        <v>56</v>
      </c>
      <c r="V100" s="31">
        <f>T100+U100</f>
        <v>891</v>
      </c>
      <c r="W100" s="256">
        <f>IF(Q100=0,0,((V100/Q100)-1)*100)</f>
        <v>51.78875638841567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95"/>
      <c r="J101" s="8"/>
      <c r="L101" s="4" t="s">
        <v>29</v>
      </c>
      <c r="M101" s="29">
        <v>105</v>
      </c>
      <c r="N101" s="36">
        <v>334</v>
      </c>
      <c r="O101" s="51">
        <f>SUM(M101:N101)</f>
        <v>439</v>
      </c>
      <c r="P101" s="34">
        <v>265</v>
      </c>
      <c r="Q101" s="35">
        <f>O101+P101</f>
        <v>704</v>
      </c>
      <c r="R101" s="29">
        <v>252</v>
      </c>
      <c r="S101" s="36">
        <v>876</v>
      </c>
      <c r="T101" s="51">
        <f>SUM(R101:S101)</f>
        <v>1128</v>
      </c>
      <c r="U101" s="34">
        <v>93</v>
      </c>
      <c r="V101" s="31">
        <f>T101+U101</f>
        <v>1221</v>
      </c>
      <c r="W101" s="256">
        <f t="shared" si="59"/>
        <v>73.4375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95"/>
      <c r="J102" s="70"/>
      <c r="L102" s="39" t="s">
        <v>63</v>
      </c>
      <c r="M102" s="40">
        <f aca="true" t="shared" si="62" ref="M102:V102">+M99+M100+M101</f>
        <v>319</v>
      </c>
      <c r="N102" s="41">
        <f t="shared" si="62"/>
        <v>1011</v>
      </c>
      <c r="O102" s="40">
        <f t="shared" si="62"/>
        <v>1330</v>
      </c>
      <c r="P102" s="40">
        <f t="shared" si="62"/>
        <v>618</v>
      </c>
      <c r="Q102" s="40">
        <f t="shared" si="62"/>
        <v>1948</v>
      </c>
      <c r="R102" s="40">
        <f t="shared" si="62"/>
        <v>737</v>
      </c>
      <c r="S102" s="41">
        <f t="shared" si="62"/>
        <v>2321</v>
      </c>
      <c r="T102" s="40">
        <f t="shared" si="62"/>
        <v>3058</v>
      </c>
      <c r="U102" s="40">
        <f t="shared" si="62"/>
        <v>172</v>
      </c>
      <c r="V102" s="40">
        <f t="shared" si="62"/>
        <v>3230</v>
      </c>
      <c r="W102" s="257">
        <f t="shared" si="59"/>
        <v>65.8110882956879</v>
      </c>
    </row>
    <row r="103" spans="1:26" ht="14.25" thickBot="1" thickTop="1">
      <c r="A103" s="220"/>
      <c r="B103" s="232"/>
      <c r="C103" s="234"/>
      <c r="D103" s="234"/>
      <c r="E103" s="234"/>
      <c r="F103" s="234"/>
      <c r="G103" s="234"/>
      <c r="H103" s="234"/>
      <c r="I103" s="276"/>
      <c r="J103" s="70"/>
      <c r="L103" s="39" t="s">
        <v>66</v>
      </c>
      <c r="M103" s="40">
        <f aca="true" t="shared" si="63" ref="M103:V103">+M94+M98+M102</f>
        <v>1382</v>
      </c>
      <c r="N103" s="41">
        <f t="shared" si="63"/>
        <v>4726</v>
      </c>
      <c r="O103" s="40">
        <f t="shared" si="63"/>
        <v>6108</v>
      </c>
      <c r="P103" s="40">
        <f t="shared" si="63"/>
        <v>1617</v>
      </c>
      <c r="Q103" s="40">
        <f t="shared" si="63"/>
        <v>7725</v>
      </c>
      <c r="R103" s="40">
        <f t="shared" si="63"/>
        <v>2444</v>
      </c>
      <c r="S103" s="41">
        <f t="shared" si="63"/>
        <v>7692</v>
      </c>
      <c r="T103" s="40">
        <f t="shared" si="63"/>
        <v>10136</v>
      </c>
      <c r="U103" s="40">
        <f t="shared" si="63"/>
        <v>229</v>
      </c>
      <c r="V103" s="40">
        <f t="shared" si="63"/>
        <v>10365</v>
      </c>
      <c r="W103" s="257">
        <f t="shared" si="59"/>
        <v>34.17475728155339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95"/>
      <c r="J104" s="70"/>
      <c r="L104" s="39" t="s">
        <v>9</v>
      </c>
      <c r="M104" s="40">
        <f aca="true" t="shared" si="64" ref="M104:V104">+M94+M98+M102+M90</f>
        <v>2089</v>
      </c>
      <c r="N104" s="41">
        <f t="shared" si="64"/>
        <v>7410</v>
      </c>
      <c r="O104" s="40">
        <f t="shared" si="64"/>
        <v>9499</v>
      </c>
      <c r="P104" s="40">
        <f t="shared" si="64"/>
        <v>2176</v>
      </c>
      <c r="Q104" s="40">
        <f t="shared" si="64"/>
        <v>11675</v>
      </c>
      <c r="R104" s="40">
        <f t="shared" si="64"/>
        <v>3466</v>
      </c>
      <c r="S104" s="41">
        <f t="shared" si="64"/>
        <v>9453</v>
      </c>
      <c r="T104" s="40">
        <f t="shared" si="64"/>
        <v>12919</v>
      </c>
      <c r="U104" s="40">
        <f t="shared" si="64"/>
        <v>394</v>
      </c>
      <c r="V104" s="40">
        <f t="shared" si="64"/>
        <v>13313</v>
      </c>
      <c r="W104" s="257">
        <f t="shared" si="59"/>
        <v>14.029978586723768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95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95"/>
      <c r="L106" s="336" t="s">
        <v>47</v>
      </c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</row>
    <row r="107" spans="2:23" ht="15.75">
      <c r="B107" s="70"/>
      <c r="C107" s="70"/>
      <c r="D107" s="70"/>
      <c r="E107" s="70"/>
      <c r="F107" s="70"/>
      <c r="G107" s="70"/>
      <c r="H107" s="70"/>
      <c r="I107" s="295"/>
      <c r="L107" s="337" t="s">
        <v>48</v>
      </c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95"/>
      <c r="W108" s="296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95"/>
      <c r="L109" s="3"/>
      <c r="M109" s="347" t="s">
        <v>67</v>
      </c>
      <c r="N109" s="348"/>
      <c r="O109" s="348"/>
      <c r="P109" s="348"/>
      <c r="Q109" s="349"/>
      <c r="R109" s="338" t="s">
        <v>68</v>
      </c>
      <c r="S109" s="339"/>
      <c r="T109" s="339"/>
      <c r="U109" s="339"/>
      <c r="V109" s="340"/>
      <c r="W109" s="292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95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93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95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94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95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79"/>
    </row>
    <row r="113" spans="2:23" ht="12.75">
      <c r="B113" s="70"/>
      <c r="C113" s="70"/>
      <c r="D113" s="70"/>
      <c r="E113" s="70"/>
      <c r="F113" s="70"/>
      <c r="G113" s="70"/>
      <c r="H113" s="70"/>
      <c r="I113" s="295"/>
      <c r="L113" s="4" t="s">
        <v>14</v>
      </c>
      <c r="M113" s="29">
        <v>976</v>
      </c>
      <c r="N113" s="36">
        <v>718</v>
      </c>
      <c r="O113" s="33">
        <f>M113+N113</f>
        <v>1694</v>
      </c>
      <c r="P113" s="34">
        <v>0</v>
      </c>
      <c r="Q113" s="35">
        <f>O113+P113</f>
        <v>1694</v>
      </c>
      <c r="R113" s="29">
        <v>859</v>
      </c>
      <c r="S113" s="36">
        <v>486</v>
      </c>
      <c r="T113" s="33">
        <f>R113+S113</f>
        <v>1345</v>
      </c>
      <c r="U113" s="34">
        <v>0</v>
      </c>
      <c r="V113" s="31">
        <f>T113+U113</f>
        <v>1345</v>
      </c>
      <c r="W113" s="256">
        <f aca="true" t="shared" si="65" ref="W113:W130">IF(Q113=0,0,((V113/Q113)-1)*100)</f>
        <v>-20.6021251475797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95"/>
      <c r="L114" s="4" t="s">
        <v>15</v>
      </c>
      <c r="M114" s="29">
        <v>1173</v>
      </c>
      <c r="N114" s="36">
        <v>796</v>
      </c>
      <c r="O114" s="33">
        <f>M114+N114</f>
        <v>1969</v>
      </c>
      <c r="P114" s="34">
        <v>0</v>
      </c>
      <c r="Q114" s="35">
        <f>O114+P114</f>
        <v>1969</v>
      </c>
      <c r="R114" s="29">
        <v>938</v>
      </c>
      <c r="S114" s="36">
        <v>1036</v>
      </c>
      <c r="T114" s="33">
        <f>R114+S114</f>
        <v>1974</v>
      </c>
      <c r="U114" s="34">
        <v>0</v>
      </c>
      <c r="V114" s="31">
        <f>T114+U114</f>
        <v>1974</v>
      </c>
      <c r="W114" s="256">
        <f t="shared" si="65"/>
        <v>0.2539360081259545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95"/>
      <c r="L115" s="12" t="s">
        <v>16</v>
      </c>
      <c r="M115" s="29">
        <v>1245</v>
      </c>
      <c r="N115" s="36">
        <v>849</v>
      </c>
      <c r="O115" s="33">
        <f>M115+N115</f>
        <v>2094</v>
      </c>
      <c r="P115" s="34">
        <v>0</v>
      </c>
      <c r="Q115" s="35">
        <f>O115+P115</f>
        <v>2094</v>
      </c>
      <c r="R115" s="29">
        <v>1015</v>
      </c>
      <c r="S115" s="36">
        <v>1018</v>
      </c>
      <c r="T115" s="33">
        <f>R115+S115</f>
        <v>2033</v>
      </c>
      <c r="U115" s="34">
        <v>2</v>
      </c>
      <c r="V115" s="31">
        <f>T115+U115</f>
        <v>2035</v>
      </c>
      <c r="W115" s="256">
        <f t="shared" si="65"/>
        <v>-2.8175740210124145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95"/>
      <c r="L116" s="39" t="s">
        <v>58</v>
      </c>
      <c r="M116" s="40">
        <f>+M113+M114+M115</f>
        <v>3394</v>
      </c>
      <c r="N116" s="41">
        <f>+N113+N114+N115</f>
        <v>2363</v>
      </c>
      <c r="O116" s="40">
        <f>+O113+O114+O115</f>
        <v>5757</v>
      </c>
      <c r="P116" s="40">
        <f>+P113+P114+P115</f>
        <v>0</v>
      </c>
      <c r="Q116" s="40">
        <f aca="true" t="shared" si="66" ref="Q116:V116">+Q113+Q114+Q115</f>
        <v>5757</v>
      </c>
      <c r="R116" s="40">
        <f t="shared" si="66"/>
        <v>2812</v>
      </c>
      <c r="S116" s="41">
        <f t="shared" si="66"/>
        <v>2540</v>
      </c>
      <c r="T116" s="40">
        <f t="shared" si="66"/>
        <v>5352</v>
      </c>
      <c r="U116" s="40">
        <f t="shared" si="66"/>
        <v>2</v>
      </c>
      <c r="V116" s="40">
        <f t="shared" si="66"/>
        <v>5354</v>
      </c>
      <c r="W116" s="257">
        <f t="shared" si="65"/>
        <v>-7.000173701580681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95"/>
      <c r="L117" s="4" t="s">
        <v>18</v>
      </c>
      <c r="M117" s="29">
        <v>929</v>
      </c>
      <c r="N117" s="36">
        <v>842</v>
      </c>
      <c r="O117" s="33">
        <f>M117+N117</f>
        <v>1771</v>
      </c>
      <c r="P117" s="34">
        <v>1</v>
      </c>
      <c r="Q117" s="35">
        <f>O117+P117</f>
        <v>1772</v>
      </c>
      <c r="R117" s="29">
        <v>946</v>
      </c>
      <c r="S117" s="36">
        <v>893</v>
      </c>
      <c r="T117" s="33">
        <f>R117+S117</f>
        <v>1839</v>
      </c>
      <c r="U117" s="34">
        <v>0</v>
      </c>
      <c r="V117" s="31">
        <f>T117+U117</f>
        <v>1839</v>
      </c>
      <c r="W117" s="256">
        <f t="shared" si="65"/>
        <v>3.7810383747178378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95"/>
      <c r="L118" s="4" t="s">
        <v>19</v>
      </c>
      <c r="M118" s="29">
        <v>1045</v>
      </c>
      <c r="N118" s="36">
        <v>549</v>
      </c>
      <c r="O118" s="33">
        <f>M118+N118</f>
        <v>1594</v>
      </c>
      <c r="P118" s="34">
        <v>0</v>
      </c>
      <c r="Q118" s="35">
        <f>O118+P118</f>
        <v>1594</v>
      </c>
      <c r="R118" s="29">
        <v>984</v>
      </c>
      <c r="S118" s="36">
        <v>746</v>
      </c>
      <c r="T118" s="33">
        <f>R118+S118</f>
        <v>1730</v>
      </c>
      <c r="U118" s="34">
        <v>0</v>
      </c>
      <c r="V118" s="31">
        <f>T118+U118</f>
        <v>1730</v>
      </c>
      <c r="W118" s="256">
        <f>IF(Q118=0,0,((V118/Q118)-1)*100)</f>
        <v>8.531994981179425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95"/>
      <c r="L119" s="4" t="s">
        <v>20</v>
      </c>
      <c r="M119" s="29">
        <v>1159</v>
      </c>
      <c r="N119" s="36">
        <v>646</v>
      </c>
      <c r="O119" s="33">
        <f>M119+N119</f>
        <v>1805</v>
      </c>
      <c r="P119" s="34">
        <v>0</v>
      </c>
      <c r="Q119" s="35">
        <f>O119+P119</f>
        <v>1805</v>
      </c>
      <c r="R119" s="29">
        <v>1118</v>
      </c>
      <c r="S119" s="36">
        <v>801</v>
      </c>
      <c r="T119" s="33">
        <f>R119+S119</f>
        <v>1919</v>
      </c>
      <c r="U119" s="34">
        <v>0</v>
      </c>
      <c r="V119" s="31">
        <f>T119+U119</f>
        <v>1919</v>
      </c>
      <c r="W119" s="256">
        <f t="shared" si="65"/>
        <v>6.315789473684208</v>
      </c>
      <c r="Y119" s="99"/>
      <c r="Z119" s="99"/>
    </row>
    <row r="120" spans="1:26" ht="14.25" thickBot="1" thickTop="1">
      <c r="A120" s="70"/>
      <c r="B120" s="232"/>
      <c r="C120" s="234"/>
      <c r="D120" s="234"/>
      <c r="E120" s="234"/>
      <c r="F120" s="234"/>
      <c r="G120" s="234"/>
      <c r="H120" s="234"/>
      <c r="I120" s="276"/>
      <c r="J120" s="70"/>
      <c r="L120" s="44" t="s">
        <v>21</v>
      </c>
      <c r="M120" s="40">
        <f aca="true" t="shared" si="67" ref="M120:V120">M119+M117+M118</f>
        <v>3133</v>
      </c>
      <c r="N120" s="41">
        <f t="shared" si="67"/>
        <v>2037</v>
      </c>
      <c r="O120" s="40">
        <f t="shared" si="67"/>
        <v>5170</v>
      </c>
      <c r="P120" s="40">
        <f t="shared" si="67"/>
        <v>1</v>
      </c>
      <c r="Q120" s="40">
        <f t="shared" si="67"/>
        <v>5171</v>
      </c>
      <c r="R120" s="40">
        <f t="shared" si="67"/>
        <v>3048</v>
      </c>
      <c r="S120" s="41">
        <f t="shared" si="67"/>
        <v>2440</v>
      </c>
      <c r="T120" s="40">
        <f t="shared" si="67"/>
        <v>5488</v>
      </c>
      <c r="U120" s="40">
        <f t="shared" si="67"/>
        <v>0</v>
      </c>
      <c r="V120" s="40">
        <f t="shared" si="67"/>
        <v>5488</v>
      </c>
      <c r="W120" s="257">
        <f t="shared" si="65"/>
        <v>6.1303422935602425</v>
      </c>
      <c r="Y120" s="99"/>
      <c r="Z120" s="99"/>
    </row>
    <row r="121" spans="2:26" ht="13.5" thickTop="1">
      <c r="B121" s="70"/>
      <c r="C121" s="70"/>
      <c r="D121" s="70"/>
      <c r="E121" s="70"/>
      <c r="F121" s="70"/>
      <c r="G121" s="70"/>
      <c r="H121" s="70"/>
      <c r="I121" s="295"/>
      <c r="L121" s="4" t="s">
        <v>22</v>
      </c>
      <c r="M121" s="29">
        <v>891</v>
      </c>
      <c r="N121" s="36">
        <v>455</v>
      </c>
      <c r="O121" s="33">
        <f>SUM(M121:N121)</f>
        <v>1346</v>
      </c>
      <c r="P121" s="34">
        <v>0</v>
      </c>
      <c r="Q121" s="35">
        <f>O121+P121</f>
        <v>1346</v>
      </c>
      <c r="R121" s="29">
        <v>895</v>
      </c>
      <c r="S121" s="36">
        <v>569</v>
      </c>
      <c r="T121" s="33">
        <f>SUM(R121:S121)</f>
        <v>1464</v>
      </c>
      <c r="U121" s="34">
        <v>0</v>
      </c>
      <c r="V121" s="31">
        <f>SUM(T121:U121)</f>
        <v>1464</v>
      </c>
      <c r="W121" s="256">
        <f t="shared" si="65"/>
        <v>8.766716196136692</v>
      </c>
      <c r="Y121" s="99"/>
      <c r="Z121" s="99"/>
    </row>
    <row r="122" spans="2:23" ht="12.75">
      <c r="B122" s="70"/>
      <c r="C122" s="70"/>
      <c r="D122" s="70"/>
      <c r="E122" s="70"/>
      <c r="F122" s="70"/>
      <c r="G122" s="70"/>
      <c r="H122" s="70"/>
      <c r="I122" s="295"/>
      <c r="L122" s="4" t="s">
        <v>23</v>
      </c>
      <c r="M122" s="29">
        <v>704</v>
      </c>
      <c r="N122" s="36">
        <v>386</v>
      </c>
      <c r="O122" s="33">
        <f>SUM(M122:N122)</f>
        <v>1090</v>
      </c>
      <c r="P122" s="34">
        <v>0</v>
      </c>
      <c r="Q122" s="35">
        <f>O122+P122</f>
        <v>1090</v>
      </c>
      <c r="R122" s="29">
        <v>849</v>
      </c>
      <c r="S122" s="36">
        <v>487</v>
      </c>
      <c r="T122" s="33">
        <f>SUM(R122:S122)</f>
        <v>1336</v>
      </c>
      <c r="U122" s="34">
        <v>0</v>
      </c>
      <c r="V122" s="31">
        <f>SUM(T122:U122)</f>
        <v>1336</v>
      </c>
      <c r="W122" s="256">
        <f t="shared" si="65"/>
        <v>22.56880733944955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95"/>
      <c r="L123" s="4" t="s">
        <v>24</v>
      </c>
      <c r="M123" s="29">
        <v>848</v>
      </c>
      <c r="N123" s="36">
        <v>335</v>
      </c>
      <c r="O123" s="51">
        <f>SUM(M123:N123)</f>
        <v>1183</v>
      </c>
      <c r="P123" s="52">
        <v>0</v>
      </c>
      <c r="Q123" s="35">
        <f>O123+P123</f>
        <v>1183</v>
      </c>
      <c r="R123" s="29">
        <v>726</v>
      </c>
      <c r="S123" s="36">
        <v>473</v>
      </c>
      <c r="T123" s="51">
        <f>SUM(R123:S123)</f>
        <v>1199</v>
      </c>
      <c r="U123" s="52">
        <v>0</v>
      </c>
      <c r="V123" s="31">
        <f>SUM(T123:U123)</f>
        <v>1199</v>
      </c>
      <c r="W123" s="256">
        <f t="shared" si="65"/>
        <v>1.3524936601859716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95"/>
      <c r="L124" s="44" t="s">
        <v>65</v>
      </c>
      <c r="M124" s="45">
        <f aca="true" t="shared" si="68" ref="M124:V124">M123+M121+M122</f>
        <v>2443</v>
      </c>
      <c r="N124" s="45">
        <f t="shared" si="68"/>
        <v>1176</v>
      </c>
      <c r="O124" s="47">
        <f t="shared" si="68"/>
        <v>3619</v>
      </c>
      <c r="P124" s="47">
        <f t="shared" si="68"/>
        <v>0</v>
      </c>
      <c r="Q124" s="47">
        <f t="shared" si="68"/>
        <v>3619</v>
      </c>
      <c r="R124" s="45">
        <f t="shared" si="68"/>
        <v>2470</v>
      </c>
      <c r="S124" s="45">
        <f t="shared" si="68"/>
        <v>1529</v>
      </c>
      <c r="T124" s="47">
        <f t="shared" si="68"/>
        <v>3999</v>
      </c>
      <c r="U124" s="47">
        <f t="shared" si="68"/>
        <v>0</v>
      </c>
      <c r="V124" s="47">
        <f t="shared" si="68"/>
        <v>3999</v>
      </c>
      <c r="W124" s="262">
        <f t="shared" si="65"/>
        <v>10.500138159712623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95"/>
      <c r="L125" s="4" t="s">
        <v>27</v>
      </c>
      <c r="M125" s="29">
        <v>829</v>
      </c>
      <c r="N125" s="36">
        <v>357</v>
      </c>
      <c r="O125" s="51">
        <f>SUM(M125:N125)</f>
        <v>1186</v>
      </c>
      <c r="P125" s="59">
        <v>0</v>
      </c>
      <c r="Q125" s="35">
        <f>O125+P125</f>
        <v>1186</v>
      </c>
      <c r="R125" s="29">
        <v>766</v>
      </c>
      <c r="S125" s="36">
        <v>534</v>
      </c>
      <c r="T125" s="51">
        <f>SUM(R125:S125)</f>
        <v>1300</v>
      </c>
      <c r="U125" s="59"/>
      <c r="V125" s="31">
        <f>T125+U125</f>
        <v>1300</v>
      </c>
      <c r="W125" s="256">
        <f t="shared" si="65"/>
        <v>9.612141652613836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95"/>
      <c r="L126" s="4" t="s">
        <v>28</v>
      </c>
      <c r="M126" s="29">
        <v>830</v>
      </c>
      <c r="N126" s="36">
        <v>343</v>
      </c>
      <c r="O126" s="51">
        <f>SUM(M126:N126)</f>
        <v>1173</v>
      </c>
      <c r="P126" s="34">
        <v>0</v>
      </c>
      <c r="Q126" s="35">
        <f>O126+P126</f>
        <v>1173</v>
      </c>
      <c r="R126" s="29">
        <v>874</v>
      </c>
      <c r="S126" s="36">
        <v>455</v>
      </c>
      <c r="T126" s="51">
        <f>SUM(R126:S126)</f>
        <v>1329</v>
      </c>
      <c r="U126" s="34"/>
      <c r="V126" s="31">
        <f>T126+U126</f>
        <v>1329</v>
      </c>
      <c r="W126" s="256">
        <f>IF(Q126=0,0,((V126/Q126)-1)*100)</f>
        <v>13.299232736572897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95"/>
      <c r="L127" s="4" t="s">
        <v>29</v>
      </c>
      <c r="M127" s="29">
        <v>848</v>
      </c>
      <c r="N127" s="36">
        <v>335</v>
      </c>
      <c r="O127" s="51">
        <f>SUM(M127:N127)</f>
        <v>1183</v>
      </c>
      <c r="P127" s="34">
        <v>0</v>
      </c>
      <c r="Q127" s="35">
        <f>O127+P127</f>
        <v>1183</v>
      </c>
      <c r="R127" s="29">
        <v>850</v>
      </c>
      <c r="S127" s="36">
        <v>494</v>
      </c>
      <c r="T127" s="51">
        <f>SUM(R127:S127)</f>
        <v>1344</v>
      </c>
      <c r="U127" s="34"/>
      <c r="V127" s="31">
        <f>T127+U127</f>
        <v>1344</v>
      </c>
      <c r="W127" s="256">
        <f t="shared" si="65"/>
        <v>13.609467455621305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95"/>
      <c r="L128" s="39" t="s">
        <v>63</v>
      </c>
      <c r="M128" s="40">
        <f aca="true" t="shared" si="69" ref="M128:V128">+M125+M126+M127</f>
        <v>2507</v>
      </c>
      <c r="N128" s="41">
        <f t="shared" si="69"/>
        <v>1035</v>
      </c>
      <c r="O128" s="40">
        <f t="shared" si="69"/>
        <v>3542</v>
      </c>
      <c r="P128" s="40">
        <f t="shared" si="69"/>
        <v>0</v>
      </c>
      <c r="Q128" s="40">
        <f t="shared" si="69"/>
        <v>3542</v>
      </c>
      <c r="R128" s="40">
        <f t="shared" si="69"/>
        <v>2490</v>
      </c>
      <c r="S128" s="41">
        <f t="shared" si="69"/>
        <v>1483</v>
      </c>
      <c r="T128" s="40">
        <f t="shared" si="69"/>
        <v>3973</v>
      </c>
      <c r="U128" s="40">
        <f t="shared" si="69"/>
        <v>0</v>
      </c>
      <c r="V128" s="40">
        <f t="shared" si="69"/>
        <v>3973</v>
      </c>
      <c r="W128" s="257">
        <f t="shared" si="65"/>
        <v>12.168266516092597</v>
      </c>
    </row>
    <row r="129" spans="1:26" ht="14.25" thickBot="1" thickTop="1">
      <c r="A129" s="220"/>
      <c r="B129" s="232"/>
      <c r="C129" s="234"/>
      <c r="D129" s="234"/>
      <c r="E129" s="234"/>
      <c r="F129" s="234"/>
      <c r="G129" s="234"/>
      <c r="H129" s="234"/>
      <c r="I129" s="276"/>
      <c r="J129" s="220"/>
      <c r="L129" s="39" t="s">
        <v>66</v>
      </c>
      <c r="M129" s="40">
        <f aca="true" t="shared" si="70" ref="M129:V129">+M120+M124+M128</f>
        <v>8083</v>
      </c>
      <c r="N129" s="41">
        <f t="shared" si="70"/>
        <v>4248</v>
      </c>
      <c r="O129" s="40">
        <f t="shared" si="70"/>
        <v>12331</v>
      </c>
      <c r="P129" s="40">
        <f t="shared" si="70"/>
        <v>1</v>
      </c>
      <c r="Q129" s="40">
        <f t="shared" si="70"/>
        <v>12332</v>
      </c>
      <c r="R129" s="40">
        <f t="shared" si="70"/>
        <v>8008</v>
      </c>
      <c r="S129" s="41">
        <f t="shared" si="70"/>
        <v>5452</v>
      </c>
      <c r="T129" s="40">
        <f t="shared" si="70"/>
        <v>13460</v>
      </c>
      <c r="U129" s="40">
        <f t="shared" si="70"/>
        <v>0</v>
      </c>
      <c r="V129" s="40">
        <f t="shared" si="70"/>
        <v>13460</v>
      </c>
      <c r="W129" s="257">
        <f t="shared" si="65"/>
        <v>9.146934803762562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95"/>
      <c r="L130" s="39" t="s">
        <v>9</v>
      </c>
      <c r="M130" s="40">
        <f aca="true" t="shared" si="71" ref="M130:V130">+M120+M124+M128+M116</f>
        <v>11477</v>
      </c>
      <c r="N130" s="41">
        <f t="shared" si="71"/>
        <v>6611</v>
      </c>
      <c r="O130" s="40">
        <f t="shared" si="71"/>
        <v>18088</v>
      </c>
      <c r="P130" s="40">
        <f t="shared" si="71"/>
        <v>1</v>
      </c>
      <c r="Q130" s="40">
        <f t="shared" si="71"/>
        <v>18089</v>
      </c>
      <c r="R130" s="40">
        <f t="shared" si="71"/>
        <v>10820</v>
      </c>
      <c r="S130" s="41">
        <f t="shared" si="71"/>
        <v>7992</v>
      </c>
      <c r="T130" s="40">
        <f t="shared" si="71"/>
        <v>18812</v>
      </c>
      <c r="U130" s="40">
        <f t="shared" si="71"/>
        <v>2</v>
      </c>
      <c r="V130" s="40">
        <f t="shared" si="71"/>
        <v>18814</v>
      </c>
      <c r="W130" s="257">
        <f t="shared" si="65"/>
        <v>4.007960639062413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95"/>
      <c r="L131" s="63" t="s">
        <v>64</v>
      </c>
      <c r="W131" s="297"/>
    </row>
    <row r="132" spans="2:23" ht="12.75">
      <c r="B132" s="70"/>
      <c r="C132" s="70"/>
      <c r="D132" s="70"/>
      <c r="E132" s="70"/>
      <c r="F132" s="70"/>
      <c r="G132" s="70"/>
      <c r="H132" s="70"/>
      <c r="I132" s="295"/>
      <c r="L132" s="336" t="s">
        <v>49</v>
      </c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</row>
    <row r="133" spans="2:23" ht="15.75">
      <c r="B133" s="70"/>
      <c r="C133" s="70"/>
      <c r="D133" s="70"/>
      <c r="E133" s="70"/>
      <c r="F133" s="70"/>
      <c r="G133" s="70"/>
      <c r="H133" s="70"/>
      <c r="I133" s="295"/>
      <c r="L133" s="337" t="s">
        <v>60</v>
      </c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95"/>
      <c r="W134" s="296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95"/>
      <c r="L135" s="3"/>
      <c r="M135" s="347" t="s">
        <v>67</v>
      </c>
      <c r="N135" s="348"/>
      <c r="O135" s="348"/>
      <c r="P135" s="348"/>
      <c r="Q135" s="349"/>
      <c r="R135" s="338" t="s">
        <v>68</v>
      </c>
      <c r="S135" s="339"/>
      <c r="T135" s="339"/>
      <c r="U135" s="339"/>
      <c r="V135" s="340"/>
      <c r="W135" s="292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95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93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95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94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95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79"/>
    </row>
    <row r="139" spans="2:23" ht="12.75">
      <c r="B139" s="70"/>
      <c r="C139" s="70"/>
      <c r="D139" s="70"/>
      <c r="E139" s="70"/>
      <c r="F139" s="70"/>
      <c r="G139" s="70"/>
      <c r="H139" s="70"/>
      <c r="I139" s="295"/>
      <c r="L139" s="4" t="s">
        <v>14</v>
      </c>
      <c r="M139" s="29">
        <f aca="true" t="shared" si="72" ref="M139:N141">+M87+M113</f>
        <v>1231</v>
      </c>
      <c r="N139" s="36">
        <f t="shared" si="72"/>
        <v>1470</v>
      </c>
      <c r="O139" s="33">
        <f>M139+N139</f>
        <v>2701</v>
      </c>
      <c r="P139" s="34">
        <f>+P87+P113</f>
        <v>225</v>
      </c>
      <c r="Q139" s="35">
        <f>O139+P139</f>
        <v>2926</v>
      </c>
      <c r="R139" s="29">
        <f aca="true" t="shared" si="73" ref="R139:S141">+R87+R113</f>
        <v>1021</v>
      </c>
      <c r="S139" s="36">
        <f t="shared" si="73"/>
        <v>945</v>
      </c>
      <c r="T139" s="33">
        <f>R139+S139</f>
        <v>1966</v>
      </c>
      <c r="U139" s="34">
        <f>+U87+U113</f>
        <v>154</v>
      </c>
      <c r="V139" s="31">
        <f>T139+U139</f>
        <v>2120</v>
      </c>
      <c r="W139" s="256">
        <f aca="true" t="shared" si="74" ref="W139:W156">IF(Q139=0,0,((V139/Q139)-1)*100)</f>
        <v>-27.546138072453864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95"/>
      <c r="L140" s="4" t="s">
        <v>15</v>
      </c>
      <c r="M140" s="29">
        <f t="shared" si="72"/>
        <v>1424</v>
      </c>
      <c r="N140" s="36">
        <f t="shared" si="72"/>
        <v>1756</v>
      </c>
      <c r="O140" s="33">
        <f>M140+N140</f>
        <v>3180</v>
      </c>
      <c r="P140" s="34">
        <f>+P88+P114</f>
        <v>172</v>
      </c>
      <c r="Q140" s="35">
        <f>O140+P140</f>
        <v>3352</v>
      </c>
      <c r="R140" s="29">
        <f t="shared" si="73"/>
        <v>1428</v>
      </c>
      <c r="S140" s="36">
        <f t="shared" si="73"/>
        <v>1628</v>
      </c>
      <c r="T140" s="33">
        <f>R140+S140</f>
        <v>3056</v>
      </c>
      <c r="U140" s="34">
        <f>+U88+U114</f>
        <v>11</v>
      </c>
      <c r="V140" s="31">
        <f>T140+U140</f>
        <v>3067</v>
      </c>
      <c r="W140" s="256">
        <f t="shared" si="74"/>
        <v>-8.502386634844871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95"/>
      <c r="L141" s="12" t="s">
        <v>16</v>
      </c>
      <c r="M141" s="29">
        <f t="shared" si="72"/>
        <v>1446</v>
      </c>
      <c r="N141" s="36">
        <f t="shared" si="72"/>
        <v>1821</v>
      </c>
      <c r="O141" s="33">
        <f>M141+N141</f>
        <v>3267</v>
      </c>
      <c r="P141" s="34">
        <f>+P89+P115</f>
        <v>162</v>
      </c>
      <c r="Q141" s="35">
        <f>O141+P141</f>
        <v>3429</v>
      </c>
      <c r="R141" s="29">
        <f t="shared" si="73"/>
        <v>1385</v>
      </c>
      <c r="S141" s="36">
        <f t="shared" si="73"/>
        <v>1728</v>
      </c>
      <c r="T141" s="33">
        <f>R141+S141</f>
        <v>3113</v>
      </c>
      <c r="U141" s="34">
        <f>+U89+U115</f>
        <v>2</v>
      </c>
      <c r="V141" s="31">
        <f>T141+U141</f>
        <v>3115</v>
      </c>
      <c r="W141" s="256">
        <f t="shared" si="74"/>
        <v>-9.15718868474774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95"/>
      <c r="L142" s="39" t="s">
        <v>58</v>
      </c>
      <c r="M142" s="40">
        <f aca="true" t="shared" si="75" ref="M142:V142">+M139+M140+M141</f>
        <v>4101</v>
      </c>
      <c r="N142" s="41">
        <f t="shared" si="75"/>
        <v>5047</v>
      </c>
      <c r="O142" s="40">
        <f t="shared" si="75"/>
        <v>9148</v>
      </c>
      <c r="P142" s="40">
        <f t="shared" si="75"/>
        <v>559</v>
      </c>
      <c r="Q142" s="40">
        <f t="shared" si="75"/>
        <v>9707</v>
      </c>
      <c r="R142" s="40">
        <f t="shared" si="75"/>
        <v>3834</v>
      </c>
      <c r="S142" s="41">
        <f t="shared" si="75"/>
        <v>4301</v>
      </c>
      <c r="T142" s="40">
        <f t="shared" si="75"/>
        <v>8135</v>
      </c>
      <c r="U142" s="40">
        <f t="shared" si="75"/>
        <v>167</v>
      </c>
      <c r="V142" s="40">
        <f t="shared" si="75"/>
        <v>8302</v>
      </c>
      <c r="W142" s="257">
        <f t="shared" si="74"/>
        <v>-14.474090862264344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95"/>
      <c r="L143" s="4" t="s">
        <v>18</v>
      </c>
      <c r="M143" s="29">
        <f aca="true" t="shared" si="76" ref="M143:N145">+M91+M117</f>
        <v>1148</v>
      </c>
      <c r="N143" s="36">
        <f t="shared" si="76"/>
        <v>1773</v>
      </c>
      <c r="O143" s="33">
        <f>M143+N143</f>
        <v>2921</v>
      </c>
      <c r="P143" s="34">
        <f>+P91+P117</f>
        <v>157</v>
      </c>
      <c r="Q143" s="35">
        <f>O143+P143</f>
        <v>3078</v>
      </c>
      <c r="R143" s="29">
        <f>+R91+R117</f>
        <v>1254</v>
      </c>
      <c r="S143" s="36">
        <f>+S91+S117</f>
        <v>1870</v>
      </c>
      <c r="T143" s="33">
        <f>+T91+T117</f>
        <v>3124</v>
      </c>
      <c r="U143" s="34">
        <f>+U91+U117</f>
        <v>26</v>
      </c>
      <c r="V143" s="31">
        <f>+V91+V117</f>
        <v>3150</v>
      </c>
      <c r="W143" s="256">
        <f t="shared" si="74"/>
        <v>2.3391812865497075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95"/>
      <c r="L144" s="4" t="s">
        <v>19</v>
      </c>
      <c r="M144" s="29">
        <f t="shared" si="76"/>
        <v>1154</v>
      </c>
      <c r="N144" s="36">
        <f t="shared" si="76"/>
        <v>1402</v>
      </c>
      <c r="O144" s="33">
        <f>M144+N144</f>
        <v>2556</v>
      </c>
      <c r="P144" s="34">
        <f>+P92+P118</f>
        <v>224</v>
      </c>
      <c r="Q144" s="35">
        <f>O144+P144</f>
        <v>2780</v>
      </c>
      <c r="R144" s="29">
        <f>+R92+R118</f>
        <v>1219</v>
      </c>
      <c r="S144" s="36">
        <f>+S92+S118</f>
        <v>1422</v>
      </c>
      <c r="T144" s="33">
        <f>R144+S144</f>
        <v>2641</v>
      </c>
      <c r="U144" s="34">
        <f>+U92+U118</f>
        <v>16</v>
      </c>
      <c r="V144" s="31">
        <f>T144+U144</f>
        <v>2657</v>
      </c>
      <c r="W144" s="256">
        <f t="shared" si="74"/>
        <v>-4.424460431654675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95"/>
      <c r="L145" s="4" t="s">
        <v>20</v>
      </c>
      <c r="M145" s="29">
        <f t="shared" si="76"/>
        <v>1367</v>
      </c>
      <c r="N145" s="36">
        <f t="shared" si="76"/>
        <v>1475</v>
      </c>
      <c r="O145" s="33">
        <f>+O93+O119</f>
        <v>2842</v>
      </c>
      <c r="P145" s="34">
        <f>+P93+P119</f>
        <v>109</v>
      </c>
      <c r="Q145" s="35">
        <f>+Q93+Q119</f>
        <v>2951</v>
      </c>
      <c r="R145" s="29">
        <f>+R93+R119</f>
        <v>1553</v>
      </c>
      <c r="S145" s="36">
        <f>+S93+S119</f>
        <v>1800</v>
      </c>
      <c r="T145" s="33">
        <f>+T93+T119</f>
        <v>3353</v>
      </c>
      <c r="U145" s="34">
        <f>+U93+U119</f>
        <v>0</v>
      </c>
      <c r="V145" s="31">
        <f>+V93+V119</f>
        <v>3353</v>
      </c>
      <c r="W145" s="256">
        <f t="shared" si="74"/>
        <v>13.62250084717045</v>
      </c>
    </row>
    <row r="146" spans="1:26" ht="14.25" thickBot="1" thickTop="1">
      <c r="A146" s="70"/>
      <c r="B146" s="232"/>
      <c r="C146" s="234"/>
      <c r="D146" s="234"/>
      <c r="E146" s="234"/>
      <c r="F146" s="234"/>
      <c r="G146" s="234"/>
      <c r="H146" s="234"/>
      <c r="I146" s="276"/>
      <c r="J146" s="70"/>
      <c r="L146" s="44" t="s">
        <v>21</v>
      </c>
      <c r="M146" s="40">
        <f aca="true" t="shared" si="77" ref="M146:V146">M145+M143+M144</f>
        <v>3669</v>
      </c>
      <c r="N146" s="41">
        <f t="shared" si="77"/>
        <v>4650</v>
      </c>
      <c r="O146" s="40">
        <f t="shared" si="77"/>
        <v>8319</v>
      </c>
      <c r="P146" s="40">
        <f t="shared" si="77"/>
        <v>490</v>
      </c>
      <c r="Q146" s="40">
        <f t="shared" si="77"/>
        <v>8809</v>
      </c>
      <c r="R146" s="40">
        <f t="shared" si="77"/>
        <v>4026</v>
      </c>
      <c r="S146" s="41">
        <f t="shared" si="77"/>
        <v>5092</v>
      </c>
      <c r="T146" s="40">
        <f t="shared" si="77"/>
        <v>9118</v>
      </c>
      <c r="U146" s="40">
        <f t="shared" si="77"/>
        <v>42</v>
      </c>
      <c r="V146" s="40">
        <f t="shared" si="77"/>
        <v>9160</v>
      </c>
      <c r="W146" s="257">
        <f t="shared" si="74"/>
        <v>3.9845612441820943</v>
      </c>
      <c r="Y146" s="99"/>
      <c r="Z146" s="99"/>
    </row>
    <row r="147" spans="2:26" ht="13.5" thickTop="1">
      <c r="B147" s="70"/>
      <c r="C147" s="70"/>
      <c r="D147" s="70"/>
      <c r="E147" s="70"/>
      <c r="F147" s="70"/>
      <c r="G147" s="70"/>
      <c r="H147" s="70"/>
      <c r="I147" s="295"/>
      <c r="L147" s="4" t="s">
        <v>22</v>
      </c>
      <c r="M147" s="29">
        <f aca="true" t="shared" si="78" ref="M147:V147">+M95+M121</f>
        <v>1059</v>
      </c>
      <c r="N147" s="36">
        <f t="shared" si="78"/>
        <v>905</v>
      </c>
      <c r="O147" s="33">
        <f t="shared" si="78"/>
        <v>1964</v>
      </c>
      <c r="P147" s="34">
        <f t="shared" si="78"/>
        <v>108</v>
      </c>
      <c r="Q147" s="35">
        <f t="shared" si="78"/>
        <v>2072</v>
      </c>
      <c r="R147" s="29">
        <f t="shared" si="78"/>
        <v>1206</v>
      </c>
      <c r="S147" s="36">
        <f t="shared" si="78"/>
        <v>1537</v>
      </c>
      <c r="T147" s="33">
        <f t="shared" si="78"/>
        <v>2743</v>
      </c>
      <c r="U147" s="34">
        <f t="shared" si="78"/>
        <v>0</v>
      </c>
      <c r="V147" s="31">
        <f t="shared" si="78"/>
        <v>2743</v>
      </c>
      <c r="W147" s="256">
        <f t="shared" si="74"/>
        <v>32.38416988416988</v>
      </c>
      <c r="Y147" s="99"/>
      <c r="Z147" s="99"/>
    </row>
    <row r="148" spans="2:23" ht="12.75">
      <c r="B148" s="70"/>
      <c r="C148" s="70"/>
      <c r="D148" s="70"/>
      <c r="E148" s="70"/>
      <c r="F148" s="70"/>
      <c r="G148" s="70"/>
      <c r="H148" s="70"/>
      <c r="I148" s="295"/>
      <c r="L148" s="4" t="s">
        <v>23</v>
      </c>
      <c r="M148" s="29">
        <f>+M96+M122</f>
        <v>872</v>
      </c>
      <c r="N148" s="36">
        <f>+N96+N122</f>
        <v>720</v>
      </c>
      <c r="O148" s="33">
        <f>M148+N148</f>
        <v>1592</v>
      </c>
      <c r="P148" s="34">
        <f>+P96+P122</f>
        <v>202</v>
      </c>
      <c r="Q148" s="35">
        <f>O148+P148</f>
        <v>1794</v>
      </c>
      <c r="R148" s="29">
        <f aca="true" t="shared" si="79" ref="R148:V149">+R96+R122</f>
        <v>1070</v>
      </c>
      <c r="S148" s="36">
        <f t="shared" si="79"/>
        <v>1466</v>
      </c>
      <c r="T148" s="33">
        <f t="shared" si="79"/>
        <v>2536</v>
      </c>
      <c r="U148" s="34">
        <f t="shared" si="79"/>
        <v>0</v>
      </c>
      <c r="V148" s="31">
        <f t="shared" si="79"/>
        <v>2536</v>
      </c>
      <c r="W148" s="256">
        <f t="shared" si="74"/>
        <v>41.360089186176154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95"/>
      <c r="L149" s="4" t="s">
        <v>24</v>
      </c>
      <c r="M149" s="29">
        <f>+M97+M123</f>
        <v>1039</v>
      </c>
      <c r="N149" s="36">
        <f>+N97+N123</f>
        <v>653</v>
      </c>
      <c r="O149" s="33">
        <f>M149+N149</f>
        <v>1692</v>
      </c>
      <c r="P149" s="34">
        <f>+P97+P123</f>
        <v>200</v>
      </c>
      <c r="Q149" s="35">
        <f>O149+P149</f>
        <v>1892</v>
      </c>
      <c r="R149" s="29">
        <f t="shared" si="79"/>
        <v>923</v>
      </c>
      <c r="S149" s="36">
        <f t="shared" si="79"/>
        <v>1245</v>
      </c>
      <c r="T149" s="51">
        <f t="shared" si="79"/>
        <v>2168</v>
      </c>
      <c r="U149" s="52">
        <f t="shared" si="79"/>
        <v>15</v>
      </c>
      <c r="V149" s="31">
        <f t="shared" si="79"/>
        <v>2183</v>
      </c>
      <c r="W149" s="256">
        <f t="shared" si="74"/>
        <v>15.380549682875255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95"/>
      <c r="J150" s="70"/>
      <c r="L150" s="44" t="s">
        <v>65</v>
      </c>
      <c r="M150" s="45">
        <f aca="true" t="shared" si="80" ref="M150:V150">M149+M147+M148</f>
        <v>2970</v>
      </c>
      <c r="N150" s="45">
        <f t="shared" si="80"/>
        <v>2278</v>
      </c>
      <c r="O150" s="47">
        <f t="shared" si="80"/>
        <v>5248</v>
      </c>
      <c r="P150" s="47">
        <f t="shared" si="80"/>
        <v>510</v>
      </c>
      <c r="Q150" s="47">
        <f t="shared" si="80"/>
        <v>5758</v>
      </c>
      <c r="R150" s="45">
        <f t="shared" si="80"/>
        <v>3199</v>
      </c>
      <c r="S150" s="45">
        <f t="shared" si="80"/>
        <v>4248</v>
      </c>
      <c r="T150" s="47">
        <f t="shared" si="80"/>
        <v>7447</v>
      </c>
      <c r="U150" s="47">
        <f t="shared" si="80"/>
        <v>15</v>
      </c>
      <c r="V150" s="47">
        <f t="shared" si="80"/>
        <v>7462</v>
      </c>
      <c r="W150" s="262">
        <f t="shared" si="74"/>
        <v>29.593608891976373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95"/>
      <c r="J151" s="70"/>
      <c r="L151" s="4" t="s">
        <v>27</v>
      </c>
      <c r="M151" s="29">
        <f aca="true" t="shared" si="81" ref="M151:N153">+M99+M125</f>
        <v>958</v>
      </c>
      <c r="N151" s="36">
        <f t="shared" si="81"/>
        <v>685</v>
      </c>
      <c r="O151" s="33">
        <f>M151+N151</f>
        <v>1643</v>
      </c>
      <c r="P151" s="34">
        <f aca="true" t="shared" si="82" ref="P151:V153">+P99+P125</f>
        <v>200</v>
      </c>
      <c r="Q151" s="35">
        <f t="shared" si="82"/>
        <v>1843</v>
      </c>
      <c r="R151" s="29">
        <f t="shared" si="82"/>
        <v>1027</v>
      </c>
      <c r="S151" s="36">
        <f t="shared" si="82"/>
        <v>1368</v>
      </c>
      <c r="T151" s="51">
        <f t="shared" si="82"/>
        <v>2395</v>
      </c>
      <c r="U151" s="59">
        <f t="shared" si="82"/>
        <v>23</v>
      </c>
      <c r="V151" s="31">
        <f t="shared" si="82"/>
        <v>2418</v>
      </c>
      <c r="W151" s="256">
        <f t="shared" si="74"/>
        <v>31.199131850244164</v>
      </c>
    </row>
    <row r="152" spans="2:23" ht="12.75">
      <c r="B152" s="298"/>
      <c r="C152" s="299"/>
      <c r="D152" s="299"/>
      <c r="E152" s="233"/>
      <c r="F152" s="146"/>
      <c r="G152" s="146"/>
      <c r="H152" s="234"/>
      <c r="I152" s="295"/>
      <c r="J152" s="70"/>
      <c r="L152" s="4" t="s">
        <v>28</v>
      </c>
      <c r="M152" s="29">
        <f t="shared" si="81"/>
        <v>915</v>
      </c>
      <c r="N152" s="36">
        <f t="shared" si="81"/>
        <v>692</v>
      </c>
      <c r="O152" s="33">
        <f>+O100+O126</f>
        <v>1607</v>
      </c>
      <c r="P152" s="34">
        <f t="shared" si="82"/>
        <v>153</v>
      </c>
      <c r="Q152" s="35">
        <f t="shared" si="82"/>
        <v>1760</v>
      </c>
      <c r="R152" s="29">
        <f t="shared" si="82"/>
        <v>1098</v>
      </c>
      <c r="S152" s="36">
        <f t="shared" si="82"/>
        <v>1066</v>
      </c>
      <c r="T152" s="33">
        <f t="shared" si="82"/>
        <v>2164</v>
      </c>
      <c r="U152" s="34">
        <f t="shared" si="82"/>
        <v>56</v>
      </c>
      <c r="V152" s="31">
        <f t="shared" si="82"/>
        <v>2220</v>
      </c>
      <c r="W152" s="256">
        <f>IF(Q152=0,0,((V152/Q152)-1)*100)</f>
        <v>26.136363636363647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95"/>
      <c r="L153" s="4" t="s">
        <v>29</v>
      </c>
      <c r="M153" s="29">
        <f t="shared" si="81"/>
        <v>953</v>
      </c>
      <c r="N153" s="36">
        <f t="shared" si="81"/>
        <v>669</v>
      </c>
      <c r="O153" s="33">
        <f>+O101+O127</f>
        <v>1622</v>
      </c>
      <c r="P153" s="52">
        <f t="shared" si="82"/>
        <v>265</v>
      </c>
      <c r="Q153" s="35">
        <f t="shared" si="82"/>
        <v>1887</v>
      </c>
      <c r="R153" s="29">
        <f t="shared" si="82"/>
        <v>1102</v>
      </c>
      <c r="S153" s="36">
        <f t="shared" si="82"/>
        <v>1370</v>
      </c>
      <c r="T153" s="33">
        <f t="shared" si="82"/>
        <v>2472</v>
      </c>
      <c r="U153" s="52">
        <f t="shared" si="82"/>
        <v>93</v>
      </c>
      <c r="V153" s="31">
        <f t="shared" si="82"/>
        <v>2565</v>
      </c>
      <c r="W153" s="256">
        <f t="shared" si="74"/>
        <v>35.93004769475358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95"/>
      <c r="L154" s="39" t="s">
        <v>63</v>
      </c>
      <c r="M154" s="40">
        <f aca="true" t="shared" si="83" ref="M154:V154">+M151+M152+M153</f>
        <v>2826</v>
      </c>
      <c r="N154" s="41">
        <f t="shared" si="83"/>
        <v>2046</v>
      </c>
      <c r="O154" s="40">
        <f t="shared" si="83"/>
        <v>4872</v>
      </c>
      <c r="P154" s="40">
        <f t="shared" si="83"/>
        <v>618</v>
      </c>
      <c r="Q154" s="43">
        <f t="shared" si="83"/>
        <v>5490</v>
      </c>
      <c r="R154" s="40">
        <f t="shared" si="83"/>
        <v>3227</v>
      </c>
      <c r="S154" s="41">
        <f t="shared" si="83"/>
        <v>3804</v>
      </c>
      <c r="T154" s="40">
        <f t="shared" si="83"/>
        <v>7031</v>
      </c>
      <c r="U154" s="40">
        <f t="shared" si="83"/>
        <v>172</v>
      </c>
      <c r="V154" s="42">
        <f t="shared" si="83"/>
        <v>7203</v>
      </c>
      <c r="W154" s="257">
        <f t="shared" si="74"/>
        <v>31.202185792349724</v>
      </c>
    </row>
    <row r="155" spans="1:26" ht="14.25" thickBot="1" thickTop="1">
      <c r="A155" s="220"/>
      <c r="B155" s="232"/>
      <c r="C155" s="234"/>
      <c r="D155" s="234"/>
      <c r="E155" s="234"/>
      <c r="F155" s="234"/>
      <c r="G155" s="234"/>
      <c r="H155" s="234"/>
      <c r="I155" s="276"/>
      <c r="J155" s="220"/>
      <c r="L155" s="39" t="s">
        <v>66</v>
      </c>
      <c r="M155" s="40">
        <f aca="true" t="shared" si="84" ref="M155:V155">+M146+M150+M154</f>
        <v>9465</v>
      </c>
      <c r="N155" s="41">
        <f t="shared" si="84"/>
        <v>8974</v>
      </c>
      <c r="O155" s="40">
        <f t="shared" si="84"/>
        <v>18439</v>
      </c>
      <c r="P155" s="40">
        <f t="shared" si="84"/>
        <v>1618</v>
      </c>
      <c r="Q155" s="40">
        <f t="shared" si="84"/>
        <v>20057</v>
      </c>
      <c r="R155" s="40">
        <f t="shared" si="84"/>
        <v>10452</v>
      </c>
      <c r="S155" s="41">
        <f t="shared" si="84"/>
        <v>13144</v>
      </c>
      <c r="T155" s="40">
        <f t="shared" si="84"/>
        <v>23596</v>
      </c>
      <c r="U155" s="40">
        <f t="shared" si="84"/>
        <v>229</v>
      </c>
      <c r="V155" s="40">
        <f t="shared" si="84"/>
        <v>23825</v>
      </c>
      <c r="W155" s="257">
        <f t="shared" si="74"/>
        <v>18.786458593009915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95"/>
      <c r="L156" s="39" t="s">
        <v>9</v>
      </c>
      <c r="M156" s="40">
        <f aca="true" t="shared" si="85" ref="M156:V156">+M146+M150+M154+M142</f>
        <v>13566</v>
      </c>
      <c r="N156" s="41">
        <f t="shared" si="85"/>
        <v>14021</v>
      </c>
      <c r="O156" s="40">
        <f t="shared" si="85"/>
        <v>27587</v>
      </c>
      <c r="P156" s="40">
        <f t="shared" si="85"/>
        <v>2177</v>
      </c>
      <c r="Q156" s="40">
        <f t="shared" si="85"/>
        <v>29764</v>
      </c>
      <c r="R156" s="40">
        <f t="shared" si="85"/>
        <v>14286</v>
      </c>
      <c r="S156" s="41">
        <f t="shared" si="85"/>
        <v>17445</v>
      </c>
      <c r="T156" s="40">
        <f t="shared" si="85"/>
        <v>31731</v>
      </c>
      <c r="U156" s="40">
        <f t="shared" si="85"/>
        <v>396</v>
      </c>
      <c r="V156" s="40">
        <f t="shared" si="85"/>
        <v>32127</v>
      </c>
      <c r="W156" s="257">
        <f t="shared" si="74"/>
        <v>7.939121085875556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95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95"/>
      <c r="L158" s="336" t="s">
        <v>51</v>
      </c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</row>
    <row r="159" spans="2:23" ht="15.75">
      <c r="B159" s="70"/>
      <c r="C159" s="70"/>
      <c r="D159" s="70"/>
      <c r="E159" s="70"/>
      <c r="F159" s="70"/>
      <c r="G159" s="70"/>
      <c r="H159" s="70"/>
      <c r="I159" s="295"/>
      <c r="L159" s="337" t="s">
        <v>52</v>
      </c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95"/>
      <c r="W160" s="296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95"/>
      <c r="L161" s="3"/>
      <c r="M161" s="347" t="s">
        <v>67</v>
      </c>
      <c r="N161" s="348"/>
      <c r="O161" s="348"/>
      <c r="P161" s="348"/>
      <c r="Q161" s="349"/>
      <c r="R161" s="338" t="s">
        <v>68</v>
      </c>
      <c r="S161" s="339"/>
      <c r="T161" s="339"/>
      <c r="U161" s="339"/>
      <c r="V161" s="340"/>
      <c r="W161" s="292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95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93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95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94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95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79"/>
    </row>
    <row r="165" spans="2:23" ht="12.75">
      <c r="B165" s="70"/>
      <c r="C165" s="70"/>
      <c r="D165" s="70"/>
      <c r="E165" s="70"/>
      <c r="F165" s="70"/>
      <c r="G165" s="70"/>
      <c r="H165" s="70"/>
      <c r="I165" s="295"/>
      <c r="L165" s="4" t="s">
        <v>14</v>
      </c>
      <c r="M165" s="29">
        <v>0</v>
      </c>
      <c r="N165" s="36">
        <v>0</v>
      </c>
      <c r="O165" s="33"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v>0</v>
      </c>
      <c r="U165" s="34">
        <v>0</v>
      </c>
      <c r="V165" s="31">
        <f>T165+U165</f>
        <v>0</v>
      </c>
      <c r="W165" s="32">
        <f aca="true" t="shared" si="86" ref="W165:W18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95"/>
      <c r="L166" s="4" t="s">
        <v>15</v>
      </c>
      <c r="M166" s="29">
        <v>0</v>
      </c>
      <c r="N166" s="36">
        <v>0</v>
      </c>
      <c r="O166" s="33"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v>0</v>
      </c>
      <c r="U166" s="34">
        <v>0</v>
      </c>
      <c r="V166" s="31">
        <f>T166+U166</f>
        <v>0</v>
      </c>
      <c r="W166" s="32">
        <f t="shared" si="86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95"/>
      <c r="L167" s="12" t="s">
        <v>16</v>
      </c>
      <c r="M167" s="29">
        <v>0</v>
      </c>
      <c r="N167" s="36">
        <v>0</v>
      </c>
      <c r="O167" s="33">
        <f>SUM(M167:N167)</f>
        <v>0</v>
      </c>
      <c r="P167" s="34">
        <v>0</v>
      </c>
      <c r="Q167" s="35">
        <f>O167+P167</f>
        <v>0</v>
      </c>
      <c r="R167" s="29">
        <v>0</v>
      </c>
      <c r="S167" s="36">
        <v>0</v>
      </c>
      <c r="T167" s="33">
        <f>SUM(R167:S167)</f>
        <v>0</v>
      </c>
      <c r="U167" s="34">
        <v>0</v>
      </c>
      <c r="V167" s="31">
        <f>T167+U167</f>
        <v>0</v>
      </c>
      <c r="W167" s="32">
        <f t="shared" si="86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95"/>
      <c r="L168" s="39" t="s">
        <v>58</v>
      </c>
      <c r="M168" s="40">
        <f>+M165+M166+M167</f>
        <v>0</v>
      </c>
      <c r="N168" s="41">
        <f>+N165+N166+N167</f>
        <v>0</v>
      </c>
      <c r="O168" s="40">
        <f>+O165+O166+O167</f>
        <v>0</v>
      </c>
      <c r="P168" s="40">
        <f>+P165+P166+P167</f>
        <v>0</v>
      </c>
      <c r="Q168" s="40">
        <f aca="true" t="shared" si="87" ref="Q168:V168">+Q165+Q166+Q167</f>
        <v>0</v>
      </c>
      <c r="R168" s="40">
        <f t="shared" si="87"/>
        <v>0</v>
      </c>
      <c r="S168" s="41">
        <f t="shared" si="87"/>
        <v>0</v>
      </c>
      <c r="T168" s="40">
        <f t="shared" si="87"/>
        <v>0</v>
      </c>
      <c r="U168" s="40">
        <f t="shared" si="87"/>
        <v>0</v>
      </c>
      <c r="V168" s="40">
        <f t="shared" si="87"/>
        <v>0</v>
      </c>
      <c r="W168" s="54">
        <f t="shared" si="86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95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>O169+P169</f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32">
        <f t="shared" si="86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95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T170+U170</f>
        <v>0</v>
      </c>
      <c r="W170" s="32">
        <f t="shared" si="86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95"/>
      <c r="L171" s="4" t="s">
        <v>20</v>
      </c>
      <c r="M171" s="29">
        <v>0</v>
      </c>
      <c r="N171" s="36">
        <v>0</v>
      </c>
      <c r="O171" s="33">
        <f>+N171+M171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+S171+R171</f>
        <v>0</v>
      </c>
      <c r="U171" s="34">
        <v>0</v>
      </c>
      <c r="V171" s="31">
        <f>+U171+T171</f>
        <v>0</v>
      </c>
      <c r="W171" s="32">
        <f t="shared" si="86"/>
        <v>0</v>
      </c>
    </row>
    <row r="172" spans="1:23" ht="14.25" thickBot="1" thickTop="1">
      <c r="A172" s="70"/>
      <c r="B172" s="232"/>
      <c r="C172" s="234"/>
      <c r="D172" s="234"/>
      <c r="E172" s="234"/>
      <c r="F172" s="234"/>
      <c r="G172" s="234"/>
      <c r="H172" s="234"/>
      <c r="I172" s="276"/>
      <c r="J172" s="70"/>
      <c r="L172" s="44" t="s">
        <v>21</v>
      </c>
      <c r="M172" s="40">
        <f aca="true" t="shared" si="88" ref="M172:V172">M171+M169+M170</f>
        <v>0</v>
      </c>
      <c r="N172" s="41">
        <f t="shared" si="88"/>
        <v>0</v>
      </c>
      <c r="O172" s="40">
        <f t="shared" si="88"/>
        <v>0</v>
      </c>
      <c r="P172" s="40">
        <f t="shared" si="88"/>
        <v>0</v>
      </c>
      <c r="Q172" s="40">
        <f t="shared" si="88"/>
        <v>0</v>
      </c>
      <c r="R172" s="40">
        <f t="shared" si="88"/>
        <v>0</v>
      </c>
      <c r="S172" s="41">
        <f t="shared" si="88"/>
        <v>0</v>
      </c>
      <c r="T172" s="40">
        <f t="shared" si="88"/>
        <v>0</v>
      </c>
      <c r="U172" s="40">
        <f t="shared" si="88"/>
        <v>0</v>
      </c>
      <c r="V172" s="40">
        <f t="shared" si="88"/>
        <v>0</v>
      </c>
      <c r="W172" s="54">
        <f t="shared" si="86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95"/>
      <c r="L173" s="4" t="s">
        <v>22</v>
      </c>
      <c r="M173" s="29">
        <v>0</v>
      </c>
      <c r="N173" s="36">
        <v>0</v>
      </c>
      <c r="O173" s="33">
        <f>SUM(M173:N173)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SUM(R173:S173)</f>
        <v>0</v>
      </c>
      <c r="U173" s="34">
        <v>0</v>
      </c>
      <c r="V173" s="31">
        <f>SUM(T173:U173)</f>
        <v>0</v>
      </c>
      <c r="W173" s="207">
        <f t="shared" si="86"/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95"/>
      <c r="L174" s="4" t="s">
        <v>23</v>
      </c>
      <c r="M174" s="29">
        <v>0</v>
      </c>
      <c r="N174" s="36">
        <v>0</v>
      </c>
      <c r="O174" s="33">
        <f>SUM(M174:N174)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f>SUM(R174:S174)</f>
        <v>0</v>
      </c>
      <c r="U174" s="34">
        <v>0</v>
      </c>
      <c r="V174" s="31">
        <f>SUM(T174:U174)</f>
        <v>0</v>
      </c>
      <c r="W174" s="32">
        <f t="shared" si="86"/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95"/>
      <c r="L175" s="4" t="s">
        <v>24</v>
      </c>
      <c r="M175" s="29">
        <v>0</v>
      </c>
      <c r="N175" s="36">
        <v>0</v>
      </c>
      <c r="O175" s="51"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v>0</v>
      </c>
      <c r="U175" s="52">
        <v>0</v>
      </c>
      <c r="V175" s="31">
        <f>SUM(T175:U175)</f>
        <v>0</v>
      </c>
      <c r="W175" s="32">
        <f t="shared" si="86"/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95"/>
      <c r="L176" s="44" t="s">
        <v>65</v>
      </c>
      <c r="M176" s="40">
        <f aca="true" t="shared" si="89" ref="M176:V176">M175+M173+M174</f>
        <v>0</v>
      </c>
      <c r="N176" s="41">
        <f t="shared" si="89"/>
        <v>0</v>
      </c>
      <c r="O176" s="40">
        <f t="shared" si="89"/>
        <v>0</v>
      </c>
      <c r="P176" s="40">
        <f t="shared" si="89"/>
        <v>0</v>
      </c>
      <c r="Q176" s="41">
        <f t="shared" si="89"/>
        <v>0</v>
      </c>
      <c r="R176" s="40">
        <f t="shared" si="89"/>
        <v>0</v>
      </c>
      <c r="S176" s="41">
        <f t="shared" si="89"/>
        <v>0</v>
      </c>
      <c r="T176" s="40">
        <f t="shared" si="89"/>
        <v>0</v>
      </c>
      <c r="U176" s="40">
        <f t="shared" si="89"/>
        <v>0</v>
      </c>
      <c r="V176" s="42">
        <f t="shared" si="89"/>
        <v>0</v>
      </c>
      <c r="W176" s="54">
        <f t="shared" si="86"/>
        <v>0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95"/>
      <c r="L177" s="4" t="s">
        <v>27</v>
      </c>
      <c r="M177" s="29">
        <v>0</v>
      </c>
      <c r="N177" s="36">
        <v>0</v>
      </c>
      <c r="O177" s="51">
        <f>SUM(M177:N177)</f>
        <v>0</v>
      </c>
      <c r="P177" s="59">
        <v>0</v>
      </c>
      <c r="Q177" s="35">
        <f>O177+P177</f>
        <v>0</v>
      </c>
      <c r="R177" s="29">
        <v>0</v>
      </c>
      <c r="S177" s="36">
        <v>0</v>
      </c>
      <c r="T177" s="51">
        <f>SUM(R177:S177)</f>
        <v>0</v>
      </c>
      <c r="U177" s="59">
        <v>0</v>
      </c>
      <c r="V177" s="31">
        <f>T177+U177</f>
        <v>0</v>
      </c>
      <c r="W177" s="32">
        <f t="shared" si="86"/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95"/>
      <c r="L178" s="4" t="s">
        <v>28</v>
      </c>
      <c r="M178" s="29">
        <v>0</v>
      </c>
      <c r="N178" s="36">
        <v>0</v>
      </c>
      <c r="O178" s="51">
        <f>SUM(M178:N178)</f>
        <v>0</v>
      </c>
      <c r="P178" s="34">
        <v>0</v>
      </c>
      <c r="Q178" s="35">
        <f>O178+P178</f>
        <v>0</v>
      </c>
      <c r="R178" s="29">
        <v>0</v>
      </c>
      <c r="S178" s="36">
        <v>0</v>
      </c>
      <c r="T178" s="51">
        <f>SUM(R178:S178)</f>
        <v>0</v>
      </c>
      <c r="U178" s="34">
        <v>0</v>
      </c>
      <c r="V178" s="51">
        <f>T178+U178</f>
        <v>0</v>
      </c>
      <c r="W178" s="32">
        <f>IF(Q178=0,0,((V178/Q178)-1)*100)</f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95"/>
      <c r="L179" s="4" t="s">
        <v>29</v>
      </c>
      <c r="M179" s="29">
        <v>0</v>
      </c>
      <c r="N179" s="36">
        <v>0</v>
      </c>
      <c r="O179" s="33">
        <f>SUM(M179:N179)</f>
        <v>0</v>
      </c>
      <c r="P179" s="52">
        <v>0</v>
      </c>
      <c r="Q179" s="35">
        <f>O179+P179</f>
        <v>0</v>
      </c>
      <c r="R179" s="29">
        <v>0</v>
      </c>
      <c r="S179" s="36">
        <v>0</v>
      </c>
      <c r="T179" s="33">
        <f>SUM(R179:S179)</f>
        <v>0</v>
      </c>
      <c r="U179" s="52">
        <v>0</v>
      </c>
      <c r="V179" s="31">
        <f>T179+U179</f>
        <v>0</v>
      </c>
      <c r="W179" s="32">
        <f t="shared" si="86"/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95"/>
      <c r="L180" s="39" t="s">
        <v>63</v>
      </c>
      <c r="M180" s="40">
        <f aca="true" t="shared" si="90" ref="M180:V180">+M177+M178+M179</f>
        <v>0</v>
      </c>
      <c r="N180" s="40">
        <f t="shared" si="90"/>
        <v>0</v>
      </c>
      <c r="O180" s="40">
        <f t="shared" si="90"/>
        <v>0</v>
      </c>
      <c r="P180" s="40">
        <f t="shared" si="90"/>
        <v>0</v>
      </c>
      <c r="Q180" s="40">
        <f t="shared" si="90"/>
        <v>0</v>
      </c>
      <c r="R180" s="40">
        <f t="shared" si="90"/>
        <v>0</v>
      </c>
      <c r="S180" s="41">
        <f t="shared" si="90"/>
        <v>0</v>
      </c>
      <c r="T180" s="40">
        <f t="shared" si="90"/>
        <v>0</v>
      </c>
      <c r="U180" s="40">
        <f t="shared" si="90"/>
        <v>0</v>
      </c>
      <c r="V180" s="40">
        <f t="shared" si="90"/>
        <v>0</v>
      </c>
      <c r="W180" s="54">
        <f t="shared" si="86"/>
        <v>0</v>
      </c>
    </row>
    <row r="181" spans="1:23" ht="14.25" thickBot="1" thickTop="1">
      <c r="A181" s="220"/>
      <c r="B181" s="232"/>
      <c r="C181" s="234"/>
      <c r="D181" s="234"/>
      <c r="E181" s="234"/>
      <c r="F181" s="234"/>
      <c r="G181" s="234"/>
      <c r="H181" s="234"/>
      <c r="I181" s="276"/>
      <c r="J181" s="220"/>
      <c r="L181" s="39" t="s">
        <v>66</v>
      </c>
      <c r="M181" s="40">
        <f aca="true" t="shared" si="91" ref="M181:V181">+M172+M176+M180</f>
        <v>0</v>
      </c>
      <c r="N181" s="41">
        <f t="shared" si="91"/>
        <v>0</v>
      </c>
      <c r="O181" s="40">
        <f t="shared" si="91"/>
        <v>0</v>
      </c>
      <c r="P181" s="40">
        <f t="shared" si="91"/>
        <v>0</v>
      </c>
      <c r="Q181" s="40">
        <f t="shared" si="91"/>
        <v>0</v>
      </c>
      <c r="R181" s="40">
        <f t="shared" si="91"/>
        <v>0</v>
      </c>
      <c r="S181" s="41">
        <f t="shared" si="91"/>
        <v>0</v>
      </c>
      <c r="T181" s="40">
        <f t="shared" si="91"/>
        <v>0</v>
      </c>
      <c r="U181" s="40">
        <f t="shared" si="91"/>
        <v>0</v>
      </c>
      <c r="V181" s="40">
        <f t="shared" si="91"/>
        <v>0</v>
      </c>
      <c r="W181" s="54">
        <f t="shared" si="86"/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95"/>
      <c r="L182" s="39" t="s">
        <v>9</v>
      </c>
      <c r="M182" s="40">
        <f aca="true" t="shared" si="92" ref="M182:V182">+M172+M176+M180+M168</f>
        <v>0</v>
      </c>
      <c r="N182" s="41">
        <f t="shared" si="92"/>
        <v>0</v>
      </c>
      <c r="O182" s="40">
        <f t="shared" si="92"/>
        <v>0</v>
      </c>
      <c r="P182" s="40">
        <f t="shared" si="92"/>
        <v>0</v>
      </c>
      <c r="Q182" s="40">
        <f t="shared" si="92"/>
        <v>0</v>
      </c>
      <c r="R182" s="40">
        <f t="shared" si="92"/>
        <v>0</v>
      </c>
      <c r="S182" s="41">
        <f t="shared" si="92"/>
        <v>0</v>
      </c>
      <c r="T182" s="40">
        <f t="shared" si="92"/>
        <v>0</v>
      </c>
      <c r="U182" s="40">
        <f t="shared" si="92"/>
        <v>0</v>
      </c>
      <c r="V182" s="40">
        <f t="shared" si="92"/>
        <v>0</v>
      </c>
      <c r="W182" s="54">
        <f t="shared" si="86"/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95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95"/>
      <c r="L184" s="336" t="s">
        <v>53</v>
      </c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</row>
    <row r="185" spans="2:23" ht="15.75">
      <c r="B185" s="70"/>
      <c r="C185" s="70"/>
      <c r="D185" s="70"/>
      <c r="E185" s="70"/>
      <c r="F185" s="70"/>
      <c r="G185" s="70"/>
      <c r="H185" s="70"/>
      <c r="I185" s="295"/>
      <c r="L185" s="337" t="s">
        <v>54</v>
      </c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95"/>
      <c r="W186" s="296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95"/>
      <c r="L187" s="3"/>
      <c r="M187" s="347" t="s">
        <v>67</v>
      </c>
      <c r="N187" s="348"/>
      <c r="O187" s="348"/>
      <c r="P187" s="348"/>
      <c r="Q187" s="349"/>
      <c r="R187" s="338" t="s">
        <v>68</v>
      </c>
      <c r="S187" s="339"/>
      <c r="T187" s="339"/>
      <c r="U187" s="339"/>
      <c r="V187" s="340"/>
      <c r="W187" s="292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95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93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95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94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95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79"/>
    </row>
    <row r="191" spans="2:23" ht="12.75">
      <c r="B191" s="70"/>
      <c r="C191" s="70"/>
      <c r="D191" s="70"/>
      <c r="E191" s="70"/>
      <c r="F191" s="70"/>
      <c r="G191" s="70"/>
      <c r="H191" s="70"/>
      <c r="I191" s="295"/>
      <c r="L191" s="4" t="s">
        <v>14</v>
      </c>
      <c r="M191" s="29">
        <v>0</v>
      </c>
      <c r="N191" s="36">
        <v>0</v>
      </c>
      <c r="O191" s="33">
        <f>M191+N191</f>
        <v>0</v>
      </c>
      <c r="P191" s="34">
        <v>0</v>
      </c>
      <c r="Q191" s="35">
        <f>O191+P191</f>
        <v>0</v>
      </c>
      <c r="R191" s="29">
        <v>0</v>
      </c>
      <c r="S191" s="36">
        <v>0</v>
      </c>
      <c r="T191" s="33">
        <f>R191+S191</f>
        <v>0</v>
      </c>
      <c r="U191" s="34">
        <v>0</v>
      </c>
      <c r="V191" s="31">
        <f>T191+U191</f>
        <v>0</v>
      </c>
      <c r="W191" s="32">
        <f aca="true" t="shared" si="93" ref="W191:W20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95"/>
      <c r="L192" s="4" t="s">
        <v>15</v>
      </c>
      <c r="M192" s="29">
        <v>0</v>
      </c>
      <c r="N192" s="36">
        <v>0</v>
      </c>
      <c r="O192" s="33">
        <f>M192+N192</f>
        <v>0</v>
      </c>
      <c r="P192" s="34">
        <v>0</v>
      </c>
      <c r="Q192" s="35">
        <f>O192+P192</f>
        <v>0</v>
      </c>
      <c r="R192" s="29">
        <v>0</v>
      </c>
      <c r="S192" s="36">
        <v>0</v>
      </c>
      <c r="T192" s="33">
        <f>R192+S192</f>
        <v>0</v>
      </c>
      <c r="U192" s="34">
        <v>0</v>
      </c>
      <c r="V192" s="31">
        <f>T192+U192</f>
        <v>0</v>
      </c>
      <c r="W192" s="32">
        <f t="shared" si="93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95"/>
      <c r="L193" s="12" t="s">
        <v>16</v>
      </c>
      <c r="M193" s="29">
        <v>0</v>
      </c>
      <c r="N193" s="36">
        <v>0</v>
      </c>
      <c r="O193" s="33">
        <f>M193+N193</f>
        <v>0</v>
      </c>
      <c r="P193" s="34">
        <v>0</v>
      </c>
      <c r="Q193" s="35">
        <f>O193+P193</f>
        <v>0</v>
      </c>
      <c r="R193" s="29">
        <v>0</v>
      </c>
      <c r="S193" s="36">
        <v>0</v>
      </c>
      <c r="T193" s="33">
        <f>R193+S193</f>
        <v>0</v>
      </c>
      <c r="U193" s="34">
        <v>0</v>
      </c>
      <c r="V193" s="31">
        <f>T193+U193</f>
        <v>0</v>
      </c>
      <c r="W193" s="32">
        <f t="shared" si="93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95"/>
      <c r="L194" s="39" t="s">
        <v>58</v>
      </c>
      <c r="M194" s="40">
        <f>+M191+M192+M193</f>
        <v>0</v>
      </c>
      <c r="N194" s="41">
        <f>+N191+N192+N193</f>
        <v>0</v>
      </c>
      <c r="O194" s="40">
        <f>+O191+O192+O193</f>
        <v>0</v>
      </c>
      <c r="P194" s="40">
        <f>+P191+P192+P193</f>
        <v>0</v>
      </c>
      <c r="Q194" s="40">
        <f aca="true" t="shared" si="94" ref="Q194:V194">+Q191+Q192+Q193</f>
        <v>0</v>
      </c>
      <c r="R194" s="40">
        <f t="shared" si="94"/>
        <v>0</v>
      </c>
      <c r="S194" s="41">
        <f t="shared" si="94"/>
        <v>0</v>
      </c>
      <c r="T194" s="40">
        <f t="shared" si="94"/>
        <v>0</v>
      </c>
      <c r="U194" s="40">
        <f t="shared" si="94"/>
        <v>0</v>
      </c>
      <c r="V194" s="40">
        <f t="shared" si="94"/>
        <v>0</v>
      </c>
      <c r="W194" s="54">
        <f t="shared" si="93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95"/>
      <c r="L195" s="4" t="s">
        <v>18</v>
      </c>
      <c r="M195" s="29">
        <v>0</v>
      </c>
      <c r="N195" s="36">
        <v>0</v>
      </c>
      <c r="O195" s="33">
        <f>M195+N195</f>
        <v>0</v>
      </c>
      <c r="P195" s="34">
        <v>0</v>
      </c>
      <c r="Q195" s="35">
        <f>O195+P195</f>
        <v>0</v>
      </c>
      <c r="R195" s="29">
        <v>0</v>
      </c>
      <c r="S195" s="36">
        <v>0</v>
      </c>
      <c r="T195" s="33">
        <f>R195+S195</f>
        <v>0</v>
      </c>
      <c r="U195" s="34">
        <v>0</v>
      </c>
      <c r="V195" s="31">
        <f>T195+U195</f>
        <v>0</v>
      </c>
      <c r="W195" s="32">
        <f t="shared" si="93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95"/>
      <c r="L196" s="4" t="s">
        <v>19</v>
      </c>
      <c r="M196" s="29">
        <v>0</v>
      </c>
      <c r="N196" s="36">
        <v>0</v>
      </c>
      <c r="O196" s="33">
        <f>M196+N196</f>
        <v>0</v>
      </c>
      <c r="P196" s="34">
        <v>0</v>
      </c>
      <c r="Q196" s="35">
        <f>O196+P196</f>
        <v>0</v>
      </c>
      <c r="R196" s="29">
        <v>0</v>
      </c>
      <c r="S196" s="36">
        <v>0</v>
      </c>
      <c r="T196" s="33">
        <f>R196+S196</f>
        <v>0</v>
      </c>
      <c r="U196" s="34">
        <v>0</v>
      </c>
      <c r="V196" s="31">
        <f>T196+U196</f>
        <v>0</v>
      </c>
      <c r="W196" s="32">
        <f>IF(Q196=0,0,((V196/Q196)-1)*100)</f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95"/>
      <c r="L197" s="4" t="s">
        <v>20</v>
      </c>
      <c r="M197" s="29">
        <v>0</v>
      </c>
      <c r="N197" s="36">
        <v>0</v>
      </c>
      <c r="O197" s="33">
        <f>M197+N197</f>
        <v>0</v>
      </c>
      <c r="P197" s="34">
        <v>0</v>
      </c>
      <c r="Q197" s="35">
        <f>O197+P197</f>
        <v>0</v>
      </c>
      <c r="R197" s="29">
        <v>0</v>
      </c>
      <c r="S197" s="36">
        <v>0</v>
      </c>
      <c r="T197" s="33">
        <f>R197+S197</f>
        <v>0</v>
      </c>
      <c r="U197" s="34">
        <v>0</v>
      </c>
      <c r="V197" s="31">
        <f>T197+U197</f>
        <v>0</v>
      </c>
      <c r="W197" s="32">
        <f t="shared" si="93"/>
        <v>0</v>
      </c>
    </row>
    <row r="198" spans="1:23" ht="14.25" thickBot="1" thickTop="1">
      <c r="A198" s="70"/>
      <c r="B198" s="232"/>
      <c r="C198" s="234"/>
      <c r="D198" s="234"/>
      <c r="E198" s="234"/>
      <c r="F198" s="234"/>
      <c r="G198" s="234"/>
      <c r="H198" s="234"/>
      <c r="I198" s="276"/>
      <c r="J198" s="70"/>
      <c r="L198" s="44" t="s">
        <v>21</v>
      </c>
      <c r="M198" s="40">
        <f aca="true" t="shared" si="95" ref="M198:V198">M197+M195+M196</f>
        <v>0</v>
      </c>
      <c r="N198" s="41">
        <f t="shared" si="95"/>
        <v>0</v>
      </c>
      <c r="O198" s="40">
        <f t="shared" si="95"/>
        <v>0</v>
      </c>
      <c r="P198" s="40">
        <f t="shared" si="95"/>
        <v>0</v>
      </c>
      <c r="Q198" s="40">
        <f t="shared" si="95"/>
        <v>0</v>
      </c>
      <c r="R198" s="40">
        <f t="shared" si="95"/>
        <v>0</v>
      </c>
      <c r="S198" s="41">
        <f t="shared" si="95"/>
        <v>0</v>
      </c>
      <c r="T198" s="40">
        <f t="shared" si="95"/>
        <v>0</v>
      </c>
      <c r="U198" s="40">
        <f t="shared" si="95"/>
        <v>0</v>
      </c>
      <c r="V198" s="40">
        <f t="shared" si="95"/>
        <v>0</v>
      </c>
      <c r="W198" s="54">
        <f t="shared" si="93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95"/>
      <c r="L199" s="4" t="s">
        <v>22</v>
      </c>
      <c r="M199" s="29">
        <v>0</v>
      </c>
      <c r="N199" s="36">
        <v>0</v>
      </c>
      <c r="O199" s="33">
        <f>SUM(M199:N199)</f>
        <v>0</v>
      </c>
      <c r="P199" s="127">
        <v>0</v>
      </c>
      <c r="Q199" s="35">
        <f>O199+P199</f>
        <v>0</v>
      </c>
      <c r="R199" s="29">
        <v>0</v>
      </c>
      <c r="S199" s="36">
        <v>0</v>
      </c>
      <c r="T199" s="33">
        <f>SUM(R199:S199)</f>
        <v>0</v>
      </c>
      <c r="U199" s="127">
        <v>0</v>
      </c>
      <c r="V199" s="67">
        <f>SUM(T199:U199)</f>
        <v>0</v>
      </c>
      <c r="W199" s="244">
        <f t="shared" si="93"/>
        <v>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95"/>
      <c r="L200" s="4" t="s">
        <v>23</v>
      </c>
      <c r="M200" s="29">
        <v>0</v>
      </c>
      <c r="N200" s="187">
        <v>0</v>
      </c>
      <c r="O200" s="33">
        <f>SUM(M200:N200)</f>
        <v>0</v>
      </c>
      <c r="P200" s="320">
        <v>0</v>
      </c>
      <c r="Q200" s="35">
        <f>O200+P200</f>
        <v>0</v>
      </c>
      <c r="R200" s="29">
        <v>0</v>
      </c>
      <c r="S200" s="187">
        <v>0</v>
      </c>
      <c r="T200" s="33">
        <f>SUM(R200:S200)</f>
        <v>0</v>
      </c>
      <c r="U200" s="320">
        <v>0</v>
      </c>
      <c r="V200" s="323">
        <f>SUM(T200:U200)</f>
        <v>0</v>
      </c>
      <c r="W200" s="244">
        <f t="shared" si="93"/>
        <v>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95"/>
      <c r="L201" s="4" t="s">
        <v>24</v>
      </c>
      <c r="M201" s="188">
        <v>0</v>
      </c>
      <c r="N201" s="187">
        <v>0</v>
      </c>
      <c r="O201" s="189">
        <f>SUM(M201:N201)</f>
        <v>0</v>
      </c>
      <c r="P201" s="321">
        <v>0</v>
      </c>
      <c r="Q201" s="35">
        <f>O201+P201</f>
        <v>0</v>
      </c>
      <c r="R201" s="188">
        <v>0</v>
      </c>
      <c r="S201" s="187">
        <v>0</v>
      </c>
      <c r="T201" s="189">
        <f>SUM(R201:S201)</f>
        <v>0</v>
      </c>
      <c r="U201" s="321">
        <v>0</v>
      </c>
      <c r="V201" s="323">
        <f>SUM(T201:U201)</f>
        <v>0</v>
      </c>
      <c r="W201" s="244">
        <f t="shared" si="93"/>
        <v>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95"/>
      <c r="L202" s="44" t="s">
        <v>65</v>
      </c>
      <c r="M202" s="40">
        <f aca="true" t="shared" si="96" ref="M202:V202">M201+M199+M200</f>
        <v>0</v>
      </c>
      <c r="N202" s="41">
        <f t="shared" si="96"/>
        <v>0</v>
      </c>
      <c r="O202" s="40">
        <f t="shared" si="96"/>
        <v>0</v>
      </c>
      <c r="P202" s="40">
        <f t="shared" si="96"/>
        <v>0</v>
      </c>
      <c r="Q202" s="190">
        <f t="shared" si="96"/>
        <v>0</v>
      </c>
      <c r="R202" s="40">
        <f t="shared" si="96"/>
        <v>0</v>
      </c>
      <c r="S202" s="41">
        <f t="shared" si="96"/>
        <v>0</v>
      </c>
      <c r="T202" s="40">
        <f t="shared" si="96"/>
        <v>0</v>
      </c>
      <c r="U202" s="42">
        <f t="shared" si="96"/>
        <v>0</v>
      </c>
      <c r="V202" s="43">
        <f t="shared" si="96"/>
        <v>0</v>
      </c>
      <c r="W202" s="322">
        <f t="shared" si="93"/>
        <v>0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95"/>
      <c r="L203" s="4" t="s">
        <v>27</v>
      </c>
      <c r="M203" s="29">
        <v>0</v>
      </c>
      <c r="N203" s="36">
        <v>0</v>
      </c>
      <c r="O203" s="51">
        <f>SUM(M203:N203)</f>
        <v>0</v>
      </c>
      <c r="P203" s="59">
        <v>0</v>
      </c>
      <c r="Q203" s="35">
        <f>O203+P203</f>
        <v>0</v>
      </c>
      <c r="R203" s="29">
        <v>0</v>
      </c>
      <c r="S203" s="36">
        <v>0</v>
      </c>
      <c r="T203" s="51">
        <f>SUM(R203:S203)</f>
        <v>0</v>
      </c>
      <c r="U203" s="59">
        <v>0</v>
      </c>
      <c r="V203" s="31">
        <f>SUM(T203:U203)</f>
        <v>0</v>
      </c>
      <c r="W203" s="32">
        <f t="shared" si="93"/>
        <v>0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95"/>
      <c r="L204" s="4" t="s">
        <v>28</v>
      </c>
      <c r="M204" s="29">
        <v>0</v>
      </c>
      <c r="N204" s="36">
        <v>0</v>
      </c>
      <c r="O204" s="51">
        <f>SUM(M204:N204)</f>
        <v>0</v>
      </c>
      <c r="P204" s="34">
        <v>0</v>
      </c>
      <c r="Q204" s="35">
        <f>O204+P204</f>
        <v>0</v>
      </c>
      <c r="R204" s="29">
        <v>0</v>
      </c>
      <c r="S204" s="36">
        <v>0</v>
      </c>
      <c r="T204" s="51">
        <f>SUM(R204:S204)</f>
        <v>0</v>
      </c>
      <c r="U204" s="34">
        <v>0</v>
      </c>
      <c r="V204" s="31">
        <f>SUM(T204:U204)</f>
        <v>0</v>
      </c>
      <c r="W204" s="32">
        <f>IF(Q204=0,0,((V204/Q204)-1)*100)</f>
        <v>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95"/>
      <c r="L205" s="4" t="s">
        <v>29</v>
      </c>
      <c r="M205" s="29">
        <v>0</v>
      </c>
      <c r="N205" s="36">
        <v>0</v>
      </c>
      <c r="O205" s="33">
        <f>SUM(M205:N205)</f>
        <v>0</v>
      </c>
      <c r="P205" s="52">
        <v>0</v>
      </c>
      <c r="Q205" s="35">
        <f>O205+P205</f>
        <v>0</v>
      </c>
      <c r="R205" s="29">
        <v>0</v>
      </c>
      <c r="S205" s="36">
        <v>0</v>
      </c>
      <c r="T205" s="33">
        <f>SUM(R205:S205)</f>
        <v>0</v>
      </c>
      <c r="U205" s="52">
        <v>0</v>
      </c>
      <c r="V205" s="31">
        <f>SUM(T205:U205)</f>
        <v>0</v>
      </c>
      <c r="W205" s="32">
        <f t="shared" si="93"/>
        <v>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95"/>
      <c r="L206" s="39" t="s">
        <v>63</v>
      </c>
      <c r="M206" s="40">
        <f aca="true" t="shared" si="97" ref="M206:V206">+M203+M204+M205</f>
        <v>0</v>
      </c>
      <c r="N206" s="41">
        <f t="shared" si="97"/>
        <v>0</v>
      </c>
      <c r="O206" s="40">
        <f t="shared" si="97"/>
        <v>0</v>
      </c>
      <c r="P206" s="40">
        <f t="shared" si="97"/>
        <v>0</v>
      </c>
      <c r="Q206" s="43">
        <f t="shared" si="97"/>
        <v>0</v>
      </c>
      <c r="R206" s="40">
        <f t="shared" si="97"/>
        <v>0</v>
      </c>
      <c r="S206" s="41">
        <f t="shared" si="97"/>
        <v>0</v>
      </c>
      <c r="T206" s="40">
        <f t="shared" si="97"/>
        <v>0</v>
      </c>
      <c r="U206" s="40">
        <f t="shared" si="97"/>
        <v>0</v>
      </c>
      <c r="V206" s="42">
        <f t="shared" si="97"/>
        <v>0</v>
      </c>
      <c r="W206" s="54">
        <f t="shared" si="93"/>
        <v>0</v>
      </c>
    </row>
    <row r="207" spans="1:23" ht="14.25" thickBot="1" thickTop="1">
      <c r="A207" s="220"/>
      <c r="B207" s="232"/>
      <c r="C207" s="234"/>
      <c r="D207" s="234"/>
      <c r="E207" s="234"/>
      <c r="F207" s="234"/>
      <c r="G207" s="234"/>
      <c r="H207" s="234"/>
      <c r="I207" s="276"/>
      <c r="J207" s="220"/>
      <c r="L207" s="39" t="s">
        <v>66</v>
      </c>
      <c r="M207" s="40">
        <f aca="true" t="shared" si="98" ref="M207:V207">+M198+M202+M206</f>
        <v>0</v>
      </c>
      <c r="N207" s="41">
        <f t="shared" si="98"/>
        <v>0</v>
      </c>
      <c r="O207" s="40">
        <f t="shared" si="98"/>
        <v>0</v>
      </c>
      <c r="P207" s="40">
        <f t="shared" si="98"/>
        <v>0</v>
      </c>
      <c r="Q207" s="40">
        <f t="shared" si="98"/>
        <v>0</v>
      </c>
      <c r="R207" s="40">
        <f t="shared" si="98"/>
        <v>0</v>
      </c>
      <c r="S207" s="41">
        <f t="shared" si="98"/>
        <v>0</v>
      </c>
      <c r="T207" s="40">
        <f t="shared" si="98"/>
        <v>0</v>
      </c>
      <c r="U207" s="40">
        <f t="shared" si="98"/>
        <v>0</v>
      </c>
      <c r="V207" s="40">
        <f t="shared" si="98"/>
        <v>0</v>
      </c>
      <c r="W207" s="54">
        <f t="shared" si="93"/>
        <v>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95"/>
      <c r="L208" s="39" t="s">
        <v>9</v>
      </c>
      <c r="M208" s="40">
        <f aca="true" t="shared" si="99" ref="M208:V208">+M198+M202+M206+M194</f>
        <v>0</v>
      </c>
      <c r="N208" s="41">
        <f t="shared" si="99"/>
        <v>0</v>
      </c>
      <c r="O208" s="40">
        <f t="shared" si="99"/>
        <v>0</v>
      </c>
      <c r="P208" s="40">
        <f t="shared" si="99"/>
        <v>0</v>
      </c>
      <c r="Q208" s="40">
        <f t="shared" si="99"/>
        <v>0</v>
      </c>
      <c r="R208" s="40">
        <f t="shared" si="99"/>
        <v>0</v>
      </c>
      <c r="S208" s="41">
        <f t="shared" si="99"/>
        <v>0</v>
      </c>
      <c r="T208" s="40">
        <f t="shared" si="99"/>
        <v>0</v>
      </c>
      <c r="U208" s="40">
        <f t="shared" si="99"/>
        <v>0</v>
      </c>
      <c r="V208" s="40">
        <f t="shared" si="99"/>
        <v>0</v>
      </c>
      <c r="W208" s="54">
        <f t="shared" si="93"/>
        <v>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95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95"/>
      <c r="L210" s="336" t="s">
        <v>55</v>
      </c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</row>
    <row r="211" spans="2:23" ht="15.75">
      <c r="B211" s="70"/>
      <c r="C211" s="70"/>
      <c r="D211" s="70"/>
      <c r="E211" s="70"/>
      <c r="F211" s="70"/>
      <c r="G211" s="70"/>
      <c r="H211" s="70"/>
      <c r="I211" s="295"/>
      <c r="L211" s="337" t="s">
        <v>62</v>
      </c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95"/>
      <c r="W212" s="296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95"/>
      <c r="L213" s="3"/>
      <c r="M213" s="347" t="s">
        <v>67</v>
      </c>
      <c r="N213" s="348"/>
      <c r="O213" s="348"/>
      <c r="P213" s="348"/>
      <c r="Q213" s="349"/>
      <c r="R213" s="338" t="s">
        <v>68</v>
      </c>
      <c r="S213" s="339"/>
      <c r="T213" s="339"/>
      <c r="U213" s="339"/>
      <c r="V213" s="340"/>
      <c r="W213" s="292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95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93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95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94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95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79"/>
    </row>
    <row r="217" spans="2:23" ht="12.75">
      <c r="B217" s="70"/>
      <c r="C217" s="70"/>
      <c r="D217" s="70"/>
      <c r="E217" s="70"/>
      <c r="F217" s="70"/>
      <c r="G217" s="70"/>
      <c r="H217" s="70"/>
      <c r="I217" s="295"/>
      <c r="L217" s="4" t="s">
        <v>14</v>
      </c>
      <c r="M217" s="29">
        <f aca="true" t="shared" si="100" ref="M217:V217">+M165+M191</f>
        <v>0</v>
      </c>
      <c r="N217" s="36">
        <f t="shared" si="100"/>
        <v>0</v>
      </c>
      <c r="O217" s="33">
        <f t="shared" si="100"/>
        <v>0</v>
      </c>
      <c r="P217" s="34">
        <f t="shared" si="100"/>
        <v>0</v>
      </c>
      <c r="Q217" s="35">
        <f t="shared" si="100"/>
        <v>0</v>
      </c>
      <c r="R217" s="29">
        <f t="shared" si="100"/>
        <v>0</v>
      </c>
      <c r="S217" s="36">
        <f t="shared" si="100"/>
        <v>0</v>
      </c>
      <c r="T217" s="33">
        <f t="shared" si="100"/>
        <v>0</v>
      </c>
      <c r="U217" s="34">
        <f t="shared" si="100"/>
        <v>0</v>
      </c>
      <c r="V217" s="31">
        <f t="shared" si="100"/>
        <v>0</v>
      </c>
      <c r="W217" s="32">
        <f aca="true" t="shared" si="101" ref="W217:W234">IF(Q217=0,0,((V217/Q217)-1)*100)</f>
        <v>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95"/>
      <c r="L218" s="4" t="s">
        <v>15</v>
      </c>
      <c r="M218" s="29">
        <f>+M192+M166</f>
        <v>0</v>
      </c>
      <c r="N218" s="36">
        <f>+N192+N166</f>
        <v>0</v>
      </c>
      <c r="O218" s="33">
        <f>+O192+O166</f>
        <v>0</v>
      </c>
      <c r="P218" s="34">
        <f>+P192+P166</f>
        <v>0</v>
      </c>
      <c r="Q218" s="35">
        <f>+Q192+Q166</f>
        <v>0</v>
      </c>
      <c r="R218" s="29">
        <f aca="true" t="shared" si="102" ref="R218:V219">+R166+R192</f>
        <v>0</v>
      </c>
      <c r="S218" s="36">
        <f t="shared" si="102"/>
        <v>0</v>
      </c>
      <c r="T218" s="33">
        <f t="shared" si="102"/>
        <v>0</v>
      </c>
      <c r="U218" s="34">
        <f t="shared" si="102"/>
        <v>0</v>
      </c>
      <c r="V218" s="31">
        <f t="shared" si="102"/>
        <v>0</v>
      </c>
      <c r="W218" s="32">
        <f t="shared" si="101"/>
        <v>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95"/>
      <c r="L219" s="12" t="s">
        <v>16</v>
      </c>
      <c r="M219" s="29">
        <f>+M167+M193</f>
        <v>0</v>
      </c>
      <c r="N219" s="36">
        <f>+N193+N167</f>
        <v>0</v>
      </c>
      <c r="O219" s="33">
        <f>+O193+O167</f>
        <v>0</v>
      </c>
      <c r="P219" s="34">
        <f>+P193+P167</f>
        <v>0</v>
      </c>
      <c r="Q219" s="35">
        <f>+Q193+Q167</f>
        <v>0</v>
      </c>
      <c r="R219" s="29">
        <f t="shared" si="102"/>
        <v>0</v>
      </c>
      <c r="S219" s="36">
        <f t="shared" si="102"/>
        <v>0</v>
      </c>
      <c r="T219" s="33">
        <f t="shared" si="102"/>
        <v>0</v>
      </c>
      <c r="U219" s="34">
        <f t="shared" si="102"/>
        <v>0</v>
      </c>
      <c r="V219" s="31">
        <f t="shared" si="102"/>
        <v>0</v>
      </c>
      <c r="W219" s="32">
        <f t="shared" si="101"/>
        <v>0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95"/>
      <c r="L220" s="39" t="s">
        <v>58</v>
      </c>
      <c r="M220" s="40">
        <f aca="true" t="shared" si="103" ref="M220:V220">+M217+M218+M219</f>
        <v>0</v>
      </c>
      <c r="N220" s="41">
        <f t="shared" si="103"/>
        <v>0</v>
      </c>
      <c r="O220" s="40">
        <f t="shared" si="103"/>
        <v>0</v>
      </c>
      <c r="P220" s="40">
        <f t="shared" si="103"/>
        <v>0</v>
      </c>
      <c r="Q220" s="40">
        <f t="shared" si="103"/>
        <v>0</v>
      </c>
      <c r="R220" s="40">
        <f t="shared" si="103"/>
        <v>0</v>
      </c>
      <c r="S220" s="41">
        <f t="shared" si="103"/>
        <v>0</v>
      </c>
      <c r="T220" s="40">
        <f t="shared" si="103"/>
        <v>0</v>
      </c>
      <c r="U220" s="40">
        <f t="shared" si="103"/>
        <v>0</v>
      </c>
      <c r="V220" s="40">
        <f t="shared" si="103"/>
        <v>0</v>
      </c>
      <c r="W220" s="54">
        <f t="shared" si="101"/>
        <v>0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95"/>
      <c r="L221" s="4" t="s">
        <v>18</v>
      </c>
      <c r="M221" s="29">
        <f aca="true" t="shared" si="104" ref="M221:V221">+M169+M195</f>
        <v>0</v>
      </c>
      <c r="N221" s="36">
        <f t="shared" si="104"/>
        <v>0</v>
      </c>
      <c r="O221" s="33">
        <f t="shared" si="104"/>
        <v>0</v>
      </c>
      <c r="P221" s="34">
        <f t="shared" si="104"/>
        <v>0</v>
      </c>
      <c r="Q221" s="35">
        <f t="shared" si="104"/>
        <v>0</v>
      </c>
      <c r="R221" s="29">
        <f t="shared" si="104"/>
        <v>0</v>
      </c>
      <c r="S221" s="36">
        <f t="shared" si="104"/>
        <v>0</v>
      </c>
      <c r="T221" s="33">
        <f t="shared" si="104"/>
        <v>0</v>
      </c>
      <c r="U221" s="34">
        <f t="shared" si="104"/>
        <v>0</v>
      </c>
      <c r="V221" s="31">
        <f t="shared" si="104"/>
        <v>0</v>
      </c>
      <c r="W221" s="32">
        <f t="shared" si="101"/>
        <v>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95"/>
      <c r="L222" s="4" t="s">
        <v>19</v>
      </c>
      <c r="M222" s="29">
        <f>+M196+M170</f>
        <v>0</v>
      </c>
      <c r="N222" s="36">
        <f>+N196+N170</f>
        <v>0</v>
      </c>
      <c r="O222" s="33">
        <f>+O196+O170</f>
        <v>0</v>
      </c>
      <c r="P222" s="34">
        <f>+P196+P170</f>
        <v>0</v>
      </c>
      <c r="Q222" s="35">
        <f>+Q196+Q170</f>
        <v>0</v>
      </c>
      <c r="R222" s="29">
        <f>+R170+R196</f>
        <v>0</v>
      </c>
      <c r="S222" s="36">
        <f>+S170+S196</f>
        <v>0</v>
      </c>
      <c r="T222" s="33">
        <f>+T196+T170</f>
        <v>0</v>
      </c>
      <c r="U222" s="34">
        <f>+U170+U196</f>
        <v>0</v>
      </c>
      <c r="V222" s="31">
        <f>+V196+V170</f>
        <v>0</v>
      </c>
      <c r="W222" s="32">
        <f>IF(Q222=0,0,((V222/Q222)-1)*100)</f>
        <v>0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95"/>
      <c r="L223" s="4" t="s">
        <v>20</v>
      </c>
      <c r="M223" s="29">
        <f>+M171+M197</f>
        <v>0</v>
      </c>
      <c r="N223" s="36">
        <f>+N171+N197</f>
        <v>0</v>
      </c>
      <c r="O223" s="33">
        <f>+O171+O197</f>
        <v>0</v>
      </c>
      <c r="P223" s="34">
        <f>+P171+P197</f>
        <v>0</v>
      </c>
      <c r="Q223" s="35">
        <f>+Q171+Q197</f>
        <v>0</v>
      </c>
      <c r="R223" s="29">
        <f>+R171+R197</f>
        <v>0</v>
      </c>
      <c r="S223" s="36">
        <f>+S171+S197</f>
        <v>0</v>
      </c>
      <c r="T223" s="33">
        <f>+T171+T197</f>
        <v>0</v>
      </c>
      <c r="U223" s="34">
        <f>+U171+U197</f>
        <v>0</v>
      </c>
      <c r="V223" s="31">
        <f>+V171+V197</f>
        <v>0</v>
      </c>
      <c r="W223" s="32">
        <f t="shared" si="101"/>
        <v>0</v>
      </c>
    </row>
    <row r="224" spans="1:23" ht="14.25" thickBot="1" thickTop="1">
      <c r="A224" s="70"/>
      <c r="B224" s="232"/>
      <c r="C224" s="234"/>
      <c r="D224" s="234"/>
      <c r="E224" s="234"/>
      <c r="F224" s="234"/>
      <c r="G224" s="234"/>
      <c r="H224" s="234"/>
      <c r="I224" s="276"/>
      <c r="J224" s="70"/>
      <c r="L224" s="44" t="s">
        <v>21</v>
      </c>
      <c r="M224" s="40">
        <f aca="true" t="shared" si="105" ref="M224:V224">M223+M221+M222</f>
        <v>0</v>
      </c>
      <c r="N224" s="41">
        <f t="shared" si="105"/>
        <v>0</v>
      </c>
      <c r="O224" s="40">
        <f t="shared" si="105"/>
        <v>0</v>
      </c>
      <c r="P224" s="40">
        <f t="shared" si="105"/>
        <v>0</v>
      </c>
      <c r="Q224" s="40">
        <f t="shared" si="105"/>
        <v>0</v>
      </c>
      <c r="R224" s="40">
        <f t="shared" si="105"/>
        <v>0</v>
      </c>
      <c r="S224" s="41">
        <f t="shared" si="105"/>
        <v>0</v>
      </c>
      <c r="T224" s="40">
        <f t="shared" si="105"/>
        <v>0</v>
      </c>
      <c r="U224" s="40">
        <f t="shared" si="105"/>
        <v>0</v>
      </c>
      <c r="V224" s="40">
        <f t="shared" si="105"/>
        <v>0</v>
      </c>
      <c r="W224" s="54">
        <f t="shared" si="101"/>
        <v>0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95"/>
      <c r="L225" s="4" t="s">
        <v>22</v>
      </c>
      <c r="M225" s="29">
        <f aca="true" t="shared" si="106" ref="M225:V225">+M173+M199</f>
        <v>0</v>
      </c>
      <c r="N225" s="36">
        <f t="shared" si="106"/>
        <v>0</v>
      </c>
      <c r="O225" s="33">
        <f t="shared" si="106"/>
        <v>0</v>
      </c>
      <c r="P225" s="34">
        <f t="shared" si="106"/>
        <v>0</v>
      </c>
      <c r="Q225" s="35">
        <f t="shared" si="106"/>
        <v>0</v>
      </c>
      <c r="R225" s="29">
        <f t="shared" si="106"/>
        <v>0</v>
      </c>
      <c r="S225" s="36">
        <f t="shared" si="106"/>
        <v>0</v>
      </c>
      <c r="T225" s="33">
        <f t="shared" si="106"/>
        <v>0</v>
      </c>
      <c r="U225" s="34">
        <f t="shared" si="106"/>
        <v>0</v>
      </c>
      <c r="V225" s="31">
        <f t="shared" si="106"/>
        <v>0</v>
      </c>
      <c r="W225" s="32">
        <f t="shared" si="101"/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95"/>
      <c r="L226" s="4" t="s">
        <v>23</v>
      </c>
      <c r="M226" s="29">
        <f aca="true" t="shared" si="107" ref="M226:Q227">+M200+M174</f>
        <v>0</v>
      </c>
      <c r="N226" s="36">
        <f t="shared" si="107"/>
        <v>0</v>
      </c>
      <c r="O226" s="33">
        <f t="shared" si="107"/>
        <v>0</v>
      </c>
      <c r="P226" s="34">
        <f t="shared" si="107"/>
        <v>0</v>
      </c>
      <c r="Q226" s="35">
        <f t="shared" si="107"/>
        <v>0</v>
      </c>
      <c r="R226" s="29">
        <f aca="true" t="shared" si="108" ref="R226:V227">+R174+R200</f>
        <v>0</v>
      </c>
      <c r="S226" s="36">
        <f t="shared" si="108"/>
        <v>0</v>
      </c>
      <c r="T226" s="33">
        <f t="shared" si="108"/>
        <v>0</v>
      </c>
      <c r="U226" s="34">
        <f t="shared" si="108"/>
        <v>0</v>
      </c>
      <c r="V226" s="31">
        <f t="shared" si="108"/>
        <v>0</v>
      </c>
      <c r="W226" s="32">
        <f t="shared" si="101"/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95"/>
      <c r="L227" s="4" t="s">
        <v>24</v>
      </c>
      <c r="M227" s="29">
        <f t="shared" si="107"/>
        <v>0</v>
      </c>
      <c r="N227" s="36">
        <f t="shared" si="107"/>
        <v>0</v>
      </c>
      <c r="O227" s="33">
        <f t="shared" si="107"/>
        <v>0</v>
      </c>
      <c r="P227" s="34">
        <f t="shared" si="107"/>
        <v>0</v>
      </c>
      <c r="Q227" s="35">
        <f t="shared" si="107"/>
        <v>0</v>
      </c>
      <c r="R227" s="29">
        <f t="shared" si="108"/>
        <v>0</v>
      </c>
      <c r="S227" s="36">
        <f t="shared" si="108"/>
        <v>0</v>
      </c>
      <c r="T227" s="51">
        <f t="shared" si="108"/>
        <v>0</v>
      </c>
      <c r="U227" s="52">
        <f t="shared" si="108"/>
        <v>0</v>
      </c>
      <c r="V227" s="31">
        <f t="shared" si="108"/>
        <v>0</v>
      </c>
      <c r="W227" s="32">
        <f t="shared" si="101"/>
        <v>0</v>
      </c>
    </row>
    <row r="228" spans="1:23" ht="14.25" thickBot="1" thickTop="1">
      <c r="A228" s="220"/>
      <c r="B228" s="232"/>
      <c r="C228" s="234"/>
      <c r="D228" s="234"/>
      <c r="E228" s="234"/>
      <c r="F228" s="234"/>
      <c r="G228" s="234"/>
      <c r="H228" s="234"/>
      <c r="I228" s="276"/>
      <c r="J228" s="220"/>
      <c r="L228" s="44" t="s">
        <v>25</v>
      </c>
      <c r="M228" s="40">
        <f aca="true" t="shared" si="109" ref="M228:V228">M227+M225+M226</f>
        <v>0</v>
      </c>
      <c r="N228" s="41">
        <f t="shared" si="109"/>
        <v>0</v>
      </c>
      <c r="O228" s="40">
        <f t="shared" si="109"/>
        <v>0</v>
      </c>
      <c r="P228" s="40">
        <f t="shared" si="109"/>
        <v>0</v>
      </c>
      <c r="Q228" s="40">
        <f t="shared" si="109"/>
        <v>0</v>
      </c>
      <c r="R228" s="40">
        <f t="shared" si="109"/>
        <v>0</v>
      </c>
      <c r="S228" s="41">
        <f t="shared" si="109"/>
        <v>0</v>
      </c>
      <c r="T228" s="40">
        <f t="shared" si="109"/>
        <v>0</v>
      </c>
      <c r="U228" s="40">
        <f t="shared" si="109"/>
        <v>0</v>
      </c>
      <c r="V228" s="40">
        <f t="shared" si="109"/>
        <v>0</v>
      </c>
      <c r="W228" s="54">
        <f t="shared" si="101"/>
        <v>0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95"/>
      <c r="L229" s="4" t="s">
        <v>27</v>
      </c>
      <c r="M229" s="29">
        <v>0</v>
      </c>
      <c r="N229" s="36">
        <f aca="true" t="shared" si="110" ref="N229:Q230">+N203+N177</f>
        <v>0</v>
      </c>
      <c r="O229" s="33">
        <f t="shared" si="110"/>
        <v>0</v>
      </c>
      <c r="P229" s="34">
        <f t="shared" si="110"/>
        <v>0</v>
      </c>
      <c r="Q229" s="35">
        <f t="shared" si="110"/>
        <v>0</v>
      </c>
      <c r="R229" s="29">
        <f aca="true" t="shared" si="111" ref="R229:V231">+R177+R203</f>
        <v>0</v>
      </c>
      <c r="S229" s="36">
        <f t="shared" si="111"/>
        <v>0</v>
      </c>
      <c r="T229" s="51">
        <f t="shared" si="111"/>
        <v>0</v>
      </c>
      <c r="U229" s="59">
        <f t="shared" si="111"/>
        <v>0</v>
      </c>
      <c r="V229" s="31">
        <f t="shared" si="111"/>
        <v>0</v>
      </c>
      <c r="W229" s="32">
        <f t="shared" si="101"/>
        <v>0</v>
      </c>
    </row>
    <row r="230" spans="2:23" ht="12" customHeight="1">
      <c r="B230" s="70"/>
      <c r="C230" s="70"/>
      <c r="D230" s="70"/>
      <c r="E230" s="70"/>
      <c r="F230" s="70"/>
      <c r="G230" s="70"/>
      <c r="H230" s="70"/>
      <c r="I230" s="295"/>
      <c r="L230" s="4" t="s">
        <v>28</v>
      </c>
      <c r="M230" s="29">
        <f>+M204+M178</f>
        <v>0</v>
      </c>
      <c r="N230" s="36">
        <f t="shared" si="110"/>
        <v>0</v>
      </c>
      <c r="O230" s="33">
        <f t="shared" si="110"/>
        <v>0</v>
      </c>
      <c r="P230" s="34">
        <f t="shared" si="110"/>
        <v>0</v>
      </c>
      <c r="Q230" s="35">
        <f t="shared" si="110"/>
        <v>0</v>
      </c>
      <c r="R230" s="29">
        <f t="shared" si="111"/>
        <v>0</v>
      </c>
      <c r="S230" s="36">
        <f t="shared" si="111"/>
        <v>0</v>
      </c>
      <c r="T230" s="51">
        <f t="shared" si="111"/>
        <v>0</v>
      </c>
      <c r="U230" s="34">
        <f t="shared" si="111"/>
        <v>0</v>
      </c>
      <c r="V230" s="31">
        <f t="shared" si="111"/>
        <v>0</v>
      </c>
      <c r="W230" s="32">
        <f>IF(Q230=0,0,((V230/Q230)-1)*100)</f>
        <v>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95"/>
      <c r="L231" s="4" t="s">
        <v>29</v>
      </c>
      <c r="M231" s="29">
        <f>+M179+M205</f>
        <v>0</v>
      </c>
      <c r="N231" s="36">
        <f>+N179+N205</f>
        <v>0</v>
      </c>
      <c r="O231" s="33">
        <f>+O179+O205</f>
        <v>0</v>
      </c>
      <c r="P231" s="52">
        <f>+P179+P205</f>
        <v>0</v>
      </c>
      <c r="Q231" s="35">
        <f>+Q179+Q205</f>
        <v>0</v>
      </c>
      <c r="R231" s="29">
        <f t="shared" si="111"/>
        <v>0</v>
      </c>
      <c r="S231" s="36">
        <f t="shared" si="111"/>
        <v>0</v>
      </c>
      <c r="T231" s="33">
        <f t="shared" si="111"/>
        <v>0</v>
      </c>
      <c r="U231" s="52">
        <f t="shared" si="111"/>
        <v>0</v>
      </c>
      <c r="V231" s="31">
        <f t="shared" si="111"/>
        <v>0</v>
      </c>
      <c r="W231" s="32">
        <f t="shared" si="101"/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95"/>
      <c r="L232" s="39" t="s">
        <v>63</v>
      </c>
      <c r="M232" s="40">
        <f aca="true" t="shared" si="112" ref="M232:V232">+M229+M230+M231</f>
        <v>0</v>
      </c>
      <c r="N232" s="41">
        <f t="shared" si="112"/>
        <v>0</v>
      </c>
      <c r="O232" s="40">
        <f t="shared" si="112"/>
        <v>0</v>
      </c>
      <c r="P232" s="40">
        <f t="shared" si="112"/>
        <v>0</v>
      </c>
      <c r="Q232" s="43">
        <f t="shared" si="112"/>
        <v>0</v>
      </c>
      <c r="R232" s="40">
        <f t="shared" si="112"/>
        <v>0</v>
      </c>
      <c r="S232" s="41">
        <f t="shared" si="112"/>
        <v>0</v>
      </c>
      <c r="T232" s="40">
        <f t="shared" si="112"/>
        <v>0</v>
      </c>
      <c r="U232" s="40">
        <f t="shared" si="112"/>
        <v>0</v>
      </c>
      <c r="V232" s="42">
        <f t="shared" si="112"/>
        <v>0</v>
      </c>
      <c r="W232" s="54">
        <f t="shared" si="101"/>
        <v>0</v>
      </c>
    </row>
    <row r="233" spans="1:23" ht="14.25" thickBot="1" thickTop="1">
      <c r="A233" s="70"/>
      <c r="B233" s="232"/>
      <c r="C233" s="234"/>
      <c r="D233" s="234"/>
      <c r="E233" s="234"/>
      <c r="F233" s="234"/>
      <c r="G233" s="234"/>
      <c r="H233" s="234"/>
      <c r="I233" s="276"/>
      <c r="J233" s="70"/>
      <c r="L233" s="39" t="s">
        <v>66</v>
      </c>
      <c r="M233" s="40">
        <f aca="true" t="shared" si="113" ref="M233:V233">+M224+M228+M232</f>
        <v>0</v>
      </c>
      <c r="N233" s="41">
        <f t="shared" si="113"/>
        <v>0</v>
      </c>
      <c r="O233" s="40">
        <f t="shared" si="113"/>
        <v>0</v>
      </c>
      <c r="P233" s="40">
        <f t="shared" si="113"/>
        <v>0</v>
      </c>
      <c r="Q233" s="40">
        <f t="shared" si="113"/>
        <v>0</v>
      </c>
      <c r="R233" s="40">
        <f t="shared" si="113"/>
        <v>0</v>
      </c>
      <c r="S233" s="41">
        <f t="shared" si="113"/>
        <v>0</v>
      </c>
      <c r="T233" s="40">
        <f t="shared" si="113"/>
        <v>0</v>
      </c>
      <c r="U233" s="40">
        <f t="shared" si="113"/>
        <v>0</v>
      </c>
      <c r="V233" s="40">
        <f t="shared" si="113"/>
        <v>0</v>
      </c>
      <c r="W233" s="54">
        <f t="shared" si="101"/>
        <v>0</v>
      </c>
    </row>
    <row r="234" spans="12:23" ht="14.25" thickBot="1" thickTop="1">
      <c r="L234" s="39" t="s">
        <v>9</v>
      </c>
      <c r="M234" s="40">
        <f aca="true" t="shared" si="114" ref="M234:V234">+M224+M228+M232+M220</f>
        <v>0</v>
      </c>
      <c r="N234" s="41">
        <f t="shared" si="114"/>
        <v>0</v>
      </c>
      <c r="O234" s="40">
        <f t="shared" si="114"/>
        <v>0</v>
      </c>
      <c r="P234" s="40">
        <f t="shared" si="114"/>
        <v>0</v>
      </c>
      <c r="Q234" s="40">
        <f t="shared" si="114"/>
        <v>0</v>
      </c>
      <c r="R234" s="40">
        <f t="shared" si="114"/>
        <v>0</v>
      </c>
      <c r="S234" s="41">
        <f t="shared" si="114"/>
        <v>0</v>
      </c>
      <c r="T234" s="40">
        <f t="shared" si="114"/>
        <v>0</v>
      </c>
      <c r="U234" s="40">
        <f t="shared" si="114"/>
        <v>0</v>
      </c>
      <c r="V234" s="40">
        <f t="shared" si="114"/>
        <v>0</v>
      </c>
      <c r="W234" s="54">
        <f t="shared" si="101"/>
        <v>0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B2:I2"/>
    <mergeCell ref="L2:W2"/>
    <mergeCell ref="B3:I3"/>
    <mergeCell ref="L3:W3"/>
    <mergeCell ref="R31:V31"/>
    <mergeCell ref="L29:W29"/>
    <mergeCell ref="C31:E31"/>
    <mergeCell ref="F31:H3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&amp;LMonthly Air Transport Statistics : Phuket International Airport</oddHeader>
    <oddFooter>&amp;LAir Transport Information Division, Corporate Strategy Department&amp;C&amp;D&amp;R&amp;T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35"/>
  <sheetViews>
    <sheetView zoomScalePageLayoutView="0" workbookViewId="0" topLeftCell="A1">
      <selection activeCell="J13" sqref="J13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10.7109375" style="119" customWidth="1"/>
    <col min="24" max="24" width="7.00390625" style="119" bestFit="1" customWidth="1"/>
    <col min="25" max="25" width="6.00390625" style="1" bestFit="1" customWidth="1"/>
    <col min="26" max="26" width="7.00390625" style="1" customWidth="1"/>
    <col min="27" max="27" width="7.00390625" style="304" customWidth="1"/>
    <col min="28" max="16384" width="7.00390625" style="1" customWidth="1"/>
  </cols>
  <sheetData>
    <row r="2" spans="2:23" ht="12.75">
      <c r="B2" s="336" t="s">
        <v>0</v>
      </c>
      <c r="C2" s="336"/>
      <c r="D2" s="336"/>
      <c r="E2" s="336"/>
      <c r="F2" s="336"/>
      <c r="G2" s="336"/>
      <c r="H2" s="336"/>
      <c r="I2" s="336"/>
      <c r="L2" s="336" t="s">
        <v>1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ht="15.75">
      <c r="B3" s="337" t="s">
        <v>2</v>
      </c>
      <c r="C3" s="337"/>
      <c r="D3" s="337"/>
      <c r="E3" s="337"/>
      <c r="F3" s="337"/>
      <c r="G3" s="337"/>
      <c r="H3" s="337"/>
      <c r="I3" s="337"/>
      <c r="L3" s="337" t="s">
        <v>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ht="13.5" thickBot="1"/>
    <row r="5" spans="2:23" ht="17.25" thickBot="1" thickTop="1">
      <c r="B5" s="3"/>
      <c r="C5" s="347" t="s">
        <v>67</v>
      </c>
      <c r="D5" s="348"/>
      <c r="E5" s="349"/>
      <c r="F5" s="338" t="s">
        <v>68</v>
      </c>
      <c r="G5" s="339"/>
      <c r="H5" s="340"/>
      <c r="I5" s="239" t="s">
        <v>4</v>
      </c>
      <c r="L5" s="3"/>
      <c r="M5" s="347" t="s">
        <v>67</v>
      </c>
      <c r="N5" s="348"/>
      <c r="O5" s="348"/>
      <c r="P5" s="348"/>
      <c r="Q5" s="349"/>
      <c r="R5" s="338" t="s">
        <v>68</v>
      </c>
      <c r="S5" s="339"/>
      <c r="T5" s="339"/>
      <c r="U5" s="339"/>
      <c r="V5" s="340"/>
      <c r="W5" s="23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0" t="s">
        <v>6</v>
      </c>
    </row>
    <row r="7" spans="2:23" ht="13.5" thickBot="1">
      <c r="B7" s="12"/>
      <c r="C7" s="13" t="s">
        <v>7</v>
      </c>
      <c r="D7" s="230" t="s">
        <v>8</v>
      </c>
      <c r="E7" s="14" t="s">
        <v>9</v>
      </c>
      <c r="F7" s="13" t="s">
        <v>7</v>
      </c>
      <c r="G7" s="230" t="s">
        <v>8</v>
      </c>
      <c r="H7" s="14" t="s">
        <v>9</v>
      </c>
      <c r="I7" s="24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1"/>
    </row>
    <row r="8" spans="2:23" ht="6" customHeight="1" thickTop="1">
      <c r="B8" s="4"/>
      <c r="C8" s="20"/>
      <c r="D8" s="21"/>
      <c r="E8" s="22"/>
      <c r="F8" s="20"/>
      <c r="G8" s="21"/>
      <c r="H8" s="22"/>
      <c r="I8" s="244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07"/>
    </row>
    <row r="9" spans="2:23" ht="12.75">
      <c r="B9" s="4" t="s">
        <v>14</v>
      </c>
      <c r="C9" s="29">
        <v>0</v>
      </c>
      <c r="D9" s="30">
        <v>0</v>
      </c>
      <c r="E9" s="31">
        <f>+C9+D9</f>
        <v>0</v>
      </c>
      <c r="F9" s="29">
        <v>0</v>
      </c>
      <c r="G9" s="30">
        <v>0</v>
      </c>
      <c r="H9" s="31">
        <f>F9+G9</f>
        <v>0</v>
      </c>
      <c r="I9" s="32">
        <f aca="true" t="shared" si="0" ref="I9:I26">IF(E9=0,0,((H9/E9)-1)*100)</f>
        <v>0</v>
      </c>
      <c r="L9" s="4" t="s">
        <v>14</v>
      </c>
      <c r="M9" s="29">
        <v>0</v>
      </c>
      <c r="N9" s="36">
        <v>0</v>
      </c>
      <c r="O9" s="33">
        <f>+N9+M9</f>
        <v>0</v>
      </c>
      <c r="P9" s="34">
        <v>0</v>
      </c>
      <c r="Q9" s="35">
        <f>+P9+O9</f>
        <v>0</v>
      </c>
      <c r="R9" s="29">
        <v>0</v>
      </c>
      <c r="S9" s="36">
        <v>0</v>
      </c>
      <c r="T9" s="33">
        <f>+S9+R9</f>
        <v>0</v>
      </c>
      <c r="U9" s="34">
        <v>0</v>
      </c>
      <c r="V9" s="31">
        <f>T9+U9</f>
        <v>0</v>
      </c>
      <c r="W9" s="182">
        <f aca="true" t="shared" si="1" ref="W9:W26">IF(Q9=0,0,((V9/Q9)-1)*100)</f>
        <v>0</v>
      </c>
    </row>
    <row r="10" spans="2:23" ht="12.75">
      <c r="B10" s="4" t="s">
        <v>15</v>
      </c>
      <c r="C10" s="29">
        <v>1</v>
      </c>
      <c r="D10" s="30">
        <v>1</v>
      </c>
      <c r="E10" s="31">
        <f>+C10+D10</f>
        <v>2</v>
      </c>
      <c r="F10" s="29">
        <v>2</v>
      </c>
      <c r="G10" s="30">
        <v>2</v>
      </c>
      <c r="H10" s="31">
        <f>F10+G10</f>
        <v>4</v>
      </c>
      <c r="I10" s="256">
        <f t="shared" si="0"/>
        <v>100</v>
      </c>
      <c r="L10" s="4" t="s">
        <v>15</v>
      </c>
      <c r="M10" s="29">
        <v>0</v>
      </c>
      <c r="N10" s="36">
        <v>53</v>
      </c>
      <c r="O10" s="33">
        <f>+N10+M10</f>
        <v>53</v>
      </c>
      <c r="P10" s="34">
        <v>0</v>
      </c>
      <c r="Q10" s="35">
        <f>+P10+O10</f>
        <v>53</v>
      </c>
      <c r="R10" s="29">
        <v>0</v>
      </c>
      <c r="S10" s="36">
        <v>4</v>
      </c>
      <c r="T10" s="33">
        <f>+S10+R10</f>
        <v>4</v>
      </c>
      <c r="U10" s="34">
        <v>0</v>
      </c>
      <c r="V10" s="31">
        <f>T10+U10</f>
        <v>4</v>
      </c>
      <c r="W10" s="265">
        <f t="shared" si="1"/>
        <v>-92.45283018867924</v>
      </c>
    </row>
    <row r="11" spans="2:23" ht="13.5" thickBot="1">
      <c r="B11" s="12" t="s">
        <v>16</v>
      </c>
      <c r="C11" s="37">
        <v>4</v>
      </c>
      <c r="D11" s="38">
        <v>4</v>
      </c>
      <c r="E11" s="31">
        <f>+C11+D11</f>
        <v>8</v>
      </c>
      <c r="F11" s="37">
        <v>2</v>
      </c>
      <c r="G11" s="38">
        <v>2</v>
      </c>
      <c r="H11" s="31">
        <f>F11+G11</f>
        <v>4</v>
      </c>
      <c r="I11" s="32">
        <f t="shared" si="0"/>
        <v>-50</v>
      </c>
      <c r="L11" s="12" t="s">
        <v>16</v>
      </c>
      <c r="M11" s="29">
        <v>173</v>
      </c>
      <c r="N11" s="36">
        <v>25</v>
      </c>
      <c r="O11" s="33">
        <f>+N11+M11</f>
        <v>198</v>
      </c>
      <c r="P11" s="34">
        <v>0</v>
      </c>
      <c r="Q11" s="35">
        <f>+P11+O11</f>
        <v>198</v>
      </c>
      <c r="R11" s="29">
        <v>12</v>
      </c>
      <c r="S11" s="36">
        <v>0</v>
      </c>
      <c r="T11" s="33">
        <f>+S11+R11</f>
        <v>12</v>
      </c>
      <c r="U11" s="34">
        <v>0</v>
      </c>
      <c r="V11" s="31">
        <f>T11+U11</f>
        <v>12</v>
      </c>
      <c r="W11" s="265">
        <f t="shared" si="1"/>
        <v>-93.93939393939394</v>
      </c>
    </row>
    <row r="12" spans="2:23" ht="14.25" thickBot="1" thickTop="1">
      <c r="B12" s="39" t="s">
        <v>17</v>
      </c>
      <c r="C12" s="40">
        <f aca="true" t="shared" si="2" ref="C12:H12">+C9+C10+C11</f>
        <v>5</v>
      </c>
      <c r="D12" s="41">
        <f t="shared" si="2"/>
        <v>5</v>
      </c>
      <c r="E12" s="42">
        <f t="shared" si="2"/>
        <v>10</v>
      </c>
      <c r="F12" s="40">
        <f t="shared" si="2"/>
        <v>4</v>
      </c>
      <c r="G12" s="41">
        <f t="shared" si="2"/>
        <v>4</v>
      </c>
      <c r="H12" s="42">
        <f t="shared" si="2"/>
        <v>8</v>
      </c>
      <c r="I12" s="257">
        <f t="shared" si="0"/>
        <v>-19.999999999999996</v>
      </c>
      <c r="L12" s="39" t="s">
        <v>17</v>
      </c>
      <c r="M12" s="40">
        <f aca="true" t="shared" si="3" ref="M12:V12">M9+M10+M11</f>
        <v>173</v>
      </c>
      <c r="N12" s="41">
        <f t="shared" si="3"/>
        <v>78</v>
      </c>
      <c r="O12" s="40">
        <f t="shared" si="3"/>
        <v>251</v>
      </c>
      <c r="P12" s="40">
        <f t="shared" si="3"/>
        <v>0</v>
      </c>
      <c r="Q12" s="40">
        <f t="shared" si="3"/>
        <v>251</v>
      </c>
      <c r="R12" s="40">
        <f t="shared" si="3"/>
        <v>12</v>
      </c>
      <c r="S12" s="41">
        <f t="shared" si="3"/>
        <v>4</v>
      </c>
      <c r="T12" s="40">
        <f t="shared" si="3"/>
        <v>16</v>
      </c>
      <c r="U12" s="40">
        <f t="shared" si="3"/>
        <v>0</v>
      </c>
      <c r="V12" s="42">
        <f t="shared" si="3"/>
        <v>16</v>
      </c>
      <c r="W12" s="258">
        <f t="shared" si="1"/>
        <v>-93.62549800796813</v>
      </c>
    </row>
    <row r="13" spans="2:23" ht="13.5" thickTop="1">
      <c r="B13" s="4" t="s">
        <v>18</v>
      </c>
      <c r="C13" s="29">
        <v>1</v>
      </c>
      <c r="D13" s="30">
        <v>0</v>
      </c>
      <c r="E13" s="31">
        <f>C13+D13</f>
        <v>1</v>
      </c>
      <c r="F13" s="29">
        <v>4</v>
      </c>
      <c r="G13" s="30">
        <v>5</v>
      </c>
      <c r="H13" s="31">
        <f>F13+G13</f>
        <v>9</v>
      </c>
      <c r="I13" s="256">
        <f t="shared" si="0"/>
        <v>800</v>
      </c>
      <c r="L13" s="4" t="s">
        <v>18</v>
      </c>
      <c r="M13" s="29">
        <v>2</v>
      </c>
      <c r="N13" s="36">
        <v>0</v>
      </c>
      <c r="O13" s="33">
        <f>+M13+N13</f>
        <v>2</v>
      </c>
      <c r="P13" s="34">
        <v>0</v>
      </c>
      <c r="Q13" s="35">
        <f>O13+P13</f>
        <v>2</v>
      </c>
      <c r="R13" s="29">
        <v>167</v>
      </c>
      <c r="S13" s="36">
        <v>166</v>
      </c>
      <c r="T13" s="33">
        <f>+R13+S13</f>
        <v>333</v>
      </c>
      <c r="U13" s="34">
        <v>0</v>
      </c>
      <c r="V13" s="31">
        <f>T13+U13</f>
        <v>333</v>
      </c>
      <c r="W13" s="256">
        <f t="shared" si="1"/>
        <v>16550</v>
      </c>
    </row>
    <row r="14" spans="2:23" ht="12.75">
      <c r="B14" s="4" t="s">
        <v>19</v>
      </c>
      <c r="C14" s="29">
        <v>1</v>
      </c>
      <c r="D14" s="30">
        <v>2</v>
      </c>
      <c r="E14" s="31">
        <f>+D14+C14</f>
        <v>3</v>
      </c>
      <c r="F14" s="29">
        <v>13</v>
      </c>
      <c r="G14" s="30">
        <v>13</v>
      </c>
      <c r="H14" s="31">
        <f>F14+G14</f>
        <v>26</v>
      </c>
      <c r="I14" s="256">
        <f t="shared" si="0"/>
        <v>766.6666666666666</v>
      </c>
      <c r="L14" s="4" t="s">
        <v>19</v>
      </c>
      <c r="M14" s="29">
        <v>157</v>
      </c>
      <c r="N14" s="36">
        <v>159</v>
      </c>
      <c r="O14" s="33">
        <f>+N14+M14</f>
        <v>316</v>
      </c>
      <c r="P14" s="34">
        <v>0</v>
      </c>
      <c r="Q14" s="35">
        <f>O14+P14</f>
        <v>316</v>
      </c>
      <c r="R14" s="29">
        <v>372</v>
      </c>
      <c r="S14" s="36">
        <v>213</v>
      </c>
      <c r="T14" s="33">
        <f>+S14+R14</f>
        <v>585</v>
      </c>
      <c r="U14" s="34">
        <v>0</v>
      </c>
      <c r="V14" s="31">
        <f>T14+U14</f>
        <v>585</v>
      </c>
      <c r="W14" s="256">
        <f t="shared" si="1"/>
        <v>85.12658227848102</v>
      </c>
    </row>
    <row r="15" spans="2:23" ht="13.5" thickBot="1">
      <c r="B15" s="4" t="s">
        <v>20</v>
      </c>
      <c r="C15" s="29">
        <v>5</v>
      </c>
      <c r="D15" s="30">
        <v>5</v>
      </c>
      <c r="E15" s="31">
        <f>+D15+C15</f>
        <v>10</v>
      </c>
      <c r="F15" s="29">
        <v>18</v>
      </c>
      <c r="G15" s="30">
        <v>18</v>
      </c>
      <c r="H15" s="31">
        <f>F15+G15</f>
        <v>36</v>
      </c>
      <c r="I15" s="256">
        <f t="shared" si="0"/>
        <v>260</v>
      </c>
      <c r="L15" s="4" t="s">
        <v>20</v>
      </c>
      <c r="M15" s="29">
        <v>234</v>
      </c>
      <c r="N15" s="36">
        <v>115</v>
      </c>
      <c r="O15" s="33">
        <f>+N15+M15</f>
        <v>349</v>
      </c>
      <c r="P15" s="34">
        <v>0</v>
      </c>
      <c r="Q15" s="35">
        <f>O15+P15</f>
        <v>349</v>
      </c>
      <c r="R15" s="29">
        <v>368</v>
      </c>
      <c r="S15" s="36">
        <v>354</v>
      </c>
      <c r="T15" s="33">
        <f>+S15+R15</f>
        <v>722</v>
      </c>
      <c r="U15" s="34">
        <v>127</v>
      </c>
      <c r="V15" s="31">
        <f>T15+U15</f>
        <v>849</v>
      </c>
      <c r="W15" s="32">
        <f t="shared" si="1"/>
        <v>143.2664756446991</v>
      </c>
    </row>
    <row r="16" spans="2:23" ht="14.25" thickBot="1" thickTop="1">
      <c r="B16" s="44" t="s">
        <v>21</v>
      </c>
      <c r="C16" s="45">
        <f aca="true" t="shared" si="4" ref="C16:H16">+C13+C14+C15</f>
        <v>7</v>
      </c>
      <c r="D16" s="46">
        <f t="shared" si="4"/>
        <v>7</v>
      </c>
      <c r="E16" s="47">
        <f t="shared" si="4"/>
        <v>14</v>
      </c>
      <c r="F16" s="45">
        <f t="shared" si="4"/>
        <v>35</v>
      </c>
      <c r="G16" s="46">
        <f t="shared" si="4"/>
        <v>36</v>
      </c>
      <c r="H16" s="45">
        <f t="shared" si="4"/>
        <v>71</v>
      </c>
      <c r="I16" s="258">
        <f>IF(E16=0,0,((H16/E16)-1)*100)</f>
        <v>407.1428571428571</v>
      </c>
      <c r="L16" s="44" t="s">
        <v>21</v>
      </c>
      <c r="M16" s="45">
        <f aca="true" t="shared" si="5" ref="M16:V16">+M13+M14+M15</f>
        <v>393</v>
      </c>
      <c r="N16" s="49">
        <f t="shared" si="5"/>
        <v>274</v>
      </c>
      <c r="O16" s="49">
        <f t="shared" si="5"/>
        <v>667</v>
      </c>
      <c r="P16" s="47">
        <f t="shared" si="5"/>
        <v>0</v>
      </c>
      <c r="Q16" s="49">
        <f t="shared" si="5"/>
        <v>667</v>
      </c>
      <c r="R16" s="45">
        <f t="shared" si="5"/>
        <v>907</v>
      </c>
      <c r="S16" s="49">
        <f t="shared" si="5"/>
        <v>733</v>
      </c>
      <c r="T16" s="49">
        <f t="shared" si="5"/>
        <v>1640</v>
      </c>
      <c r="U16" s="47">
        <f t="shared" si="5"/>
        <v>127</v>
      </c>
      <c r="V16" s="49">
        <f t="shared" si="5"/>
        <v>1767</v>
      </c>
      <c r="W16" s="262">
        <f>IF(Q16=0,0,((V16/Q16)-1)*100)</f>
        <v>164.91754122938528</v>
      </c>
    </row>
    <row r="17" spans="2:23" ht="13.5" thickTop="1">
      <c r="B17" s="4" t="s">
        <v>22</v>
      </c>
      <c r="C17" s="79">
        <v>0</v>
      </c>
      <c r="D17" s="80">
        <v>0</v>
      </c>
      <c r="E17" s="31">
        <f>+C17+D17</f>
        <v>0</v>
      </c>
      <c r="F17" s="79">
        <v>13</v>
      </c>
      <c r="G17" s="80">
        <v>13</v>
      </c>
      <c r="H17" s="31">
        <f>F17+G17</f>
        <v>26</v>
      </c>
      <c r="I17" s="256">
        <f t="shared" si="0"/>
        <v>0</v>
      </c>
      <c r="L17" s="4" t="s">
        <v>22</v>
      </c>
      <c r="M17" s="29">
        <v>0</v>
      </c>
      <c r="N17" s="36">
        <v>0</v>
      </c>
      <c r="O17" s="33">
        <f>+M17+N17</f>
        <v>0</v>
      </c>
      <c r="P17" s="34">
        <v>0</v>
      </c>
      <c r="Q17" s="35">
        <f>+O17+P17</f>
        <v>0</v>
      </c>
      <c r="R17" s="29">
        <v>323</v>
      </c>
      <c r="S17" s="36">
        <v>238</v>
      </c>
      <c r="T17" s="33">
        <f>+R17+S17</f>
        <v>561</v>
      </c>
      <c r="U17" s="34">
        <v>0</v>
      </c>
      <c r="V17" s="35">
        <f>+T17+U17</f>
        <v>561</v>
      </c>
      <c r="W17" s="183">
        <f t="shared" si="1"/>
        <v>0</v>
      </c>
    </row>
    <row r="18" spans="2:23" ht="12.75">
      <c r="B18" s="4" t="s">
        <v>23</v>
      </c>
      <c r="C18" s="79">
        <v>1</v>
      </c>
      <c r="D18" s="80">
        <v>1</v>
      </c>
      <c r="E18" s="31">
        <f>+C18+D18</f>
        <v>2</v>
      </c>
      <c r="F18" s="79">
        <v>14</v>
      </c>
      <c r="G18" s="80">
        <v>14</v>
      </c>
      <c r="H18" s="31">
        <f>F18+G18</f>
        <v>28</v>
      </c>
      <c r="I18" s="32">
        <f>IF(E18=0,0,((H18/E18)-1)*100)</f>
        <v>1300</v>
      </c>
      <c r="L18" s="4" t="s">
        <v>23</v>
      </c>
      <c r="M18" s="29">
        <v>14</v>
      </c>
      <c r="N18" s="36">
        <v>0</v>
      </c>
      <c r="O18" s="33">
        <f>+M18+N18</f>
        <v>14</v>
      </c>
      <c r="P18" s="34">
        <v>0</v>
      </c>
      <c r="Q18" s="35">
        <f>+O18+P18</f>
        <v>14</v>
      </c>
      <c r="R18" s="29">
        <v>386</v>
      </c>
      <c r="S18" s="36">
        <v>306</v>
      </c>
      <c r="T18" s="33">
        <f>+R18+S18</f>
        <v>692</v>
      </c>
      <c r="U18" s="34">
        <v>0</v>
      </c>
      <c r="V18" s="31">
        <f>+T18+U18</f>
        <v>692</v>
      </c>
      <c r="W18" s="32">
        <f>IF(Q18=0,0,((V18/Q18)-1)*100)</f>
        <v>4842.857142857143</v>
      </c>
    </row>
    <row r="19" spans="2:23" ht="13.5" thickBot="1">
      <c r="B19" s="4" t="s">
        <v>24</v>
      </c>
      <c r="C19" s="79">
        <v>25</v>
      </c>
      <c r="D19" s="80">
        <v>25</v>
      </c>
      <c r="E19" s="31">
        <f>+C19+D19</f>
        <v>50</v>
      </c>
      <c r="F19" s="79">
        <v>12</v>
      </c>
      <c r="G19" s="80">
        <v>12</v>
      </c>
      <c r="H19" s="31">
        <f>F19+G19</f>
        <v>24</v>
      </c>
      <c r="I19" s="256">
        <f t="shared" si="0"/>
        <v>-52</v>
      </c>
      <c r="J19" s="50"/>
      <c r="L19" s="4" t="s">
        <v>24</v>
      </c>
      <c r="M19" s="29">
        <v>921</v>
      </c>
      <c r="N19" s="36">
        <v>876</v>
      </c>
      <c r="O19" s="51">
        <f>+M19+N19</f>
        <v>1797</v>
      </c>
      <c r="P19" s="52">
        <v>0</v>
      </c>
      <c r="Q19" s="35">
        <f>+O19+P19</f>
        <v>1797</v>
      </c>
      <c r="R19" s="29">
        <v>283</v>
      </c>
      <c r="S19" s="36">
        <v>167</v>
      </c>
      <c r="T19" s="51">
        <f>+R19+S19</f>
        <v>450</v>
      </c>
      <c r="U19" s="52">
        <v>0</v>
      </c>
      <c r="V19" s="31">
        <f>+T19+U19</f>
        <v>450</v>
      </c>
      <c r="W19" s="256">
        <f t="shared" si="1"/>
        <v>-74.95826377295492</v>
      </c>
    </row>
    <row r="20" spans="2:23" ht="14.25" customHeight="1" thickBot="1" thickTop="1">
      <c r="B20" s="44" t="s">
        <v>25</v>
      </c>
      <c r="C20" s="40">
        <f aca="true" t="shared" si="6" ref="C20:H20">C17+C18+C19</f>
        <v>26</v>
      </c>
      <c r="D20" s="53">
        <f t="shared" si="6"/>
        <v>26</v>
      </c>
      <c r="E20" s="126">
        <f t="shared" si="6"/>
        <v>52</v>
      </c>
      <c r="F20" s="40">
        <f t="shared" si="6"/>
        <v>39</v>
      </c>
      <c r="G20" s="53">
        <f t="shared" si="6"/>
        <v>39</v>
      </c>
      <c r="H20" s="53">
        <f t="shared" si="6"/>
        <v>78</v>
      </c>
      <c r="I20" s="257">
        <f t="shared" si="0"/>
        <v>50</v>
      </c>
      <c r="J20" s="55"/>
      <c r="K20" s="56"/>
      <c r="L20" s="44" t="s">
        <v>25</v>
      </c>
      <c r="M20" s="45">
        <f aca="true" t="shared" si="7" ref="M20:V20">M17+M18+M19</f>
        <v>935</v>
      </c>
      <c r="N20" s="45">
        <f t="shared" si="7"/>
        <v>876</v>
      </c>
      <c r="O20" s="47">
        <f t="shared" si="7"/>
        <v>1811</v>
      </c>
      <c r="P20" s="47">
        <f t="shared" si="7"/>
        <v>0</v>
      </c>
      <c r="Q20" s="47">
        <f t="shared" si="7"/>
        <v>1811</v>
      </c>
      <c r="R20" s="45">
        <f t="shared" si="7"/>
        <v>992</v>
      </c>
      <c r="S20" s="45">
        <f t="shared" si="7"/>
        <v>711</v>
      </c>
      <c r="T20" s="47">
        <f t="shared" si="7"/>
        <v>1703</v>
      </c>
      <c r="U20" s="47">
        <f t="shared" si="7"/>
        <v>0</v>
      </c>
      <c r="V20" s="47">
        <f t="shared" si="7"/>
        <v>1703</v>
      </c>
      <c r="W20" s="262">
        <f t="shared" si="1"/>
        <v>-5.963556046383212</v>
      </c>
    </row>
    <row r="21" spans="2:23" ht="13.5" thickTop="1">
      <c r="B21" s="4" t="s">
        <v>26</v>
      </c>
      <c r="C21" s="29">
        <v>32</v>
      </c>
      <c r="D21" s="30">
        <v>32</v>
      </c>
      <c r="E21" s="57">
        <f>+C21+D21</f>
        <v>64</v>
      </c>
      <c r="F21" s="29">
        <v>15</v>
      </c>
      <c r="G21" s="30">
        <v>15</v>
      </c>
      <c r="H21" s="58">
        <f>F21+G21</f>
        <v>30</v>
      </c>
      <c r="I21" s="32">
        <f>IF(E21=0,0,((H21/E21)-1)*100)</f>
        <v>-53.125</v>
      </c>
      <c r="L21" s="4" t="s">
        <v>27</v>
      </c>
      <c r="M21" s="29">
        <v>3330</v>
      </c>
      <c r="N21" s="36">
        <v>3159</v>
      </c>
      <c r="O21" s="51">
        <f>+M21+N21</f>
        <v>6489</v>
      </c>
      <c r="P21" s="59">
        <v>0</v>
      </c>
      <c r="Q21" s="35">
        <f>+O21+P21</f>
        <v>6489</v>
      </c>
      <c r="R21" s="29">
        <v>270</v>
      </c>
      <c r="S21" s="36">
        <v>223</v>
      </c>
      <c r="T21" s="51">
        <f>+R21+S21</f>
        <v>493</v>
      </c>
      <c r="U21" s="59">
        <v>0</v>
      </c>
      <c r="V21" s="31">
        <f>+T21+U21</f>
        <v>493</v>
      </c>
      <c r="W21" s="256">
        <f>IF(Q21=0,0,((V21/Q21)-1)*100)</f>
        <v>-92.40252735398367</v>
      </c>
    </row>
    <row r="22" spans="2:23" ht="12.75">
      <c r="B22" s="4" t="s">
        <v>28</v>
      </c>
      <c r="C22" s="29">
        <v>6</v>
      </c>
      <c r="D22" s="30">
        <v>6</v>
      </c>
      <c r="E22" s="33">
        <f>+C22+D22</f>
        <v>12</v>
      </c>
      <c r="F22" s="29">
        <v>14</v>
      </c>
      <c r="G22" s="30">
        <v>14</v>
      </c>
      <c r="H22" s="33">
        <f>F22+G22</f>
        <v>28</v>
      </c>
      <c r="I22" s="32">
        <f>IF(E22=0,0,((H22/E22)-1)*100)</f>
        <v>133.33333333333334</v>
      </c>
      <c r="L22" s="4" t="s">
        <v>28</v>
      </c>
      <c r="M22" s="29">
        <v>54</v>
      </c>
      <c r="N22" s="36">
        <v>225</v>
      </c>
      <c r="O22" s="51">
        <f>+M22+N22</f>
        <v>279</v>
      </c>
      <c r="P22" s="34">
        <v>0</v>
      </c>
      <c r="Q22" s="35">
        <f>+O22+P22</f>
        <v>279</v>
      </c>
      <c r="R22" s="29">
        <v>238</v>
      </c>
      <c r="S22" s="36">
        <v>250</v>
      </c>
      <c r="T22" s="51">
        <f>+R22+S22</f>
        <v>488</v>
      </c>
      <c r="U22" s="34">
        <v>0</v>
      </c>
      <c r="V22" s="31">
        <f>+T22+U22</f>
        <v>488</v>
      </c>
      <c r="W22" s="256">
        <f>IF(Q22=0,0,((V22/Q22)-1)*100)</f>
        <v>74.91039426523298</v>
      </c>
    </row>
    <row r="23" spans="2:23" ht="13.5" thickBot="1">
      <c r="B23" s="4" t="s">
        <v>29</v>
      </c>
      <c r="C23" s="29">
        <v>0</v>
      </c>
      <c r="D23" s="60">
        <v>0</v>
      </c>
      <c r="E23" s="61">
        <f>+C23+D23</f>
        <v>0</v>
      </c>
      <c r="F23" s="29">
        <v>13</v>
      </c>
      <c r="G23" s="60">
        <v>13</v>
      </c>
      <c r="H23" s="318">
        <f>F23+G23</f>
        <v>26</v>
      </c>
      <c r="I23" s="263">
        <f t="shared" si="0"/>
        <v>0</v>
      </c>
      <c r="L23" s="4" t="s">
        <v>29</v>
      </c>
      <c r="M23" s="29">
        <v>0</v>
      </c>
      <c r="N23" s="36">
        <v>0</v>
      </c>
      <c r="O23" s="51">
        <f>+M23+N23</f>
        <v>0</v>
      </c>
      <c r="P23" s="52">
        <v>0</v>
      </c>
      <c r="Q23" s="35">
        <f>+O23+P23</f>
        <v>0</v>
      </c>
      <c r="R23" s="29">
        <v>298</v>
      </c>
      <c r="S23" s="36">
        <v>290</v>
      </c>
      <c r="T23" s="51">
        <f>+R23+S23</f>
        <v>588</v>
      </c>
      <c r="U23" s="52">
        <v>0</v>
      </c>
      <c r="V23" s="31">
        <f>+T23+U23</f>
        <v>588</v>
      </c>
      <c r="W23" s="32">
        <f t="shared" si="1"/>
        <v>0</v>
      </c>
    </row>
    <row r="24" spans="2:23" ht="14.25" thickBot="1" thickTop="1">
      <c r="B24" s="39" t="s">
        <v>30</v>
      </c>
      <c r="C24" s="40">
        <f aca="true" t="shared" si="8" ref="C24:H24">+C21+C22+C23</f>
        <v>38</v>
      </c>
      <c r="D24" s="41">
        <f t="shared" si="8"/>
        <v>38</v>
      </c>
      <c r="E24" s="40">
        <f t="shared" si="8"/>
        <v>76</v>
      </c>
      <c r="F24" s="40">
        <f t="shared" si="8"/>
        <v>42</v>
      </c>
      <c r="G24" s="41">
        <f t="shared" si="8"/>
        <v>42</v>
      </c>
      <c r="H24" s="40">
        <f t="shared" si="8"/>
        <v>84</v>
      </c>
      <c r="I24" s="257">
        <f t="shared" si="0"/>
        <v>10.526315789473696</v>
      </c>
      <c r="L24" s="39" t="s">
        <v>30</v>
      </c>
      <c r="M24" s="40">
        <f aca="true" t="shared" si="9" ref="M24:V24">+M21+M22+M23</f>
        <v>3384</v>
      </c>
      <c r="N24" s="41">
        <f t="shared" si="9"/>
        <v>3384</v>
      </c>
      <c r="O24" s="40">
        <f t="shared" si="9"/>
        <v>6768</v>
      </c>
      <c r="P24" s="40">
        <f t="shared" si="9"/>
        <v>0</v>
      </c>
      <c r="Q24" s="40">
        <f t="shared" si="9"/>
        <v>6768</v>
      </c>
      <c r="R24" s="40">
        <f t="shared" si="9"/>
        <v>806</v>
      </c>
      <c r="S24" s="41">
        <f t="shared" si="9"/>
        <v>763</v>
      </c>
      <c r="T24" s="40">
        <f t="shared" si="9"/>
        <v>1569</v>
      </c>
      <c r="U24" s="40">
        <f t="shared" si="9"/>
        <v>0</v>
      </c>
      <c r="V24" s="40">
        <f t="shared" si="9"/>
        <v>1569</v>
      </c>
      <c r="W24" s="257">
        <f t="shared" si="1"/>
        <v>-76.81737588652481</v>
      </c>
    </row>
    <row r="25" spans="2:23" ht="14.25" thickBot="1" thickTop="1">
      <c r="B25" s="39" t="s">
        <v>66</v>
      </c>
      <c r="C25" s="40">
        <f aca="true" t="shared" si="10" ref="C25:H25">+C16+C20+C24</f>
        <v>71</v>
      </c>
      <c r="D25" s="41">
        <f t="shared" si="10"/>
        <v>71</v>
      </c>
      <c r="E25" s="42">
        <f t="shared" si="10"/>
        <v>142</v>
      </c>
      <c r="F25" s="40">
        <f t="shared" si="10"/>
        <v>116</v>
      </c>
      <c r="G25" s="41">
        <f t="shared" si="10"/>
        <v>117</v>
      </c>
      <c r="H25" s="42">
        <f t="shared" si="10"/>
        <v>233</v>
      </c>
      <c r="I25" s="258">
        <f t="shared" si="0"/>
        <v>64.08450704225352</v>
      </c>
      <c r="L25" s="39" t="s">
        <v>66</v>
      </c>
      <c r="M25" s="40">
        <f aca="true" t="shared" si="11" ref="M25:V25">+M16+M20+M24</f>
        <v>4712</v>
      </c>
      <c r="N25" s="41">
        <f t="shared" si="11"/>
        <v>4534</v>
      </c>
      <c r="O25" s="40">
        <f t="shared" si="11"/>
        <v>9246</v>
      </c>
      <c r="P25" s="40">
        <f t="shared" si="11"/>
        <v>0</v>
      </c>
      <c r="Q25" s="40">
        <f t="shared" si="11"/>
        <v>9246</v>
      </c>
      <c r="R25" s="40">
        <f t="shared" si="11"/>
        <v>2705</v>
      </c>
      <c r="S25" s="41">
        <f t="shared" si="11"/>
        <v>2207</v>
      </c>
      <c r="T25" s="40">
        <f t="shared" si="11"/>
        <v>4912</v>
      </c>
      <c r="U25" s="40">
        <f t="shared" si="11"/>
        <v>127</v>
      </c>
      <c r="V25" s="42">
        <f t="shared" si="11"/>
        <v>5039</v>
      </c>
      <c r="W25" s="54">
        <f t="shared" si="1"/>
        <v>-45.500757084144496</v>
      </c>
    </row>
    <row r="26" spans="2:23" ht="14.25" thickBot="1" thickTop="1">
      <c r="B26" s="39" t="s">
        <v>9</v>
      </c>
      <c r="C26" s="40">
        <f aca="true" t="shared" si="12" ref="C26:H26">C16+C20+C24+C12</f>
        <v>76</v>
      </c>
      <c r="D26" s="41">
        <f t="shared" si="12"/>
        <v>76</v>
      </c>
      <c r="E26" s="40">
        <f t="shared" si="12"/>
        <v>152</v>
      </c>
      <c r="F26" s="40">
        <f t="shared" si="12"/>
        <v>120</v>
      </c>
      <c r="G26" s="41">
        <f t="shared" si="12"/>
        <v>121</v>
      </c>
      <c r="H26" s="40">
        <f t="shared" si="12"/>
        <v>241</v>
      </c>
      <c r="I26" s="257">
        <f t="shared" si="0"/>
        <v>58.55263157894737</v>
      </c>
      <c r="L26" s="39" t="s">
        <v>9</v>
      </c>
      <c r="M26" s="40">
        <f aca="true" t="shared" si="13" ref="M26:V26">M16+M20+M24+M12</f>
        <v>4885</v>
      </c>
      <c r="N26" s="41">
        <f t="shared" si="13"/>
        <v>4612</v>
      </c>
      <c r="O26" s="40">
        <f t="shared" si="13"/>
        <v>9497</v>
      </c>
      <c r="P26" s="40">
        <f t="shared" si="13"/>
        <v>0</v>
      </c>
      <c r="Q26" s="40">
        <f t="shared" si="13"/>
        <v>9497</v>
      </c>
      <c r="R26" s="40">
        <f t="shared" si="13"/>
        <v>2717</v>
      </c>
      <c r="S26" s="41">
        <f t="shared" si="13"/>
        <v>2211</v>
      </c>
      <c r="T26" s="40">
        <f t="shared" si="13"/>
        <v>4928</v>
      </c>
      <c r="U26" s="40">
        <f t="shared" si="13"/>
        <v>127</v>
      </c>
      <c r="V26" s="40">
        <f t="shared" si="13"/>
        <v>5055</v>
      </c>
      <c r="W26" s="257">
        <f t="shared" si="1"/>
        <v>-46.772665052121724</v>
      </c>
    </row>
    <row r="27" spans="2:12" ht="13.5" thickTop="1">
      <c r="B27" s="63" t="s">
        <v>64</v>
      </c>
      <c r="L27" s="63" t="s">
        <v>64</v>
      </c>
    </row>
    <row r="28" spans="2:23" ht="12.75">
      <c r="B28" s="336" t="s">
        <v>31</v>
      </c>
      <c r="C28" s="336"/>
      <c r="D28" s="336"/>
      <c r="E28" s="336"/>
      <c r="F28" s="336"/>
      <c r="G28" s="336"/>
      <c r="H28" s="336"/>
      <c r="I28" s="336"/>
      <c r="L28" s="336" t="s">
        <v>32</v>
      </c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</row>
    <row r="29" spans="2:23" ht="15.75">
      <c r="B29" s="337" t="s">
        <v>33</v>
      </c>
      <c r="C29" s="337"/>
      <c r="D29" s="337"/>
      <c r="E29" s="337"/>
      <c r="F29" s="337"/>
      <c r="G29" s="337"/>
      <c r="H29" s="337"/>
      <c r="I29" s="337"/>
      <c r="L29" s="337" t="s">
        <v>34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</row>
    <row r="30" ht="13.5" thickBot="1"/>
    <row r="31" spans="2:23" ht="17.25" thickBot="1" thickTop="1">
      <c r="B31" s="3"/>
      <c r="C31" s="347" t="s">
        <v>67</v>
      </c>
      <c r="D31" s="348"/>
      <c r="E31" s="349"/>
      <c r="F31" s="338" t="s">
        <v>68</v>
      </c>
      <c r="G31" s="339"/>
      <c r="H31" s="340"/>
      <c r="I31" s="239" t="s">
        <v>4</v>
      </c>
      <c r="L31" s="3"/>
      <c r="M31" s="347" t="s">
        <v>67</v>
      </c>
      <c r="N31" s="348"/>
      <c r="O31" s="348"/>
      <c r="P31" s="348"/>
      <c r="Q31" s="349"/>
      <c r="R31" s="338" t="s">
        <v>68</v>
      </c>
      <c r="S31" s="339"/>
      <c r="T31" s="339"/>
      <c r="U31" s="339"/>
      <c r="V31" s="340"/>
      <c r="W31" s="239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0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0" t="s">
        <v>6</v>
      </c>
    </row>
    <row r="33" spans="2:23" ht="13.5" thickBot="1">
      <c r="B33" s="12"/>
      <c r="C33" s="13" t="s">
        <v>7</v>
      </c>
      <c r="D33" s="230" t="s">
        <v>8</v>
      </c>
      <c r="E33" s="14" t="s">
        <v>9</v>
      </c>
      <c r="F33" s="13" t="s">
        <v>7</v>
      </c>
      <c r="G33" s="230" t="s">
        <v>8</v>
      </c>
      <c r="H33" s="14" t="s">
        <v>9</v>
      </c>
      <c r="I33" s="241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1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4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07"/>
    </row>
    <row r="35" spans="2:23" ht="12.75">
      <c r="B35" s="4" t="s">
        <v>14</v>
      </c>
      <c r="C35" s="29">
        <v>197</v>
      </c>
      <c r="D35" s="30">
        <v>196</v>
      </c>
      <c r="E35" s="35">
        <f>C35+D35</f>
        <v>393</v>
      </c>
      <c r="F35" s="29">
        <v>230</v>
      </c>
      <c r="G35" s="30">
        <v>228</v>
      </c>
      <c r="H35" s="31">
        <f>F35+G35</f>
        <v>458</v>
      </c>
      <c r="I35" s="256">
        <f aca="true" t="shared" si="14" ref="I35:I52">IF(E35=0,0,((H35/E35)-1)*100)</f>
        <v>16.53944020356235</v>
      </c>
      <c r="L35" s="4" t="s">
        <v>14</v>
      </c>
      <c r="M35" s="29">
        <v>31393</v>
      </c>
      <c r="N35" s="36">
        <v>29263</v>
      </c>
      <c r="O35" s="33">
        <f>+M35+N35</f>
        <v>60656</v>
      </c>
      <c r="P35" s="34">
        <v>0</v>
      </c>
      <c r="Q35" s="35">
        <f>O35+P35</f>
        <v>60656</v>
      </c>
      <c r="R35" s="29">
        <v>40024</v>
      </c>
      <c r="S35" s="36">
        <v>33442</v>
      </c>
      <c r="T35" s="33">
        <f>+R35+S35</f>
        <v>73466</v>
      </c>
      <c r="U35" s="34">
        <v>0</v>
      </c>
      <c r="V35" s="31">
        <f>T35+U35</f>
        <v>73466</v>
      </c>
      <c r="W35" s="256">
        <f aca="true" t="shared" si="15" ref="W35:W52">IF(Q35=0,0,((V35/Q35)-1)*100)</f>
        <v>21.119097863360594</v>
      </c>
    </row>
    <row r="36" spans="2:23" ht="12.75">
      <c r="B36" s="4" t="s">
        <v>15</v>
      </c>
      <c r="C36" s="29">
        <v>240</v>
      </c>
      <c r="D36" s="30">
        <v>241</v>
      </c>
      <c r="E36" s="35">
        <f>C36+D36</f>
        <v>481</v>
      </c>
      <c r="F36" s="29">
        <v>225</v>
      </c>
      <c r="G36" s="30">
        <v>227</v>
      </c>
      <c r="H36" s="31">
        <f>F36+G36</f>
        <v>452</v>
      </c>
      <c r="I36" s="256">
        <f t="shared" si="14"/>
        <v>-6.029106029106024</v>
      </c>
      <c r="L36" s="4" t="s">
        <v>15</v>
      </c>
      <c r="M36" s="29">
        <v>37001</v>
      </c>
      <c r="N36" s="36">
        <v>33696</v>
      </c>
      <c r="O36" s="33">
        <f>+M36+N36</f>
        <v>70697</v>
      </c>
      <c r="P36" s="34">
        <v>0</v>
      </c>
      <c r="Q36" s="35">
        <f>O36+P36</f>
        <v>70697</v>
      </c>
      <c r="R36" s="29">
        <v>36280</v>
      </c>
      <c r="S36" s="36">
        <v>34783</v>
      </c>
      <c r="T36" s="33">
        <f>+R36+S36</f>
        <v>71063</v>
      </c>
      <c r="U36" s="34">
        <v>0</v>
      </c>
      <c r="V36" s="31">
        <f>T36+U36</f>
        <v>71063</v>
      </c>
      <c r="W36" s="256">
        <f t="shared" si="15"/>
        <v>0.5177023070285891</v>
      </c>
    </row>
    <row r="37" spans="2:23" ht="13.5" thickBot="1">
      <c r="B37" s="12" t="s">
        <v>16</v>
      </c>
      <c r="C37" s="37">
        <v>265</v>
      </c>
      <c r="D37" s="38">
        <v>264</v>
      </c>
      <c r="E37" s="64">
        <f>C37+D37</f>
        <v>529</v>
      </c>
      <c r="F37" s="37">
        <v>256</v>
      </c>
      <c r="G37" s="38">
        <v>254</v>
      </c>
      <c r="H37" s="31">
        <f>F37+G37</f>
        <v>510</v>
      </c>
      <c r="I37" s="256">
        <f t="shared" si="14"/>
        <v>-3.5916824196597363</v>
      </c>
      <c r="L37" s="12" t="s">
        <v>16</v>
      </c>
      <c r="M37" s="29">
        <v>44073</v>
      </c>
      <c r="N37" s="36">
        <v>39071</v>
      </c>
      <c r="O37" s="33">
        <f>+M37+N37</f>
        <v>83144</v>
      </c>
      <c r="P37" s="34">
        <v>0</v>
      </c>
      <c r="Q37" s="35">
        <f>O37+P37</f>
        <v>83144</v>
      </c>
      <c r="R37" s="29">
        <v>43375</v>
      </c>
      <c r="S37" s="36">
        <v>39149</v>
      </c>
      <c r="T37" s="33">
        <f>+R37+S37</f>
        <v>82524</v>
      </c>
      <c r="U37" s="34">
        <v>0</v>
      </c>
      <c r="V37" s="31">
        <f>T37+U37</f>
        <v>82524</v>
      </c>
      <c r="W37" s="256">
        <f t="shared" si="15"/>
        <v>-0.7456942172616166</v>
      </c>
    </row>
    <row r="38" spans="2:23" ht="14.25" thickBot="1" thickTop="1">
      <c r="B38" s="39" t="s">
        <v>17</v>
      </c>
      <c r="C38" s="40">
        <f aca="true" t="shared" si="16" ref="C38:H38">C35+C36+C37</f>
        <v>702</v>
      </c>
      <c r="D38" s="41">
        <f t="shared" si="16"/>
        <v>701</v>
      </c>
      <c r="E38" s="43">
        <f t="shared" si="16"/>
        <v>1403</v>
      </c>
      <c r="F38" s="40">
        <f t="shared" si="16"/>
        <v>711</v>
      </c>
      <c r="G38" s="41">
        <f t="shared" si="16"/>
        <v>709</v>
      </c>
      <c r="H38" s="42">
        <f t="shared" si="16"/>
        <v>1420</v>
      </c>
      <c r="I38" s="257">
        <f t="shared" si="14"/>
        <v>1.2116892373485344</v>
      </c>
      <c r="L38" s="39" t="s">
        <v>17</v>
      </c>
      <c r="M38" s="40">
        <f>M35+M36+M37</f>
        <v>112467</v>
      </c>
      <c r="N38" s="41">
        <f>N35+N36+N37</f>
        <v>102030</v>
      </c>
      <c r="O38" s="40">
        <f>O35+O36+O37</f>
        <v>214497</v>
      </c>
      <c r="P38" s="40">
        <f>P35+P36+P37</f>
        <v>0</v>
      </c>
      <c r="Q38" s="40">
        <f aca="true" t="shared" si="17" ref="Q38:V38">Q35+Q36+Q37</f>
        <v>214497</v>
      </c>
      <c r="R38" s="40">
        <f t="shared" si="17"/>
        <v>119679</v>
      </c>
      <c r="S38" s="41">
        <f t="shared" si="17"/>
        <v>107374</v>
      </c>
      <c r="T38" s="40">
        <f t="shared" si="17"/>
        <v>227053</v>
      </c>
      <c r="U38" s="40">
        <f t="shared" si="17"/>
        <v>0</v>
      </c>
      <c r="V38" s="42">
        <f t="shared" si="17"/>
        <v>227053</v>
      </c>
      <c r="W38" s="257">
        <f t="shared" si="15"/>
        <v>5.853694923472119</v>
      </c>
    </row>
    <row r="39" spans="2:23" ht="13.5" thickTop="1">
      <c r="B39" s="4" t="s">
        <v>18</v>
      </c>
      <c r="C39" s="29">
        <v>260</v>
      </c>
      <c r="D39" s="30">
        <v>259</v>
      </c>
      <c r="E39" s="35">
        <f>C39+D39</f>
        <v>519</v>
      </c>
      <c r="F39" s="29">
        <f>310+28</f>
        <v>338</v>
      </c>
      <c r="G39" s="30">
        <f>310+28</f>
        <v>338</v>
      </c>
      <c r="H39" s="31">
        <f>F39+G39</f>
        <v>676</v>
      </c>
      <c r="I39" s="256">
        <f t="shared" si="14"/>
        <v>30.25048169556841</v>
      </c>
      <c r="L39" s="4" t="s">
        <v>18</v>
      </c>
      <c r="M39" s="29">
        <v>42289</v>
      </c>
      <c r="N39" s="36">
        <v>43246</v>
      </c>
      <c r="O39" s="33">
        <f>+M39+N39</f>
        <v>85535</v>
      </c>
      <c r="P39" s="34">
        <v>0</v>
      </c>
      <c r="Q39" s="35">
        <f>O39+P39</f>
        <v>85535</v>
      </c>
      <c r="R39" s="29">
        <v>45545</v>
      </c>
      <c r="S39" s="36">
        <v>48362</v>
      </c>
      <c r="T39" s="33">
        <f>+R39+S39</f>
        <v>93907</v>
      </c>
      <c r="U39" s="34">
        <v>0</v>
      </c>
      <c r="V39" s="31">
        <f>T39+U39</f>
        <v>93907</v>
      </c>
      <c r="W39" s="256">
        <f t="shared" si="15"/>
        <v>9.787806161220548</v>
      </c>
    </row>
    <row r="40" spans="2:23" ht="12.75">
      <c r="B40" s="4" t="s">
        <v>19</v>
      </c>
      <c r="C40" s="29">
        <f>224+35</f>
        <v>259</v>
      </c>
      <c r="D40" s="30">
        <v>261</v>
      </c>
      <c r="E40" s="35">
        <f>+C40+D40</f>
        <v>520</v>
      </c>
      <c r="F40" s="29">
        <f>290+15</f>
        <v>305</v>
      </c>
      <c r="G40" s="30">
        <v>304</v>
      </c>
      <c r="H40" s="31">
        <f>F40+G40</f>
        <v>609</v>
      </c>
      <c r="I40" s="256">
        <f>IF(E40=0,0,((H40/E40)-1)*100)</f>
        <v>17.11538461538462</v>
      </c>
      <c r="L40" s="4" t="s">
        <v>19</v>
      </c>
      <c r="M40" s="29">
        <v>36414</v>
      </c>
      <c r="N40" s="36">
        <v>35479</v>
      </c>
      <c r="O40" s="33">
        <f>+M40+N40</f>
        <v>71893</v>
      </c>
      <c r="P40" s="34">
        <v>0</v>
      </c>
      <c r="Q40" s="35">
        <f>O40+P40</f>
        <v>71893</v>
      </c>
      <c r="R40" s="29">
        <v>41702</v>
      </c>
      <c r="S40" s="36">
        <v>40784</v>
      </c>
      <c r="T40" s="33">
        <f>+R40+S40</f>
        <v>82486</v>
      </c>
      <c r="U40" s="34">
        <v>0</v>
      </c>
      <c r="V40" s="31">
        <f>T40+U40</f>
        <v>82486</v>
      </c>
      <c r="W40" s="256">
        <f>IF(Q40=0,0,((V40/Q40)-1)*100)</f>
        <v>14.734396951024431</v>
      </c>
    </row>
    <row r="41" spans="2:23" ht="13.5" thickBot="1">
      <c r="B41" s="211" t="s">
        <v>20</v>
      </c>
      <c r="C41" s="68">
        <f>248+52</f>
        <v>300</v>
      </c>
      <c r="D41" s="30">
        <f>248+52</f>
        <v>300</v>
      </c>
      <c r="E41" s="66">
        <f>+C41+D41</f>
        <v>600</v>
      </c>
      <c r="F41" s="68">
        <f>294+14</f>
        <v>308</v>
      </c>
      <c r="G41" s="30">
        <f>294+14</f>
        <v>308</v>
      </c>
      <c r="H41" s="31">
        <f>F41+G41</f>
        <v>616</v>
      </c>
      <c r="I41" s="256">
        <f t="shared" si="14"/>
        <v>2.6666666666666616</v>
      </c>
      <c r="L41" s="85" t="s">
        <v>20</v>
      </c>
      <c r="M41" s="86">
        <v>36681</v>
      </c>
      <c r="N41" s="36">
        <v>35652</v>
      </c>
      <c r="O41" s="33">
        <f>+M41+N41</f>
        <v>72333</v>
      </c>
      <c r="P41" s="87">
        <v>0</v>
      </c>
      <c r="Q41" s="88">
        <f>O41+P41</f>
        <v>72333</v>
      </c>
      <c r="R41" s="86">
        <v>40494</v>
      </c>
      <c r="S41" s="36">
        <v>39615</v>
      </c>
      <c r="T41" s="33">
        <f>+R41+S41</f>
        <v>80109</v>
      </c>
      <c r="U41" s="87">
        <v>0</v>
      </c>
      <c r="V41" s="31">
        <f>T41+U41</f>
        <v>80109</v>
      </c>
      <c r="W41" s="256">
        <f t="shared" si="15"/>
        <v>10.750279955207166</v>
      </c>
    </row>
    <row r="42" spans="2:23" ht="14.25" thickBot="1" thickTop="1">
      <c r="B42" s="44" t="s">
        <v>21</v>
      </c>
      <c r="C42" s="40">
        <f aca="true" t="shared" si="18" ref="C42:H42">+C39+C40+C41</f>
        <v>819</v>
      </c>
      <c r="D42" s="41">
        <f t="shared" si="18"/>
        <v>820</v>
      </c>
      <c r="E42" s="42">
        <f t="shared" si="18"/>
        <v>1639</v>
      </c>
      <c r="F42" s="40">
        <f t="shared" si="18"/>
        <v>951</v>
      </c>
      <c r="G42" s="41">
        <f t="shared" si="18"/>
        <v>950</v>
      </c>
      <c r="H42" s="42">
        <f t="shared" si="18"/>
        <v>1901</v>
      </c>
      <c r="I42" s="258">
        <f>IF(E42=0,0,((H42/E42)-1)*100)</f>
        <v>15.985356924954242</v>
      </c>
      <c r="L42" s="44" t="s">
        <v>21</v>
      </c>
      <c r="M42" s="40">
        <f aca="true" t="shared" si="19" ref="M42:V42">+M39+M40+M41</f>
        <v>115384</v>
      </c>
      <c r="N42" s="41">
        <f t="shared" si="19"/>
        <v>114377</v>
      </c>
      <c r="O42" s="40">
        <f t="shared" si="19"/>
        <v>229761</v>
      </c>
      <c r="P42" s="40">
        <f t="shared" si="19"/>
        <v>0</v>
      </c>
      <c r="Q42" s="40">
        <f t="shared" si="19"/>
        <v>229761</v>
      </c>
      <c r="R42" s="40">
        <f t="shared" si="19"/>
        <v>127741</v>
      </c>
      <c r="S42" s="41">
        <f t="shared" si="19"/>
        <v>128761</v>
      </c>
      <c r="T42" s="40">
        <f t="shared" si="19"/>
        <v>256502</v>
      </c>
      <c r="U42" s="40">
        <f t="shared" si="19"/>
        <v>0</v>
      </c>
      <c r="V42" s="42">
        <f t="shared" si="19"/>
        <v>256502</v>
      </c>
      <c r="W42" s="54">
        <f>IF(Q42=0,0,((V42/Q42)-1)*100)</f>
        <v>11.638615779005136</v>
      </c>
    </row>
    <row r="43" spans="2:23" ht="13.5" thickTop="1">
      <c r="B43" s="4" t="s">
        <v>35</v>
      </c>
      <c r="C43" s="29">
        <v>275</v>
      </c>
      <c r="D43" s="30">
        <v>275</v>
      </c>
      <c r="E43" s="35">
        <f>+C43+D43</f>
        <v>550</v>
      </c>
      <c r="F43" s="29">
        <v>294</v>
      </c>
      <c r="G43" s="30">
        <v>294</v>
      </c>
      <c r="H43" s="31">
        <f>F43+G43</f>
        <v>588</v>
      </c>
      <c r="I43" s="256">
        <f t="shared" si="14"/>
        <v>6.909090909090909</v>
      </c>
      <c r="L43" s="4" t="s">
        <v>22</v>
      </c>
      <c r="M43" s="29">
        <v>34949</v>
      </c>
      <c r="N43" s="36">
        <v>34292</v>
      </c>
      <c r="O43" s="33">
        <f>+M43+N43</f>
        <v>69241</v>
      </c>
      <c r="P43" s="34">
        <v>0</v>
      </c>
      <c r="Q43" s="35">
        <f>+O43+P43</f>
        <v>69241</v>
      </c>
      <c r="R43" s="29">
        <v>41018</v>
      </c>
      <c r="S43" s="36">
        <v>41139</v>
      </c>
      <c r="T43" s="33">
        <f>+S43+R43</f>
        <v>82157</v>
      </c>
      <c r="U43" s="34">
        <v>0</v>
      </c>
      <c r="V43" s="35">
        <f>+T43+U43</f>
        <v>82157</v>
      </c>
      <c r="W43" s="256">
        <f t="shared" si="15"/>
        <v>18.653687843907505</v>
      </c>
    </row>
    <row r="44" spans="2:23" ht="12.75">
      <c r="B44" s="4" t="s">
        <v>23</v>
      </c>
      <c r="C44" s="29">
        <v>250</v>
      </c>
      <c r="D44" s="30">
        <v>250</v>
      </c>
      <c r="E44" s="35">
        <f>+C44+D44</f>
        <v>500</v>
      </c>
      <c r="F44" s="29">
        <f>265+6</f>
        <v>271</v>
      </c>
      <c r="G44" s="30">
        <f>265+6</f>
        <v>271</v>
      </c>
      <c r="H44" s="31">
        <f>F44+G44</f>
        <v>542</v>
      </c>
      <c r="I44" s="256">
        <f>IF(E44=0,0,((H44/E44)-1)*100)</f>
        <v>8.400000000000007</v>
      </c>
      <c r="L44" s="4" t="s">
        <v>23</v>
      </c>
      <c r="M44" s="29">
        <v>28894</v>
      </c>
      <c r="N44" s="36">
        <v>28798</v>
      </c>
      <c r="O44" s="33">
        <f>+M44+N44</f>
        <v>57692</v>
      </c>
      <c r="P44" s="34">
        <v>0</v>
      </c>
      <c r="Q44" s="35">
        <f>+O44+P44</f>
        <v>57692</v>
      </c>
      <c r="R44" s="29">
        <v>36479</v>
      </c>
      <c r="S44" s="36">
        <v>36501</v>
      </c>
      <c r="T44" s="33">
        <f>+S44+R44</f>
        <v>72980</v>
      </c>
      <c r="U44" s="34">
        <v>0</v>
      </c>
      <c r="V44" s="31">
        <f>+T44+U44</f>
        <v>72980</v>
      </c>
      <c r="W44" s="256">
        <f>IF(Q44=0,0,((V44/Q44)-1)*100)</f>
        <v>26.499341329820435</v>
      </c>
    </row>
    <row r="45" spans="2:23" ht="13.5" thickBot="1">
      <c r="B45" s="4" t="s">
        <v>24</v>
      </c>
      <c r="C45" s="29">
        <f>128+88</f>
        <v>216</v>
      </c>
      <c r="D45" s="38">
        <f>129+87</f>
        <v>216</v>
      </c>
      <c r="E45" s="35">
        <f>+C45+D45</f>
        <v>432</v>
      </c>
      <c r="F45" s="29">
        <v>245</v>
      </c>
      <c r="G45" s="38">
        <v>245</v>
      </c>
      <c r="H45" s="31">
        <f>F45+G45</f>
        <v>490</v>
      </c>
      <c r="I45" s="263">
        <f t="shared" si="14"/>
        <v>13.425925925925931</v>
      </c>
      <c r="L45" s="4" t="s">
        <v>24</v>
      </c>
      <c r="M45" s="29">
        <v>26593</v>
      </c>
      <c r="N45" s="36">
        <v>25498</v>
      </c>
      <c r="O45" s="51">
        <f>+M45+N45</f>
        <v>52091</v>
      </c>
      <c r="P45" s="52">
        <v>0</v>
      </c>
      <c r="Q45" s="35">
        <f>+O45+P45</f>
        <v>52091</v>
      </c>
      <c r="R45" s="29">
        <v>33165</v>
      </c>
      <c r="S45" s="36">
        <v>31756</v>
      </c>
      <c r="T45" s="51">
        <f>+S45+R45</f>
        <v>64921</v>
      </c>
      <c r="U45" s="52">
        <v>0</v>
      </c>
      <c r="V45" s="31">
        <f>+T45+U45</f>
        <v>64921</v>
      </c>
      <c r="W45" s="256">
        <f t="shared" si="15"/>
        <v>24.62997446775834</v>
      </c>
    </row>
    <row r="46" spans="2:23" ht="14.25" thickBot="1" thickTop="1">
      <c r="B46" s="39" t="s">
        <v>59</v>
      </c>
      <c r="C46" s="45">
        <f aca="true" t="shared" si="20" ref="C46:H46">C43+C44+C45</f>
        <v>741</v>
      </c>
      <c r="D46" s="46">
        <f t="shared" si="20"/>
        <v>741</v>
      </c>
      <c r="E46" s="53">
        <f t="shared" si="20"/>
        <v>1482</v>
      </c>
      <c r="F46" s="45">
        <f t="shared" si="20"/>
        <v>810</v>
      </c>
      <c r="G46" s="46">
        <f t="shared" si="20"/>
        <v>810</v>
      </c>
      <c r="H46" s="53">
        <f t="shared" si="20"/>
        <v>1620</v>
      </c>
      <c r="I46" s="257">
        <f t="shared" si="14"/>
        <v>9.31174089068827</v>
      </c>
      <c r="L46" s="44" t="s">
        <v>25</v>
      </c>
      <c r="M46" s="45">
        <f aca="true" t="shared" si="21" ref="M46:V46">M43+M44+M45</f>
        <v>90436</v>
      </c>
      <c r="N46" s="45">
        <f t="shared" si="21"/>
        <v>88588</v>
      </c>
      <c r="O46" s="47">
        <f t="shared" si="21"/>
        <v>179024</v>
      </c>
      <c r="P46" s="47">
        <f t="shared" si="21"/>
        <v>0</v>
      </c>
      <c r="Q46" s="47">
        <f t="shared" si="21"/>
        <v>179024</v>
      </c>
      <c r="R46" s="45">
        <f t="shared" si="21"/>
        <v>110662</v>
      </c>
      <c r="S46" s="45">
        <f t="shared" si="21"/>
        <v>109396</v>
      </c>
      <c r="T46" s="47">
        <f t="shared" si="21"/>
        <v>220058</v>
      </c>
      <c r="U46" s="47">
        <f t="shared" si="21"/>
        <v>0</v>
      </c>
      <c r="V46" s="47">
        <f t="shared" si="21"/>
        <v>220058</v>
      </c>
      <c r="W46" s="262">
        <f t="shared" si="15"/>
        <v>22.92094914648315</v>
      </c>
    </row>
    <row r="47" spans="2:23" ht="13.5" thickTop="1">
      <c r="B47" s="4" t="s">
        <v>26</v>
      </c>
      <c r="C47" s="29">
        <f>178+24</f>
        <v>202</v>
      </c>
      <c r="D47" s="30">
        <f>178+24</f>
        <v>202</v>
      </c>
      <c r="E47" s="67">
        <f>+C47+D47</f>
        <v>404</v>
      </c>
      <c r="F47" s="29">
        <f>245+8</f>
        <v>253</v>
      </c>
      <c r="G47" s="30">
        <f>245+8</f>
        <v>253</v>
      </c>
      <c r="H47" s="31">
        <f>F47+G47</f>
        <v>506</v>
      </c>
      <c r="I47" s="256">
        <f>IF(E47=0,0,((H47/E47)-1)*100)</f>
        <v>25.247524752475247</v>
      </c>
      <c r="L47" s="4" t="s">
        <v>27</v>
      </c>
      <c r="M47" s="29">
        <v>31349</v>
      </c>
      <c r="N47" s="36">
        <v>29813</v>
      </c>
      <c r="O47" s="51">
        <f>+M47+N47</f>
        <v>61162</v>
      </c>
      <c r="P47" s="59">
        <v>9</v>
      </c>
      <c r="Q47" s="35">
        <f>+O47+P47</f>
        <v>61171</v>
      </c>
      <c r="R47" s="29">
        <v>38606</v>
      </c>
      <c r="S47" s="36">
        <v>35473</v>
      </c>
      <c r="T47" s="51">
        <f>+S47+R47</f>
        <v>74079</v>
      </c>
      <c r="U47" s="59">
        <v>0</v>
      </c>
      <c r="V47" s="31">
        <f>+T47+U47</f>
        <v>74079</v>
      </c>
      <c r="W47" s="256">
        <f>IF(Q47=0,0,((V47/Q47)-1)*100)</f>
        <v>21.10150234588286</v>
      </c>
    </row>
    <row r="48" spans="2:23" ht="12.75">
      <c r="B48" s="4" t="s">
        <v>28</v>
      </c>
      <c r="C48" s="29">
        <f>166+23</f>
        <v>189</v>
      </c>
      <c r="D48" s="30">
        <f>166+23</f>
        <v>189</v>
      </c>
      <c r="E48" s="35">
        <f>+C48+D48</f>
        <v>378</v>
      </c>
      <c r="F48" s="29">
        <v>249</v>
      </c>
      <c r="G48" s="30">
        <v>249</v>
      </c>
      <c r="H48" s="31">
        <f>F48+G48</f>
        <v>498</v>
      </c>
      <c r="I48" s="256">
        <f>IF(E48=0,0,((H48/E48)-1)*100)</f>
        <v>31.746031746031743</v>
      </c>
      <c r="L48" s="4" t="s">
        <v>28</v>
      </c>
      <c r="M48" s="29">
        <v>30277</v>
      </c>
      <c r="N48" s="36">
        <v>30086</v>
      </c>
      <c r="O48" s="51">
        <f>+M48+N48</f>
        <v>60363</v>
      </c>
      <c r="P48" s="34">
        <v>0</v>
      </c>
      <c r="Q48" s="35">
        <f>+O48+P48</f>
        <v>60363</v>
      </c>
      <c r="R48" s="29">
        <v>38801</v>
      </c>
      <c r="S48" s="36">
        <v>39217</v>
      </c>
      <c r="T48" s="51">
        <f>+S48+R48</f>
        <v>78018</v>
      </c>
      <c r="U48" s="34">
        <v>0</v>
      </c>
      <c r="V48" s="31">
        <f>+T48+U48</f>
        <v>78018</v>
      </c>
      <c r="W48" s="256">
        <f>IF(Q48=0,0,((V48/Q48)-1)*100)</f>
        <v>29.248049301724578</v>
      </c>
    </row>
    <row r="49" spans="2:23" ht="13.5" thickBot="1">
      <c r="B49" s="4" t="s">
        <v>29</v>
      </c>
      <c r="C49" s="29">
        <v>173</v>
      </c>
      <c r="D49" s="60">
        <v>173</v>
      </c>
      <c r="E49" s="35">
        <f>+C49+D49</f>
        <v>346</v>
      </c>
      <c r="F49" s="29">
        <f>230+15</f>
        <v>245</v>
      </c>
      <c r="G49" s="60">
        <f>229+14</f>
        <v>243</v>
      </c>
      <c r="H49" s="31">
        <f>F49+G49</f>
        <v>488</v>
      </c>
      <c r="I49" s="256">
        <f t="shared" si="14"/>
        <v>41.04046242774566</v>
      </c>
      <c r="L49" s="4" t="s">
        <v>29</v>
      </c>
      <c r="M49" s="29">
        <v>25750</v>
      </c>
      <c r="N49" s="36">
        <v>25779</v>
      </c>
      <c r="O49" s="51">
        <f>+M49+N49</f>
        <v>51529</v>
      </c>
      <c r="P49" s="52">
        <v>0</v>
      </c>
      <c r="Q49" s="35">
        <f>+O49+P49</f>
        <v>51529</v>
      </c>
      <c r="R49" s="29">
        <v>33528</v>
      </c>
      <c r="S49" s="36">
        <v>32030</v>
      </c>
      <c r="T49" s="51">
        <f>+S49+R49</f>
        <v>65558</v>
      </c>
      <c r="U49" s="52">
        <v>0</v>
      </c>
      <c r="V49" s="31">
        <f>T49+U49</f>
        <v>65558</v>
      </c>
      <c r="W49" s="256">
        <f t="shared" si="15"/>
        <v>27.225445865435006</v>
      </c>
    </row>
    <row r="50" spans="2:23" ht="14.25" thickBot="1" thickTop="1">
      <c r="B50" s="39" t="s">
        <v>30</v>
      </c>
      <c r="C50" s="40">
        <f aca="true" t="shared" si="22" ref="C50:H50">+C47+C48+C49</f>
        <v>564</v>
      </c>
      <c r="D50" s="41">
        <f t="shared" si="22"/>
        <v>564</v>
      </c>
      <c r="E50" s="40">
        <f t="shared" si="22"/>
        <v>1128</v>
      </c>
      <c r="F50" s="40">
        <f t="shared" si="22"/>
        <v>747</v>
      </c>
      <c r="G50" s="41">
        <f t="shared" si="22"/>
        <v>745</v>
      </c>
      <c r="H50" s="40">
        <f t="shared" si="22"/>
        <v>1492</v>
      </c>
      <c r="I50" s="257">
        <f t="shared" si="14"/>
        <v>32.2695035460993</v>
      </c>
      <c r="L50" s="39" t="s">
        <v>30</v>
      </c>
      <c r="M50" s="40">
        <f aca="true" t="shared" si="23" ref="M50:V50">+M47+M48+M49</f>
        <v>87376</v>
      </c>
      <c r="N50" s="41">
        <f t="shared" si="23"/>
        <v>85678</v>
      </c>
      <c r="O50" s="40">
        <f t="shared" si="23"/>
        <v>173054</v>
      </c>
      <c r="P50" s="40">
        <f t="shared" si="23"/>
        <v>9</v>
      </c>
      <c r="Q50" s="40">
        <f t="shared" si="23"/>
        <v>173063</v>
      </c>
      <c r="R50" s="40">
        <f t="shared" si="23"/>
        <v>110935</v>
      </c>
      <c r="S50" s="41">
        <f t="shared" si="23"/>
        <v>106720</v>
      </c>
      <c r="T50" s="40">
        <f t="shared" si="23"/>
        <v>217655</v>
      </c>
      <c r="U50" s="40">
        <f t="shared" si="23"/>
        <v>0</v>
      </c>
      <c r="V50" s="40">
        <f t="shared" si="23"/>
        <v>217655</v>
      </c>
      <c r="W50" s="257">
        <f t="shared" si="15"/>
        <v>25.76633942552713</v>
      </c>
    </row>
    <row r="51" spans="2:23" ht="14.25" thickBot="1" thickTop="1">
      <c r="B51" s="39" t="s">
        <v>66</v>
      </c>
      <c r="C51" s="40">
        <f aca="true" t="shared" si="24" ref="C51:H51">+C42+C46+C50</f>
        <v>2124</v>
      </c>
      <c r="D51" s="41">
        <f t="shared" si="24"/>
        <v>2125</v>
      </c>
      <c r="E51" s="42">
        <f t="shared" si="24"/>
        <v>4249</v>
      </c>
      <c r="F51" s="40">
        <f t="shared" si="24"/>
        <v>2508</v>
      </c>
      <c r="G51" s="41">
        <f t="shared" si="24"/>
        <v>2505</v>
      </c>
      <c r="H51" s="42">
        <f t="shared" si="24"/>
        <v>5013</v>
      </c>
      <c r="I51" s="258">
        <f t="shared" si="14"/>
        <v>17.98070134149212</v>
      </c>
      <c r="L51" s="39" t="s">
        <v>66</v>
      </c>
      <c r="M51" s="40">
        <f aca="true" t="shared" si="25" ref="M51:V51">+M42+M46+M50</f>
        <v>293196</v>
      </c>
      <c r="N51" s="41">
        <f t="shared" si="25"/>
        <v>288643</v>
      </c>
      <c r="O51" s="40">
        <f t="shared" si="25"/>
        <v>581839</v>
      </c>
      <c r="P51" s="40">
        <f t="shared" si="25"/>
        <v>9</v>
      </c>
      <c r="Q51" s="40">
        <f t="shared" si="25"/>
        <v>581848</v>
      </c>
      <c r="R51" s="40">
        <f t="shared" si="25"/>
        <v>349338</v>
      </c>
      <c r="S51" s="41">
        <f t="shared" si="25"/>
        <v>344877</v>
      </c>
      <c r="T51" s="40">
        <f t="shared" si="25"/>
        <v>694215</v>
      </c>
      <c r="U51" s="40">
        <f t="shared" si="25"/>
        <v>0</v>
      </c>
      <c r="V51" s="42">
        <f t="shared" si="25"/>
        <v>694215</v>
      </c>
      <c r="W51" s="54">
        <f t="shared" si="15"/>
        <v>19.31208838047049</v>
      </c>
    </row>
    <row r="52" spans="2:23" ht="14.25" thickBot="1" thickTop="1">
      <c r="B52" s="39" t="s">
        <v>9</v>
      </c>
      <c r="C52" s="40">
        <f aca="true" t="shared" si="26" ref="C52:H52">C42+C46+C50+C38</f>
        <v>2826</v>
      </c>
      <c r="D52" s="41">
        <f t="shared" si="26"/>
        <v>2826</v>
      </c>
      <c r="E52" s="40">
        <f t="shared" si="26"/>
        <v>5652</v>
      </c>
      <c r="F52" s="40">
        <f t="shared" si="26"/>
        <v>3219</v>
      </c>
      <c r="G52" s="41">
        <f t="shared" si="26"/>
        <v>3214</v>
      </c>
      <c r="H52" s="40">
        <f t="shared" si="26"/>
        <v>6433</v>
      </c>
      <c r="I52" s="257">
        <f t="shared" si="14"/>
        <v>13.818117480537872</v>
      </c>
      <c r="L52" s="39" t="s">
        <v>9</v>
      </c>
      <c r="M52" s="40">
        <f aca="true" t="shared" si="27" ref="M52:V52">M42+M46+M50+M38</f>
        <v>405663</v>
      </c>
      <c r="N52" s="41">
        <f t="shared" si="27"/>
        <v>390673</v>
      </c>
      <c r="O52" s="40">
        <f t="shared" si="27"/>
        <v>796336</v>
      </c>
      <c r="P52" s="40">
        <f t="shared" si="27"/>
        <v>9</v>
      </c>
      <c r="Q52" s="40">
        <f t="shared" si="27"/>
        <v>796345</v>
      </c>
      <c r="R52" s="40">
        <f t="shared" si="27"/>
        <v>469017</v>
      </c>
      <c r="S52" s="41">
        <f t="shared" si="27"/>
        <v>452251</v>
      </c>
      <c r="T52" s="40">
        <f t="shared" si="27"/>
        <v>921268</v>
      </c>
      <c r="U52" s="40">
        <f t="shared" si="27"/>
        <v>0</v>
      </c>
      <c r="V52" s="40">
        <f t="shared" si="27"/>
        <v>921268</v>
      </c>
      <c r="W52" s="257">
        <f t="shared" si="15"/>
        <v>15.68704518770132</v>
      </c>
    </row>
    <row r="53" spans="2:12" ht="13.5" thickTop="1">
      <c r="B53" s="63" t="s">
        <v>64</v>
      </c>
      <c r="L53" s="63" t="s">
        <v>64</v>
      </c>
    </row>
    <row r="54" spans="2:23" ht="12.75">
      <c r="B54" s="336" t="s">
        <v>36</v>
      </c>
      <c r="C54" s="336"/>
      <c r="D54" s="336"/>
      <c r="E54" s="336"/>
      <c r="F54" s="336"/>
      <c r="G54" s="336"/>
      <c r="H54" s="336"/>
      <c r="I54" s="336"/>
      <c r="L54" s="336" t="s">
        <v>37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</row>
    <row r="55" spans="2:23" ht="15.75">
      <c r="B55" s="337" t="s">
        <v>38</v>
      </c>
      <c r="C55" s="337"/>
      <c r="D55" s="337"/>
      <c r="E55" s="337"/>
      <c r="F55" s="337"/>
      <c r="G55" s="337"/>
      <c r="H55" s="337"/>
      <c r="I55" s="337"/>
      <c r="L55" s="337" t="s">
        <v>39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ht="13.5" thickBot="1"/>
    <row r="57" spans="2:23" ht="17.25" thickBot="1" thickTop="1">
      <c r="B57" s="3"/>
      <c r="C57" s="347" t="s">
        <v>67</v>
      </c>
      <c r="D57" s="348"/>
      <c r="E57" s="349"/>
      <c r="F57" s="338" t="s">
        <v>68</v>
      </c>
      <c r="G57" s="339"/>
      <c r="H57" s="340"/>
      <c r="I57" s="239" t="s">
        <v>4</v>
      </c>
      <c r="L57" s="3"/>
      <c r="M57" s="347" t="s">
        <v>67</v>
      </c>
      <c r="N57" s="348"/>
      <c r="O57" s="348"/>
      <c r="P57" s="348"/>
      <c r="Q57" s="349"/>
      <c r="R57" s="338" t="s">
        <v>68</v>
      </c>
      <c r="S57" s="339"/>
      <c r="T57" s="339"/>
      <c r="U57" s="339"/>
      <c r="V57" s="340"/>
      <c r="W57" s="239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0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0" t="s">
        <v>6</v>
      </c>
    </row>
    <row r="59" spans="2:23" ht="13.5" thickBot="1">
      <c r="B59" s="12" t="s">
        <v>40</v>
      </c>
      <c r="C59" s="13" t="s">
        <v>7</v>
      </c>
      <c r="D59" s="230" t="s">
        <v>8</v>
      </c>
      <c r="E59" s="14" t="s">
        <v>9</v>
      </c>
      <c r="F59" s="13" t="s">
        <v>7</v>
      </c>
      <c r="G59" s="230" t="s">
        <v>8</v>
      </c>
      <c r="H59" s="14" t="s">
        <v>9</v>
      </c>
      <c r="I59" s="241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1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4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07"/>
    </row>
    <row r="61" spans="2:23" ht="12.75">
      <c r="B61" s="4" t="s">
        <v>14</v>
      </c>
      <c r="C61" s="29">
        <f aca="true" t="shared" si="28" ref="C61:H63">+C9+C35</f>
        <v>197</v>
      </c>
      <c r="D61" s="30">
        <f t="shared" si="28"/>
        <v>196</v>
      </c>
      <c r="E61" s="35">
        <f t="shared" si="28"/>
        <v>393</v>
      </c>
      <c r="F61" s="29">
        <f t="shared" si="28"/>
        <v>230</v>
      </c>
      <c r="G61" s="30">
        <f t="shared" si="28"/>
        <v>228</v>
      </c>
      <c r="H61" s="31">
        <f t="shared" si="28"/>
        <v>458</v>
      </c>
      <c r="I61" s="256">
        <f aca="true" t="shared" si="29" ref="I61:I78">IF(E61=0,0,((H61/E61)-1)*100)</f>
        <v>16.53944020356235</v>
      </c>
      <c r="L61" s="4" t="s">
        <v>14</v>
      </c>
      <c r="M61" s="29">
        <f aca="true" t="shared" si="30" ref="M61:V61">+M9+M35</f>
        <v>31393</v>
      </c>
      <c r="N61" s="36">
        <f t="shared" si="30"/>
        <v>29263</v>
      </c>
      <c r="O61" s="33">
        <f t="shared" si="30"/>
        <v>60656</v>
      </c>
      <c r="P61" s="34">
        <f t="shared" si="30"/>
        <v>0</v>
      </c>
      <c r="Q61" s="35">
        <f t="shared" si="30"/>
        <v>60656</v>
      </c>
      <c r="R61" s="29">
        <f t="shared" si="30"/>
        <v>40024</v>
      </c>
      <c r="S61" s="36">
        <f t="shared" si="30"/>
        <v>33442</v>
      </c>
      <c r="T61" s="33">
        <f t="shared" si="30"/>
        <v>73466</v>
      </c>
      <c r="U61" s="34">
        <f t="shared" si="30"/>
        <v>0</v>
      </c>
      <c r="V61" s="31">
        <f t="shared" si="30"/>
        <v>73466</v>
      </c>
      <c r="W61" s="256">
        <f aca="true" t="shared" si="31" ref="W61:W78">IF(Q61=0,0,((V61/Q61)-1)*100)</f>
        <v>21.119097863360594</v>
      </c>
    </row>
    <row r="62" spans="2:23" ht="12.75">
      <c r="B62" s="4" t="s">
        <v>15</v>
      </c>
      <c r="C62" s="29">
        <f t="shared" si="28"/>
        <v>241</v>
      </c>
      <c r="D62" s="30">
        <f t="shared" si="28"/>
        <v>242</v>
      </c>
      <c r="E62" s="35">
        <f t="shared" si="28"/>
        <v>483</v>
      </c>
      <c r="F62" s="29">
        <f t="shared" si="28"/>
        <v>227</v>
      </c>
      <c r="G62" s="30">
        <f t="shared" si="28"/>
        <v>229</v>
      </c>
      <c r="H62" s="31">
        <f t="shared" si="28"/>
        <v>456</v>
      </c>
      <c r="I62" s="256">
        <f t="shared" si="29"/>
        <v>-5.590062111801242</v>
      </c>
      <c r="L62" s="4" t="s">
        <v>15</v>
      </c>
      <c r="M62" s="29">
        <f aca="true" t="shared" si="32" ref="M62:V62">+M10+M36</f>
        <v>37001</v>
      </c>
      <c r="N62" s="36">
        <f t="shared" si="32"/>
        <v>33749</v>
      </c>
      <c r="O62" s="33">
        <f t="shared" si="32"/>
        <v>70750</v>
      </c>
      <c r="P62" s="34">
        <f t="shared" si="32"/>
        <v>0</v>
      </c>
      <c r="Q62" s="35">
        <f t="shared" si="32"/>
        <v>70750</v>
      </c>
      <c r="R62" s="29">
        <f t="shared" si="32"/>
        <v>36280</v>
      </c>
      <c r="S62" s="36">
        <f t="shared" si="32"/>
        <v>34787</v>
      </c>
      <c r="T62" s="33">
        <f t="shared" si="32"/>
        <v>71067</v>
      </c>
      <c r="U62" s="34">
        <f t="shared" si="32"/>
        <v>0</v>
      </c>
      <c r="V62" s="31">
        <f t="shared" si="32"/>
        <v>71067</v>
      </c>
      <c r="W62" s="256">
        <f t="shared" si="31"/>
        <v>0.4480565371024703</v>
      </c>
    </row>
    <row r="63" spans="2:23" ht="13.5" thickBot="1">
      <c r="B63" s="12" t="s">
        <v>16</v>
      </c>
      <c r="C63" s="37">
        <f t="shared" si="28"/>
        <v>269</v>
      </c>
      <c r="D63" s="38">
        <f t="shared" si="28"/>
        <v>268</v>
      </c>
      <c r="E63" s="64">
        <f t="shared" si="28"/>
        <v>537</v>
      </c>
      <c r="F63" s="37">
        <f t="shared" si="28"/>
        <v>258</v>
      </c>
      <c r="G63" s="38">
        <f t="shared" si="28"/>
        <v>256</v>
      </c>
      <c r="H63" s="31">
        <f t="shared" si="28"/>
        <v>514</v>
      </c>
      <c r="I63" s="256">
        <f t="shared" si="29"/>
        <v>-4.283054003724396</v>
      </c>
      <c r="L63" s="12" t="s">
        <v>16</v>
      </c>
      <c r="M63" s="29">
        <f aca="true" t="shared" si="33" ref="M63:V63">+M11+M37</f>
        <v>44246</v>
      </c>
      <c r="N63" s="36">
        <f t="shared" si="33"/>
        <v>39096</v>
      </c>
      <c r="O63" s="33">
        <f t="shared" si="33"/>
        <v>83342</v>
      </c>
      <c r="P63" s="34">
        <f t="shared" si="33"/>
        <v>0</v>
      </c>
      <c r="Q63" s="35">
        <f t="shared" si="33"/>
        <v>83342</v>
      </c>
      <c r="R63" s="29">
        <f t="shared" si="33"/>
        <v>43387</v>
      </c>
      <c r="S63" s="36">
        <f t="shared" si="33"/>
        <v>39149</v>
      </c>
      <c r="T63" s="33">
        <f t="shared" si="33"/>
        <v>82536</v>
      </c>
      <c r="U63" s="34">
        <f t="shared" si="33"/>
        <v>0</v>
      </c>
      <c r="V63" s="31">
        <f t="shared" si="33"/>
        <v>82536</v>
      </c>
      <c r="W63" s="256">
        <f t="shared" si="31"/>
        <v>-0.9670994216601447</v>
      </c>
    </row>
    <row r="64" spans="2:23" ht="14.25" thickBot="1" thickTop="1">
      <c r="B64" s="39" t="s">
        <v>17</v>
      </c>
      <c r="C64" s="40">
        <f aca="true" t="shared" si="34" ref="C64:H64">C61+C62+C63</f>
        <v>707</v>
      </c>
      <c r="D64" s="41">
        <f t="shared" si="34"/>
        <v>706</v>
      </c>
      <c r="E64" s="43">
        <f t="shared" si="34"/>
        <v>1413</v>
      </c>
      <c r="F64" s="40">
        <f t="shared" si="34"/>
        <v>715</v>
      </c>
      <c r="G64" s="41">
        <f t="shared" si="34"/>
        <v>713</v>
      </c>
      <c r="H64" s="42">
        <f t="shared" si="34"/>
        <v>1428</v>
      </c>
      <c r="I64" s="257">
        <f t="shared" si="29"/>
        <v>1.0615711252653925</v>
      </c>
      <c r="L64" s="39" t="s">
        <v>17</v>
      </c>
      <c r="M64" s="40">
        <f>+M61+M62+M63</f>
        <v>112640</v>
      </c>
      <c r="N64" s="41">
        <f>+N61+N62+N63</f>
        <v>102108</v>
      </c>
      <c r="O64" s="40">
        <f>+O61+O62+O63</f>
        <v>214748</v>
      </c>
      <c r="P64" s="40">
        <f>+P61+P62+P63</f>
        <v>0</v>
      </c>
      <c r="Q64" s="40">
        <f>+Q61+Q62+Q63</f>
        <v>214748</v>
      </c>
      <c r="R64" s="40">
        <f aca="true" t="shared" si="35" ref="R64:V67">+R12+R38</f>
        <v>119691</v>
      </c>
      <c r="S64" s="41">
        <f t="shared" si="35"/>
        <v>107378</v>
      </c>
      <c r="T64" s="40">
        <f t="shared" si="35"/>
        <v>227069</v>
      </c>
      <c r="U64" s="40">
        <f t="shared" si="35"/>
        <v>0</v>
      </c>
      <c r="V64" s="42">
        <f t="shared" si="35"/>
        <v>227069</v>
      </c>
      <c r="W64" s="257">
        <f t="shared" si="31"/>
        <v>5.737422467263964</v>
      </c>
    </row>
    <row r="65" spans="2:23" ht="13.5" thickTop="1">
      <c r="B65" s="4" t="s">
        <v>18</v>
      </c>
      <c r="C65" s="29">
        <f aca="true" t="shared" si="36" ref="C65:H66">+C13+C39</f>
        <v>261</v>
      </c>
      <c r="D65" s="30">
        <f t="shared" si="36"/>
        <v>259</v>
      </c>
      <c r="E65" s="35">
        <f t="shared" si="36"/>
        <v>520</v>
      </c>
      <c r="F65" s="29">
        <f t="shared" si="36"/>
        <v>342</v>
      </c>
      <c r="G65" s="30">
        <f t="shared" si="36"/>
        <v>343</v>
      </c>
      <c r="H65" s="31">
        <f t="shared" si="36"/>
        <v>685</v>
      </c>
      <c r="I65" s="256">
        <f t="shared" si="29"/>
        <v>31.73076923076923</v>
      </c>
      <c r="L65" s="4" t="s">
        <v>18</v>
      </c>
      <c r="M65" s="29">
        <f aca="true" t="shared" si="37" ref="M65:Q67">+M13+M39</f>
        <v>42291</v>
      </c>
      <c r="N65" s="36">
        <f t="shared" si="37"/>
        <v>43246</v>
      </c>
      <c r="O65" s="33">
        <f t="shared" si="37"/>
        <v>85537</v>
      </c>
      <c r="P65" s="34">
        <f t="shared" si="37"/>
        <v>0</v>
      </c>
      <c r="Q65" s="35">
        <f t="shared" si="37"/>
        <v>85537</v>
      </c>
      <c r="R65" s="29">
        <f t="shared" si="35"/>
        <v>45712</v>
      </c>
      <c r="S65" s="36">
        <f t="shared" si="35"/>
        <v>48528</v>
      </c>
      <c r="T65" s="33">
        <f t="shared" si="35"/>
        <v>94240</v>
      </c>
      <c r="U65" s="34">
        <f t="shared" si="35"/>
        <v>0</v>
      </c>
      <c r="V65" s="31">
        <f t="shared" si="35"/>
        <v>94240</v>
      </c>
      <c r="W65" s="256">
        <f t="shared" si="31"/>
        <v>10.174544349228999</v>
      </c>
    </row>
    <row r="66" spans="2:23" ht="12.75">
      <c r="B66" s="4" t="s">
        <v>19</v>
      </c>
      <c r="C66" s="29">
        <f t="shared" si="36"/>
        <v>260</v>
      </c>
      <c r="D66" s="30">
        <f t="shared" si="36"/>
        <v>263</v>
      </c>
      <c r="E66" s="35">
        <f t="shared" si="36"/>
        <v>523</v>
      </c>
      <c r="F66" s="29">
        <f t="shared" si="36"/>
        <v>318</v>
      </c>
      <c r="G66" s="30">
        <f t="shared" si="36"/>
        <v>317</v>
      </c>
      <c r="H66" s="31">
        <f t="shared" si="36"/>
        <v>635</v>
      </c>
      <c r="I66" s="256">
        <f t="shared" si="29"/>
        <v>21.414913957935</v>
      </c>
      <c r="L66" s="4" t="s">
        <v>19</v>
      </c>
      <c r="M66" s="29">
        <f t="shared" si="37"/>
        <v>36571</v>
      </c>
      <c r="N66" s="36">
        <f t="shared" si="37"/>
        <v>35638</v>
      </c>
      <c r="O66" s="33">
        <f t="shared" si="37"/>
        <v>72209</v>
      </c>
      <c r="P66" s="34">
        <f t="shared" si="37"/>
        <v>0</v>
      </c>
      <c r="Q66" s="35">
        <f t="shared" si="37"/>
        <v>72209</v>
      </c>
      <c r="R66" s="29">
        <f t="shared" si="35"/>
        <v>42074</v>
      </c>
      <c r="S66" s="36">
        <f t="shared" si="35"/>
        <v>40997</v>
      </c>
      <c r="T66" s="33">
        <f t="shared" si="35"/>
        <v>83071</v>
      </c>
      <c r="U66" s="34">
        <f t="shared" si="35"/>
        <v>0</v>
      </c>
      <c r="V66" s="31">
        <f t="shared" si="35"/>
        <v>83071</v>
      </c>
      <c r="W66" s="256">
        <f t="shared" si="31"/>
        <v>15.04244623246409</v>
      </c>
    </row>
    <row r="67" spans="2:23" ht="13.5" thickBot="1">
      <c r="B67" s="4" t="s">
        <v>20</v>
      </c>
      <c r="C67" s="29">
        <f>+C15+C41</f>
        <v>305</v>
      </c>
      <c r="D67" s="30">
        <f>+D15+D41</f>
        <v>305</v>
      </c>
      <c r="E67" s="69">
        <f>E15+E41</f>
        <v>610</v>
      </c>
      <c r="F67" s="29">
        <f>+F15+F41</f>
        <v>326</v>
      </c>
      <c r="G67" s="30">
        <f>+G15+G41</f>
        <v>326</v>
      </c>
      <c r="H67" s="31">
        <f>+H15+H41</f>
        <v>652</v>
      </c>
      <c r="I67" s="256">
        <f t="shared" si="29"/>
        <v>6.8852459016393475</v>
      </c>
      <c r="L67" s="4" t="s">
        <v>20</v>
      </c>
      <c r="M67" s="68">
        <f t="shared" si="37"/>
        <v>36915</v>
      </c>
      <c r="N67" s="92">
        <f t="shared" si="37"/>
        <v>35767</v>
      </c>
      <c r="O67" s="33">
        <f t="shared" si="37"/>
        <v>72682</v>
      </c>
      <c r="P67" s="34">
        <f t="shared" si="37"/>
        <v>0</v>
      </c>
      <c r="Q67" s="35">
        <f t="shared" si="37"/>
        <v>72682</v>
      </c>
      <c r="R67" s="29">
        <f t="shared" si="35"/>
        <v>40862</v>
      </c>
      <c r="S67" s="36">
        <f t="shared" si="35"/>
        <v>39969</v>
      </c>
      <c r="T67" s="33">
        <f t="shared" si="35"/>
        <v>80831</v>
      </c>
      <c r="U67" s="34">
        <f t="shared" si="35"/>
        <v>127</v>
      </c>
      <c r="V67" s="31">
        <f t="shared" si="35"/>
        <v>80958</v>
      </c>
      <c r="W67" s="256">
        <f t="shared" si="31"/>
        <v>11.386588151124077</v>
      </c>
    </row>
    <row r="68" spans="2:23" ht="14.25" thickBot="1" thickTop="1">
      <c r="B68" s="44" t="s">
        <v>21</v>
      </c>
      <c r="C68" s="40">
        <f aca="true" t="shared" si="38" ref="C68:H68">+C65+C66+C67</f>
        <v>826</v>
      </c>
      <c r="D68" s="41">
        <f t="shared" si="38"/>
        <v>827</v>
      </c>
      <c r="E68" s="42">
        <f t="shared" si="38"/>
        <v>1653</v>
      </c>
      <c r="F68" s="40">
        <f t="shared" si="38"/>
        <v>986</v>
      </c>
      <c r="G68" s="41">
        <f t="shared" si="38"/>
        <v>986</v>
      </c>
      <c r="H68" s="42">
        <f t="shared" si="38"/>
        <v>1972</v>
      </c>
      <c r="I68" s="258">
        <f>IF(E68=0,0,((H68/E68)-1)*100)</f>
        <v>19.298245614035082</v>
      </c>
      <c r="L68" s="44" t="s">
        <v>21</v>
      </c>
      <c r="M68" s="40">
        <f aca="true" t="shared" si="39" ref="M68:V68">+M65+M66+M67</f>
        <v>115777</v>
      </c>
      <c r="N68" s="41">
        <f t="shared" si="39"/>
        <v>114651</v>
      </c>
      <c r="O68" s="40">
        <f t="shared" si="39"/>
        <v>230428</v>
      </c>
      <c r="P68" s="40">
        <f t="shared" si="39"/>
        <v>0</v>
      </c>
      <c r="Q68" s="40">
        <f t="shared" si="39"/>
        <v>230428</v>
      </c>
      <c r="R68" s="40">
        <f t="shared" si="39"/>
        <v>128648</v>
      </c>
      <c r="S68" s="41">
        <f t="shared" si="39"/>
        <v>129494</v>
      </c>
      <c r="T68" s="40">
        <f t="shared" si="39"/>
        <v>258142</v>
      </c>
      <c r="U68" s="40">
        <f t="shared" si="39"/>
        <v>127</v>
      </c>
      <c r="V68" s="42">
        <f t="shared" si="39"/>
        <v>258269</v>
      </c>
      <c r="W68" s="54">
        <f>IF(Q68=0,0,((V68/Q68)-1)*100)</f>
        <v>12.082299026160026</v>
      </c>
    </row>
    <row r="69" spans="2:23" ht="13.5" thickTop="1">
      <c r="B69" s="4" t="s">
        <v>22</v>
      </c>
      <c r="C69" s="29">
        <f aca="true" t="shared" si="40" ref="C69:H69">+C17+C43</f>
        <v>275</v>
      </c>
      <c r="D69" s="30">
        <f t="shared" si="40"/>
        <v>275</v>
      </c>
      <c r="E69" s="35">
        <f t="shared" si="40"/>
        <v>550</v>
      </c>
      <c r="F69" s="29">
        <f t="shared" si="40"/>
        <v>307</v>
      </c>
      <c r="G69" s="30">
        <f t="shared" si="40"/>
        <v>307</v>
      </c>
      <c r="H69" s="31">
        <f t="shared" si="40"/>
        <v>614</v>
      </c>
      <c r="I69" s="256">
        <f>IF(E69=0,0,((H69/E69)-1)*100)</f>
        <v>11.636363636363644</v>
      </c>
      <c r="L69" s="4" t="s">
        <v>22</v>
      </c>
      <c r="M69" s="29">
        <f aca="true" t="shared" si="41" ref="M69:V69">+M17+M43</f>
        <v>34949</v>
      </c>
      <c r="N69" s="36">
        <f t="shared" si="41"/>
        <v>34292</v>
      </c>
      <c r="O69" s="33">
        <f t="shared" si="41"/>
        <v>69241</v>
      </c>
      <c r="P69" s="34">
        <f t="shared" si="41"/>
        <v>0</v>
      </c>
      <c r="Q69" s="35">
        <f t="shared" si="41"/>
        <v>69241</v>
      </c>
      <c r="R69" s="29">
        <f t="shared" si="41"/>
        <v>41341</v>
      </c>
      <c r="S69" s="36">
        <f t="shared" si="41"/>
        <v>41377</v>
      </c>
      <c r="T69" s="33">
        <f t="shared" si="41"/>
        <v>82718</v>
      </c>
      <c r="U69" s="34">
        <f t="shared" si="41"/>
        <v>0</v>
      </c>
      <c r="V69" s="31">
        <f t="shared" si="41"/>
        <v>82718</v>
      </c>
      <c r="W69" s="256">
        <f>IF(Q69=0,0,((V69/Q69)-1)*100)</f>
        <v>19.463901445675248</v>
      </c>
    </row>
    <row r="70" spans="2:23" ht="12.75">
      <c r="B70" s="4" t="s">
        <v>23</v>
      </c>
      <c r="C70" s="29">
        <f aca="true" t="shared" si="42" ref="C70:E71">+C18+C44</f>
        <v>251</v>
      </c>
      <c r="D70" s="30">
        <f t="shared" si="42"/>
        <v>251</v>
      </c>
      <c r="E70" s="35">
        <f t="shared" si="42"/>
        <v>502</v>
      </c>
      <c r="F70" s="29">
        <f>+F44+F18</f>
        <v>285</v>
      </c>
      <c r="G70" s="30">
        <f>+G44+G18</f>
        <v>285</v>
      </c>
      <c r="H70" s="31">
        <f>F70+G70</f>
        <v>570</v>
      </c>
      <c r="I70" s="256">
        <f>IF(E70=0,0,((H70/E70)-1)*100)</f>
        <v>13.545816733067738</v>
      </c>
      <c r="L70" s="4" t="s">
        <v>23</v>
      </c>
      <c r="M70" s="29">
        <f aca="true" t="shared" si="43" ref="M70:Q71">+M18+M44</f>
        <v>28908</v>
      </c>
      <c r="N70" s="36">
        <f t="shared" si="43"/>
        <v>28798</v>
      </c>
      <c r="O70" s="33">
        <f t="shared" si="43"/>
        <v>57706</v>
      </c>
      <c r="P70" s="34">
        <f t="shared" si="43"/>
        <v>0</v>
      </c>
      <c r="Q70" s="35">
        <f t="shared" si="43"/>
        <v>57706</v>
      </c>
      <c r="R70" s="29">
        <f>+R44+R18</f>
        <v>36865</v>
      </c>
      <c r="S70" s="36">
        <f>+S44+S18</f>
        <v>36807</v>
      </c>
      <c r="T70" s="33">
        <f aca="true" t="shared" si="44" ref="T70:V71">+T18+T44</f>
        <v>73672</v>
      </c>
      <c r="U70" s="34">
        <f t="shared" si="44"/>
        <v>0</v>
      </c>
      <c r="V70" s="31">
        <f t="shared" si="44"/>
        <v>73672</v>
      </c>
      <c r="W70" s="256">
        <f>IF(Q70=0,0,((V70/Q70)-1)*100)</f>
        <v>27.667833500849138</v>
      </c>
    </row>
    <row r="71" spans="2:23" ht="13.5" thickBot="1">
      <c r="B71" s="4" t="s">
        <v>24</v>
      </c>
      <c r="C71" s="29">
        <f t="shared" si="42"/>
        <v>241</v>
      </c>
      <c r="D71" s="30">
        <f t="shared" si="42"/>
        <v>241</v>
      </c>
      <c r="E71" s="35">
        <f t="shared" si="42"/>
        <v>482</v>
      </c>
      <c r="F71" s="29">
        <f>+F19+F45</f>
        <v>257</v>
      </c>
      <c r="G71" s="30">
        <f>+G19+G45</f>
        <v>257</v>
      </c>
      <c r="H71" s="31">
        <f>+H19+H45</f>
        <v>514</v>
      </c>
      <c r="I71" s="256">
        <f>IF(E71=0,0,((H71/E71)-1)*100)</f>
        <v>6.639004149377592</v>
      </c>
      <c r="L71" s="4" t="s">
        <v>24</v>
      </c>
      <c r="M71" s="29">
        <f t="shared" si="43"/>
        <v>27514</v>
      </c>
      <c r="N71" s="36">
        <f t="shared" si="43"/>
        <v>26374</v>
      </c>
      <c r="O71" s="33">
        <f t="shared" si="43"/>
        <v>53888</v>
      </c>
      <c r="P71" s="34">
        <f t="shared" si="43"/>
        <v>0</v>
      </c>
      <c r="Q71" s="35">
        <f t="shared" si="43"/>
        <v>53888</v>
      </c>
      <c r="R71" s="29">
        <f>+R19+R45</f>
        <v>33448</v>
      </c>
      <c r="S71" s="36">
        <f>+S19+S45</f>
        <v>31923</v>
      </c>
      <c r="T71" s="33">
        <f t="shared" si="44"/>
        <v>65371</v>
      </c>
      <c r="U71" s="34">
        <f t="shared" si="44"/>
        <v>0</v>
      </c>
      <c r="V71" s="31">
        <f t="shared" si="44"/>
        <v>65371</v>
      </c>
      <c r="W71" s="256">
        <f>IF(Q71=0,0,((V71/Q71)-1)*100)</f>
        <v>21.30901128266034</v>
      </c>
    </row>
    <row r="72" spans="2:23" ht="14.25" thickBot="1" thickTop="1">
      <c r="B72" s="39" t="s">
        <v>59</v>
      </c>
      <c r="C72" s="45">
        <f aca="true" t="shared" si="45" ref="C72:H72">C69+C70+C71</f>
        <v>767</v>
      </c>
      <c r="D72" s="46">
        <f t="shared" si="45"/>
        <v>767</v>
      </c>
      <c r="E72" s="53">
        <f t="shared" si="45"/>
        <v>1534</v>
      </c>
      <c r="F72" s="45">
        <f t="shared" si="45"/>
        <v>849</v>
      </c>
      <c r="G72" s="46">
        <f t="shared" si="45"/>
        <v>849</v>
      </c>
      <c r="H72" s="53">
        <f t="shared" si="45"/>
        <v>1698</v>
      </c>
      <c r="I72" s="257">
        <f t="shared" si="29"/>
        <v>10.6910039113429</v>
      </c>
      <c r="L72" s="44" t="s">
        <v>25</v>
      </c>
      <c r="M72" s="45">
        <f aca="true" t="shared" si="46" ref="M72:V72">M69+M70+M71</f>
        <v>91371</v>
      </c>
      <c r="N72" s="45">
        <f t="shared" si="46"/>
        <v>89464</v>
      </c>
      <c r="O72" s="47">
        <f t="shared" si="46"/>
        <v>180835</v>
      </c>
      <c r="P72" s="47">
        <f t="shared" si="46"/>
        <v>0</v>
      </c>
      <c r="Q72" s="47">
        <f t="shared" si="46"/>
        <v>180835</v>
      </c>
      <c r="R72" s="45">
        <f t="shared" si="46"/>
        <v>111654</v>
      </c>
      <c r="S72" s="45">
        <f t="shared" si="46"/>
        <v>110107</v>
      </c>
      <c r="T72" s="47">
        <f t="shared" si="46"/>
        <v>221761</v>
      </c>
      <c r="U72" s="47">
        <f t="shared" si="46"/>
        <v>0</v>
      </c>
      <c r="V72" s="47">
        <f t="shared" si="46"/>
        <v>221761</v>
      </c>
      <c r="W72" s="262">
        <f t="shared" si="31"/>
        <v>22.631680814001708</v>
      </c>
    </row>
    <row r="73" spans="2:23" ht="13.5" thickTop="1">
      <c r="B73" s="4" t="s">
        <v>27</v>
      </c>
      <c r="C73" s="29">
        <f aca="true" t="shared" si="47" ref="C73:H75">+C21+C47</f>
        <v>234</v>
      </c>
      <c r="D73" s="30">
        <f t="shared" si="47"/>
        <v>234</v>
      </c>
      <c r="E73" s="67">
        <f t="shared" si="47"/>
        <v>468</v>
      </c>
      <c r="F73" s="29">
        <f t="shared" si="47"/>
        <v>268</v>
      </c>
      <c r="G73" s="30">
        <f t="shared" si="47"/>
        <v>268</v>
      </c>
      <c r="H73" s="31">
        <f t="shared" si="47"/>
        <v>536</v>
      </c>
      <c r="I73" s="256">
        <f>IF(E73=0,0,((H73/E73)-1)*100)</f>
        <v>14.529914529914523</v>
      </c>
      <c r="L73" s="4" t="s">
        <v>27</v>
      </c>
      <c r="M73" s="29">
        <f aca="true" t="shared" si="48" ref="M73:V73">+M21+M47</f>
        <v>34679</v>
      </c>
      <c r="N73" s="36">
        <f t="shared" si="48"/>
        <v>32972</v>
      </c>
      <c r="O73" s="33">
        <f t="shared" si="48"/>
        <v>67651</v>
      </c>
      <c r="P73" s="34">
        <f t="shared" si="48"/>
        <v>9</v>
      </c>
      <c r="Q73" s="35">
        <f t="shared" si="48"/>
        <v>67660</v>
      </c>
      <c r="R73" s="29">
        <f t="shared" si="48"/>
        <v>38876</v>
      </c>
      <c r="S73" s="36">
        <f t="shared" si="48"/>
        <v>35696</v>
      </c>
      <c r="T73" s="33">
        <f t="shared" si="48"/>
        <v>74572</v>
      </c>
      <c r="U73" s="34">
        <f t="shared" si="48"/>
        <v>0</v>
      </c>
      <c r="V73" s="31">
        <f t="shared" si="48"/>
        <v>74572</v>
      </c>
      <c r="W73" s="256">
        <f>IF(Q73=0,0,((V73/Q73)-1)*100)</f>
        <v>10.215784806384875</v>
      </c>
    </row>
    <row r="74" spans="2:23" ht="12.75">
      <c r="B74" s="4" t="s">
        <v>28</v>
      </c>
      <c r="C74" s="29">
        <f t="shared" si="47"/>
        <v>195</v>
      </c>
      <c r="D74" s="30">
        <f t="shared" si="47"/>
        <v>195</v>
      </c>
      <c r="E74" s="35">
        <f t="shared" si="47"/>
        <v>390</v>
      </c>
      <c r="F74" s="29">
        <f t="shared" si="47"/>
        <v>263</v>
      </c>
      <c r="G74" s="30">
        <f t="shared" si="47"/>
        <v>263</v>
      </c>
      <c r="H74" s="31">
        <f t="shared" si="47"/>
        <v>526</v>
      </c>
      <c r="I74" s="256">
        <f>IF(E74=0,0,((H74/E74)-1)*100)</f>
        <v>34.87179487179488</v>
      </c>
      <c r="L74" s="4" t="s">
        <v>28</v>
      </c>
      <c r="M74" s="29">
        <f aca="true" t="shared" si="49" ref="M74:V74">+M22+M48</f>
        <v>30331</v>
      </c>
      <c r="N74" s="36">
        <f t="shared" si="49"/>
        <v>30311</v>
      </c>
      <c r="O74" s="33">
        <f t="shared" si="49"/>
        <v>60642</v>
      </c>
      <c r="P74" s="34">
        <f t="shared" si="49"/>
        <v>0</v>
      </c>
      <c r="Q74" s="35">
        <f t="shared" si="49"/>
        <v>60642</v>
      </c>
      <c r="R74" s="29">
        <f t="shared" si="49"/>
        <v>39039</v>
      </c>
      <c r="S74" s="36">
        <f t="shared" si="49"/>
        <v>39467</v>
      </c>
      <c r="T74" s="33">
        <f t="shared" si="49"/>
        <v>78506</v>
      </c>
      <c r="U74" s="34">
        <f t="shared" si="49"/>
        <v>0</v>
      </c>
      <c r="V74" s="31">
        <f t="shared" si="49"/>
        <v>78506</v>
      </c>
      <c r="W74" s="256">
        <f>IF(Q74=0,0,((V74/Q74)-1)*100)</f>
        <v>29.458131328122427</v>
      </c>
    </row>
    <row r="75" spans="2:23" ht="13.5" thickBot="1">
      <c r="B75" s="4" t="s">
        <v>29</v>
      </c>
      <c r="C75" s="29">
        <f t="shared" si="47"/>
        <v>173</v>
      </c>
      <c r="D75" s="30">
        <f t="shared" si="47"/>
        <v>173</v>
      </c>
      <c r="E75" s="35">
        <f t="shared" si="47"/>
        <v>346</v>
      </c>
      <c r="F75" s="29">
        <f t="shared" si="47"/>
        <v>258</v>
      </c>
      <c r="G75" s="30">
        <f t="shared" si="47"/>
        <v>256</v>
      </c>
      <c r="H75" s="31">
        <f t="shared" si="47"/>
        <v>514</v>
      </c>
      <c r="I75" s="256">
        <f>IF(E75=0,0,((H75/E75)-1)*100)</f>
        <v>48.554913294797686</v>
      </c>
      <c r="L75" s="4" t="s">
        <v>29</v>
      </c>
      <c r="M75" s="29">
        <f aca="true" t="shared" si="50" ref="M75:V75">+M23+M49</f>
        <v>25750</v>
      </c>
      <c r="N75" s="36">
        <f t="shared" si="50"/>
        <v>25779</v>
      </c>
      <c r="O75" s="33">
        <f t="shared" si="50"/>
        <v>51529</v>
      </c>
      <c r="P75" s="34">
        <f t="shared" si="50"/>
        <v>0</v>
      </c>
      <c r="Q75" s="35">
        <f t="shared" si="50"/>
        <v>51529</v>
      </c>
      <c r="R75" s="29">
        <f t="shared" si="50"/>
        <v>33826</v>
      </c>
      <c r="S75" s="36">
        <f t="shared" si="50"/>
        <v>32320</v>
      </c>
      <c r="T75" s="33">
        <f t="shared" si="50"/>
        <v>66146</v>
      </c>
      <c r="U75" s="34">
        <f t="shared" si="50"/>
        <v>0</v>
      </c>
      <c r="V75" s="31">
        <f t="shared" si="50"/>
        <v>66146</v>
      </c>
      <c r="W75" s="256">
        <f>IF(Q75=0,0,((V75/Q75)-1)*100)</f>
        <v>28.366550874264984</v>
      </c>
    </row>
    <row r="76" spans="2:23" ht="14.25" thickBot="1" thickTop="1">
      <c r="B76" s="39" t="s">
        <v>30</v>
      </c>
      <c r="C76" s="40">
        <f aca="true" t="shared" si="51" ref="C76:H76">+C73+C74+C75</f>
        <v>602</v>
      </c>
      <c r="D76" s="41">
        <f t="shared" si="51"/>
        <v>602</v>
      </c>
      <c r="E76" s="40">
        <f t="shared" si="51"/>
        <v>1204</v>
      </c>
      <c r="F76" s="40">
        <f t="shared" si="51"/>
        <v>789</v>
      </c>
      <c r="G76" s="41">
        <f t="shared" si="51"/>
        <v>787</v>
      </c>
      <c r="H76" s="40">
        <f t="shared" si="51"/>
        <v>1576</v>
      </c>
      <c r="I76" s="257">
        <f t="shared" si="29"/>
        <v>30.8970099667774</v>
      </c>
      <c r="L76" s="39" t="s">
        <v>30</v>
      </c>
      <c r="M76" s="40">
        <f aca="true" t="shared" si="52" ref="M76:V76">+M73+M74+M75</f>
        <v>90760</v>
      </c>
      <c r="N76" s="41">
        <f t="shared" si="52"/>
        <v>89062</v>
      </c>
      <c r="O76" s="40">
        <f t="shared" si="52"/>
        <v>179822</v>
      </c>
      <c r="P76" s="40">
        <f t="shared" si="52"/>
        <v>9</v>
      </c>
      <c r="Q76" s="40">
        <f t="shared" si="52"/>
        <v>179831</v>
      </c>
      <c r="R76" s="40">
        <f t="shared" si="52"/>
        <v>111741</v>
      </c>
      <c r="S76" s="41">
        <f t="shared" si="52"/>
        <v>107483</v>
      </c>
      <c r="T76" s="40">
        <f t="shared" si="52"/>
        <v>219224</v>
      </c>
      <c r="U76" s="40">
        <f t="shared" si="52"/>
        <v>0</v>
      </c>
      <c r="V76" s="40">
        <f t="shared" si="52"/>
        <v>219224</v>
      </c>
      <c r="W76" s="257">
        <f t="shared" si="31"/>
        <v>21.905566893360984</v>
      </c>
    </row>
    <row r="77" spans="2:23" ht="14.25" thickBot="1" thickTop="1">
      <c r="B77" s="39" t="s">
        <v>66</v>
      </c>
      <c r="C77" s="40">
        <f aca="true" t="shared" si="53" ref="C77:H77">+C68+C72+C76</f>
        <v>2195</v>
      </c>
      <c r="D77" s="41">
        <f t="shared" si="53"/>
        <v>2196</v>
      </c>
      <c r="E77" s="42">
        <f t="shared" si="53"/>
        <v>4391</v>
      </c>
      <c r="F77" s="40">
        <f t="shared" si="53"/>
        <v>2624</v>
      </c>
      <c r="G77" s="41">
        <f t="shared" si="53"/>
        <v>2622</v>
      </c>
      <c r="H77" s="42">
        <f t="shared" si="53"/>
        <v>5246</v>
      </c>
      <c r="I77" s="258">
        <f t="shared" si="29"/>
        <v>19.47164654976088</v>
      </c>
      <c r="L77" s="39" t="s">
        <v>66</v>
      </c>
      <c r="M77" s="40">
        <f aca="true" t="shared" si="54" ref="M77:V77">+M68+M72+M76</f>
        <v>297908</v>
      </c>
      <c r="N77" s="41">
        <f t="shared" si="54"/>
        <v>293177</v>
      </c>
      <c r="O77" s="40">
        <f t="shared" si="54"/>
        <v>591085</v>
      </c>
      <c r="P77" s="40">
        <f t="shared" si="54"/>
        <v>9</v>
      </c>
      <c r="Q77" s="40">
        <f t="shared" si="54"/>
        <v>591094</v>
      </c>
      <c r="R77" s="40">
        <f t="shared" si="54"/>
        <v>352043</v>
      </c>
      <c r="S77" s="41">
        <f t="shared" si="54"/>
        <v>347084</v>
      </c>
      <c r="T77" s="40">
        <f t="shared" si="54"/>
        <v>699127</v>
      </c>
      <c r="U77" s="40">
        <f t="shared" si="54"/>
        <v>127</v>
      </c>
      <c r="V77" s="42">
        <f t="shared" si="54"/>
        <v>699254</v>
      </c>
      <c r="W77" s="54">
        <f t="shared" si="31"/>
        <v>18.29827404778259</v>
      </c>
    </row>
    <row r="78" spans="2:23" ht="14.25" thickBot="1" thickTop="1">
      <c r="B78" s="39" t="s">
        <v>9</v>
      </c>
      <c r="C78" s="40">
        <f aca="true" t="shared" si="55" ref="C78:H78">C68+C72+C76+C64</f>
        <v>2902</v>
      </c>
      <c r="D78" s="41">
        <f t="shared" si="55"/>
        <v>2902</v>
      </c>
      <c r="E78" s="40">
        <f t="shared" si="55"/>
        <v>5804</v>
      </c>
      <c r="F78" s="40">
        <f t="shared" si="55"/>
        <v>3339</v>
      </c>
      <c r="G78" s="41">
        <f t="shared" si="55"/>
        <v>3335</v>
      </c>
      <c r="H78" s="40">
        <f t="shared" si="55"/>
        <v>6674</v>
      </c>
      <c r="I78" s="257">
        <f t="shared" si="29"/>
        <v>14.989662301860784</v>
      </c>
      <c r="L78" s="39" t="s">
        <v>9</v>
      </c>
      <c r="M78" s="40">
        <f aca="true" t="shared" si="56" ref="M78:V78">M68+M72+M76+M64</f>
        <v>410548</v>
      </c>
      <c r="N78" s="41">
        <f t="shared" si="56"/>
        <v>395285</v>
      </c>
      <c r="O78" s="40">
        <f t="shared" si="56"/>
        <v>805833</v>
      </c>
      <c r="P78" s="40">
        <f t="shared" si="56"/>
        <v>9</v>
      </c>
      <c r="Q78" s="40">
        <f t="shared" si="56"/>
        <v>805842</v>
      </c>
      <c r="R78" s="40">
        <f t="shared" si="56"/>
        <v>471734</v>
      </c>
      <c r="S78" s="41">
        <f t="shared" si="56"/>
        <v>454462</v>
      </c>
      <c r="T78" s="40">
        <f t="shared" si="56"/>
        <v>926196</v>
      </c>
      <c r="U78" s="40">
        <f t="shared" si="56"/>
        <v>127</v>
      </c>
      <c r="V78" s="40">
        <f t="shared" si="56"/>
        <v>926323</v>
      </c>
      <c r="W78" s="257">
        <f t="shared" si="31"/>
        <v>14.95094571888782</v>
      </c>
    </row>
    <row r="79" spans="2:12" ht="13.5" thickTop="1">
      <c r="B79" s="63" t="s">
        <v>64</v>
      </c>
      <c r="L79" s="63" t="s">
        <v>64</v>
      </c>
    </row>
    <row r="80" spans="12:23" ht="12.75">
      <c r="L80" s="336" t="s">
        <v>41</v>
      </c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</row>
    <row r="81" spans="12:23" ht="15.75">
      <c r="L81" s="337" t="s">
        <v>42</v>
      </c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ht="13.5" thickBot="1">
      <c r="W82" s="242" t="s">
        <v>43</v>
      </c>
    </row>
    <row r="83" spans="12:23" ht="17.25" thickBot="1" thickTop="1">
      <c r="L83" s="3"/>
      <c r="M83" s="347" t="s">
        <v>67</v>
      </c>
      <c r="N83" s="348"/>
      <c r="O83" s="348"/>
      <c r="P83" s="348"/>
      <c r="Q83" s="349"/>
      <c r="R83" s="338" t="s">
        <v>68</v>
      </c>
      <c r="S83" s="339"/>
      <c r="T83" s="339"/>
      <c r="U83" s="339"/>
      <c r="V83" s="340"/>
      <c r="W83" s="239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0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1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6"/>
      <c r="V86" s="28"/>
      <c r="W86" s="207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47"/>
      <c r="J87" s="70"/>
      <c r="L87" s="4" t="s">
        <v>14</v>
      </c>
      <c r="M87" s="29">
        <v>0</v>
      </c>
      <c r="N87" s="36">
        <v>0</v>
      </c>
      <c r="O87" s="33">
        <f>M87+N87</f>
        <v>0</v>
      </c>
      <c r="P87" s="34">
        <v>0</v>
      </c>
      <c r="Q87" s="35">
        <f>O87+P87</f>
        <v>0</v>
      </c>
      <c r="R87" s="29">
        <v>0</v>
      </c>
      <c r="S87" s="36">
        <v>0</v>
      </c>
      <c r="T87" s="33">
        <f>R87+S87</f>
        <v>0</v>
      </c>
      <c r="U87" s="34">
        <v>0</v>
      </c>
      <c r="V87" s="31">
        <f>T87+U87</f>
        <v>0</v>
      </c>
      <c r="W87" s="32">
        <f aca="true" t="shared" si="57" ref="W87:W94">IF(Q87=0,0,((V87/Q87)-1)*100)</f>
        <v>0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47"/>
      <c r="J88" s="70"/>
      <c r="L88" s="4" t="s">
        <v>15</v>
      </c>
      <c r="M88" s="29">
        <v>0</v>
      </c>
      <c r="N88" s="36">
        <v>0</v>
      </c>
      <c r="O88" s="33">
        <f>M88+N88</f>
        <v>0</v>
      </c>
      <c r="P88" s="34">
        <v>0</v>
      </c>
      <c r="Q88" s="35">
        <f>O88+P88</f>
        <v>0</v>
      </c>
      <c r="R88" s="29">
        <v>0</v>
      </c>
      <c r="S88" s="36">
        <v>0</v>
      </c>
      <c r="T88" s="33">
        <f>R88+S88</f>
        <v>0</v>
      </c>
      <c r="U88" s="34">
        <v>0</v>
      </c>
      <c r="V88" s="31">
        <f>T88+U88</f>
        <v>0</v>
      </c>
      <c r="W88" s="32">
        <f t="shared" si="57"/>
        <v>0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47"/>
      <c r="J89" s="70"/>
      <c r="L89" s="12" t="s">
        <v>16</v>
      </c>
      <c r="M89" s="29">
        <v>0</v>
      </c>
      <c r="N89" s="36">
        <v>0</v>
      </c>
      <c r="O89" s="33">
        <f>M89+N89</f>
        <v>0</v>
      </c>
      <c r="P89" s="34">
        <v>0</v>
      </c>
      <c r="Q89" s="35">
        <f>O89+P89</f>
        <v>0</v>
      </c>
      <c r="R89" s="29">
        <v>0</v>
      </c>
      <c r="S89" s="36">
        <v>0</v>
      </c>
      <c r="T89" s="33">
        <f>R89+S89</f>
        <v>0</v>
      </c>
      <c r="U89" s="34">
        <v>0</v>
      </c>
      <c r="V89" s="31">
        <f>T89+U89</f>
        <v>0</v>
      </c>
      <c r="W89" s="32">
        <f t="shared" si="57"/>
        <v>0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47"/>
      <c r="J90" s="70"/>
      <c r="L90" s="39" t="s">
        <v>17</v>
      </c>
      <c r="M90" s="40">
        <v>0</v>
      </c>
      <c r="N90" s="41">
        <v>0</v>
      </c>
      <c r="O90" s="40">
        <v>0</v>
      </c>
      <c r="P90" s="40">
        <v>0</v>
      </c>
      <c r="Q90" s="40">
        <f>Q87+Q88+Q89</f>
        <v>0</v>
      </c>
      <c r="R90" s="40">
        <v>0</v>
      </c>
      <c r="S90" s="41">
        <v>0</v>
      </c>
      <c r="T90" s="40">
        <v>0</v>
      </c>
      <c r="U90" s="40">
        <v>0</v>
      </c>
      <c r="V90" s="42">
        <v>0</v>
      </c>
      <c r="W90" s="54">
        <f t="shared" si="57"/>
        <v>0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47"/>
      <c r="J91" s="70"/>
      <c r="L91" s="4" t="s">
        <v>18</v>
      </c>
      <c r="M91" s="29">
        <v>0</v>
      </c>
      <c r="N91" s="36">
        <v>0</v>
      </c>
      <c r="O91" s="33">
        <f>M91+N91</f>
        <v>0</v>
      </c>
      <c r="P91" s="34">
        <v>0</v>
      </c>
      <c r="Q91" s="35">
        <f>O91+P91</f>
        <v>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T91+U91</f>
        <v>0</v>
      </c>
      <c r="W91" s="32">
        <f t="shared" si="57"/>
        <v>0</v>
      </c>
    </row>
    <row r="92" spans="1:23" ht="12.75">
      <c r="A92" s="70"/>
      <c r="B92" s="70"/>
      <c r="C92" s="70"/>
      <c r="D92" s="70"/>
      <c r="E92" s="70"/>
      <c r="F92" s="70"/>
      <c r="G92" s="70"/>
      <c r="H92" s="70"/>
      <c r="I92" s="247"/>
      <c r="J92" s="70"/>
      <c r="L92" s="4" t="s">
        <v>19</v>
      </c>
      <c r="M92" s="29">
        <v>0</v>
      </c>
      <c r="N92" s="36">
        <v>0</v>
      </c>
      <c r="O92" s="33">
        <f>M92+N92</f>
        <v>0</v>
      </c>
      <c r="P92" s="34">
        <v>0</v>
      </c>
      <c r="Q92" s="35">
        <f>O92+P92</f>
        <v>0</v>
      </c>
      <c r="R92" s="29">
        <v>0</v>
      </c>
      <c r="S92" s="36">
        <v>0</v>
      </c>
      <c r="T92" s="33">
        <f>R92+S92</f>
        <v>0</v>
      </c>
      <c r="U92" s="34">
        <v>0</v>
      </c>
      <c r="V92" s="31">
        <f>T92+U92</f>
        <v>0</v>
      </c>
      <c r="W92" s="32">
        <f>IF(Q92=0,0,((V92/Q92)-1)*100)</f>
        <v>0</v>
      </c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47"/>
      <c r="J93" s="70"/>
      <c r="L93" s="4" t="s">
        <v>20</v>
      </c>
      <c r="M93" s="29">
        <v>0</v>
      </c>
      <c r="N93" s="36">
        <v>0</v>
      </c>
      <c r="O93" s="33">
        <f>M93+N93</f>
        <v>0</v>
      </c>
      <c r="P93" s="34">
        <v>0</v>
      </c>
      <c r="Q93" s="35">
        <f>O93+P93</f>
        <v>0</v>
      </c>
      <c r="R93" s="29">
        <v>0</v>
      </c>
      <c r="S93" s="36">
        <v>0</v>
      </c>
      <c r="T93" s="33">
        <f>R93+S93</f>
        <v>0</v>
      </c>
      <c r="U93" s="34">
        <v>0</v>
      </c>
      <c r="V93" s="31">
        <f>T93+U93</f>
        <v>0</v>
      </c>
      <c r="W93" s="32">
        <f t="shared" si="57"/>
        <v>0</v>
      </c>
    </row>
    <row r="94" spans="1:26" ht="14.25" thickBot="1" thickTop="1">
      <c r="A94" s="70"/>
      <c r="B94" s="232"/>
      <c r="C94" s="234"/>
      <c r="D94" s="234"/>
      <c r="E94" s="234"/>
      <c r="F94" s="234"/>
      <c r="G94" s="234"/>
      <c r="H94" s="234"/>
      <c r="I94" s="306"/>
      <c r="J94" s="70"/>
      <c r="L94" s="44" t="s">
        <v>21</v>
      </c>
      <c r="M94" s="40">
        <f aca="true" t="shared" si="58" ref="M94:V94">+M91+M92+M93</f>
        <v>0</v>
      </c>
      <c r="N94" s="41">
        <f t="shared" si="58"/>
        <v>0</v>
      </c>
      <c r="O94" s="40">
        <f t="shared" si="58"/>
        <v>0</v>
      </c>
      <c r="P94" s="40">
        <f t="shared" si="58"/>
        <v>0</v>
      </c>
      <c r="Q94" s="40">
        <f t="shared" si="58"/>
        <v>0</v>
      </c>
      <c r="R94" s="40">
        <f t="shared" si="58"/>
        <v>0</v>
      </c>
      <c r="S94" s="41">
        <f t="shared" si="58"/>
        <v>0</v>
      </c>
      <c r="T94" s="40">
        <f t="shared" si="58"/>
        <v>0</v>
      </c>
      <c r="U94" s="40">
        <f t="shared" si="58"/>
        <v>0</v>
      </c>
      <c r="V94" s="42">
        <f t="shared" si="58"/>
        <v>0</v>
      </c>
      <c r="W94" s="54">
        <f t="shared" si="57"/>
        <v>0</v>
      </c>
      <c r="Y94" s="99"/>
      <c r="Z94" s="99"/>
    </row>
    <row r="95" spans="1:26" ht="13.5" thickTop="1">
      <c r="A95" s="70"/>
      <c r="B95" s="70"/>
      <c r="C95" s="70"/>
      <c r="D95" s="70"/>
      <c r="E95" s="70"/>
      <c r="F95" s="70"/>
      <c r="G95" s="70"/>
      <c r="H95" s="70"/>
      <c r="I95" s="247"/>
      <c r="J95" s="70"/>
      <c r="L95" s="4" t="s">
        <v>22</v>
      </c>
      <c r="M95" s="29">
        <v>0</v>
      </c>
      <c r="N95" s="36">
        <v>0</v>
      </c>
      <c r="O95" s="33">
        <f>M95+N95</f>
        <v>0</v>
      </c>
      <c r="P95" s="34">
        <v>0</v>
      </c>
      <c r="Q95" s="35">
        <f>O95+P95</f>
        <v>0</v>
      </c>
      <c r="R95" s="29">
        <v>0</v>
      </c>
      <c r="S95" s="36">
        <v>0</v>
      </c>
      <c r="T95" s="33">
        <v>0</v>
      </c>
      <c r="U95" s="34">
        <v>0</v>
      </c>
      <c r="V95" s="31">
        <v>0</v>
      </c>
      <c r="W95" s="32">
        <v>0</v>
      </c>
      <c r="Y95" s="99"/>
      <c r="Z95" s="99"/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47"/>
      <c r="J96" s="70"/>
      <c r="L96" s="4" t="s">
        <v>23</v>
      </c>
      <c r="M96" s="29">
        <v>0</v>
      </c>
      <c r="N96" s="36">
        <v>0</v>
      </c>
      <c r="O96" s="33">
        <f>M96+N96</f>
        <v>0</v>
      </c>
      <c r="P96" s="34">
        <v>0</v>
      </c>
      <c r="Q96" s="35">
        <f>O96+P96</f>
        <v>0</v>
      </c>
      <c r="R96" s="29">
        <v>0</v>
      </c>
      <c r="S96" s="36">
        <v>0</v>
      </c>
      <c r="T96" s="33">
        <v>0</v>
      </c>
      <c r="U96" s="34">
        <v>0</v>
      </c>
      <c r="V96" s="31">
        <v>0</v>
      </c>
      <c r="W96" s="32">
        <v>0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47"/>
      <c r="J97" s="70"/>
      <c r="L97" s="4" t="s">
        <v>24</v>
      </c>
      <c r="M97" s="29">
        <v>0</v>
      </c>
      <c r="N97" s="36">
        <v>0</v>
      </c>
      <c r="O97" s="51">
        <f>M97+N97</f>
        <v>0</v>
      </c>
      <c r="P97" s="52">
        <v>0</v>
      </c>
      <c r="Q97" s="35">
        <f>O97+P97</f>
        <v>0</v>
      </c>
      <c r="R97" s="29">
        <v>0</v>
      </c>
      <c r="S97" s="36">
        <v>0</v>
      </c>
      <c r="T97" s="51">
        <v>0</v>
      </c>
      <c r="U97" s="52">
        <v>0</v>
      </c>
      <c r="V97" s="31">
        <v>0</v>
      </c>
      <c r="W97" s="32">
        <v>0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47"/>
      <c r="J98" s="70"/>
      <c r="L98" s="44" t="s">
        <v>25</v>
      </c>
      <c r="M98" s="45">
        <f aca="true" t="shared" si="59" ref="M98:V98">M95+M96+M97</f>
        <v>0</v>
      </c>
      <c r="N98" s="45">
        <f t="shared" si="59"/>
        <v>0</v>
      </c>
      <c r="O98" s="47">
        <f t="shared" si="59"/>
        <v>0</v>
      </c>
      <c r="P98" s="47">
        <f t="shared" si="59"/>
        <v>0</v>
      </c>
      <c r="Q98" s="47">
        <f t="shared" si="59"/>
        <v>0</v>
      </c>
      <c r="R98" s="45">
        <f t="shared" si="59"/>
        <v>0</v>
      </c>
      <c r="S98" s="45">
        <f t="shared" si="59"/>
        <v>0</v>
      </c>
      <c r="T98" s="47">
        <f t="shared" si="59"/>
        <v>0</v>
      </c>
      <c r="U98" s="47">
        <f t="shared" si="59"/>
        <v>0</v>
      </c>
      <c r="V98" s="47">
        <f t="shared" si="59"/>
        <v>0</v>
      </c>
      <c r="W98" s="191"/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47"/>
      <c r="J99" s="70"/>
      <c r="L99" s="4" t="s">
        <v>27</v>
      </c>
      <c r="M99" s="29">
        <v>0</v>
      </c>
      <c r="N99" s="36">
        <v>0</v>
      </c>
      <c r="O99" s="51">
        <f>M99+N99</f>
        <v>0</v>
      </c>
      <c r="P99" s="59">
        <v>0</v>
      </c>
      <c r="Q99" s="35">
        <f>O99+P99</f>
        <v>0</v>
      </c>
      <c r="R99" s="29">
        <v>0</v>
      </c>
      <c r="S99" s="36">
        <v>0</v>
      </c>
      <c r="T99" s="51">
        <v>0</v>
      </c>
      <c r="U99" s="59">
        <v>0</v>
      </c>
      <c r="V99" s="31">
        <v>0</v>
      </c>
      <c r="W99" s="32">
        <v>0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47"/>
      <c r="J100" s="70"/>
      <c r="L100" s="4" t="s">
        <v>28</v>
      </c>
      <c r="M100" s="29">
        <v>0</v>
      </c>
      <c r="N100" s="36">
        <v>0</v>
      </c>
      <c r="O100" s="51">
        <f>M100+N100</f>
        <v>0</v>
      </c>
      <c r="P100" s="34">
        <v>0</v>
      </c>
      <c r="Q100" s="35">
        <f>O100+P100</f>
        <v>0</v>
      </c>
      <c r="R100" s="29">
        <v>0</v>
      </c>
      <c r="S100" s="36">
        <v>0</v>
      </c>
      <c r="T100" s="51">
        <v>0</v>
      </c>
      <c r="U100" s="34">
        <v>0</v>
      </c>
      <c r="V100" s="31">
        <v>0</v>
      </c>
      <c r="W100" s="32">
        <v>0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47"/>
      <c r="J101" s="8"/>
      <c r="L101" s="4" t="s">
        <v>29</v>
      </c>
      <c r="M101" s="29">
        <v>0</v>
      </c>
      <c r="N101" s="36">
        <v>0</v>
      </c>
      <c r="O101" s="51">
        <f>M101+N101</f>
        <v>0</v>
      </c>
      <c r="P101" s="34">
        <v>0</v>
      </c>
      <c r="Q101" s="35">
        <f>O101+P101</f>
        <v>0</v>
      </c>
      <c r="R101" s="29">
        <v>0</v>
      </c>
      <c r="S101" s="36">
        <v>0</v>
      </c>
      <c r="T101" s="51">
        <f>+R101+S101</f>
        <v>0</v>
      </c>
      <c r="U101" s="34">
        <v>0</v>
      </c>
      <c r="V101" s="31">
        <f>+T101+U101</f>
        <v>0</v>
      </c>
      <c r="W101" s="32"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47"/>
      <c r="J102" s="70"/>
      <c r="L102" s="39" t="s">
        <v>30</v>
      </c>
      <c r="M102" s="40">
        <f aca="true" t="shared" si="60" ref="M102:V102">+M99+M100+M101</f>
        <v>0</v>
      </c>
      <c r="N102" s="41">
        <f t="shared" si="60"/>
        <v>0</v>
      </c>
      <c r="O102" s="40">
        <f t="shared" si="60"/>
        <v>0</v>
      </c>
      <c r="P102" s="40">
        <f t="shared" si="60"/>
        <v>0</v>
      </c>
      <c r="Q102" s="40">
        <f t="shared" si="60"/>
        <v>0</v>
      </c>
      <c r="R102" s="40">
        <f t="shared" si="60"/>
        <v>0</v>
      </c>
      <c r="S102" s="41">
        <f t="shared" si="60"/>
        <v>0</v>
      </c>
      <c r="T102" s="40">
        <f t="shared" si="60"/>
        <v>0</v>
      </c>
      <c r="U102" s="40">
        <f t="shared" si="60"/>
        <v>0</v>
      </c>
      <c r="V102" s="40">
        <f t="shared" si="60"/>
        <v>0</v>
      </c>
      <c r="W102" s="54"/>
    </row>
    <row r="103" spans="1:26" ht="14.25" thickBot="1" thickTop="1">
      <c r="A103" s="220"/>
      <c r="B103" s="232"/>
      <c r="C103" s="234"/>
      <c r="D103" s="234"/>
      <c r="E103" s="234"/>
      <c r="F103" s="234"/>
      <c r="G103" s="234"/>
      <c r="H103" s="234"/>
      <c r="I103" s="306"/>
      <c r="J103" s="70"/>
      <c r="L103" s="39" t="s">
        <v>66</v>
      </c>
      <c r="M103" s="40">
        <f aca="true" t="shared" si="61" ref="M103:V103">+M94+M98+M102</f>
        <v>0</v>
      </c>
      <c r="N103" s="41">
        <f t="shared" si="61"/>
        <v>0</v>
      </c>
      <c r="O103" s="40">
        <f t="shared" si="61"/>
        <v>0</v>
      </c>
      <c r="P103" s="40">
        <f t="shared" si="61"/>
        <v>0</v>
      </c>
      <c r="Q103" s="40">
        <f t="shared" si="61"/>
        <v>0</v>
      </c>
      <c r="R103" s="40">
        <f t="shared" si="61"/>
        <v>0</v>
      </c>
      <c r="S103" s="41">
        <f t="shared" si="61"/>
        <v>0</v>
      </c>
      <c r="T103" s="40">
        <f t="shared" si="61"/>
        <v>0</v>
      </c>
      <c r="U103" s="40">
        <f t="shared" si="61"/>
        <v>0</v>
      </c>
      <c r="V103" s="42">
        <f t="shared" si="61"/>
        <v>0</v>
      </c>
      <c r="W103" s="54"/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47"/>
      <c r="J104" s="70"/>
      <c r="L104" s="39" t="s">
        <v>9</v>
      </c>
      <c r="M104" s="40">
        <f aca="true" t="shared" si="62" ref="M104:V104">M94+M98+M102+M90</f>
        <v>0</v>
      </c>
      <c r="N104" s="41">
        <f t="shared" si="62"/>
        <v>0</v>
      </c>
      <c r="O104" s="40">
        <f t="shared" si="62"/>
        <v>0</v>
      </c>
      <c r="P104" s="40">
        <f t="shared" si="62"/>
        <v>0</v>
      </c>
      <c r="Q104" s="40">
        <f t="shared" si="62"/>
        <v>0</v>
      </c>
      <c r="R104" s="40">
        <f t="shared" si="62"/>
        <v>0</v>
      </c>
      <c r="S104" s="40">
        <f t="shared" si="62"/>
        <v>0</v>
      </c>
      <c r="T104" s="40">
        <f t="shared" si="62"/>
        <v>0</v>
      </c>
      <c r="U104" s="40">
        <f t="shared" si="62"/>
        <v>0</v>
      </c>
      <c r="V104" s="40">
        <f t="shared" si="62"/>
        <v>0</v>
      </c>
      <c r="W104" s="54"/>
      <c r="Y104" s="99"/>
      <c r="Z104" s="99"/>
    </row>
    <row r="105" spans="1:22" ht="13.5" thickTop="1">
      <c r="A105" s="70"/>
      <c r="B105" s="70"/>
      <c r="C105" s="70"/>
      <c r="D105" s="70"/>
      <c r="E105" s="70"/>
      <c r="F105" s="70"/>
      <c r="G105" s="70"/>
      <c r="H105" s="70"/>
      <c r="I105" s="247"/>
      <c r="J105" s="70"/>
      <c r="L105" s="63" t="s">
        <v>64</v>
      </c>
      <c r="V105" s="1">
        <v>0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47"/>
      <c r="L106" s="336" t="s">
        <v>47</v>
      </c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</row>
    <row r="107" spans="2:23" ht="15.75">
      <c r="B107" s="70"/>
      <c r="C107" s="70"/>
      <c r="D107" s="70"/>
      <c r="E107" s="70"/>
      <c r="F107" s="70"/>
      <c r="G107" s="70"/>
      <c r="H107" s="70"/>
      <c r="I107" s="247"/>
      <c r="L107" s="337" t="s">
        <v>48</v>
      </c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47"/>
      <c r="W108" s="242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47"/>
      <c r="L109" s="3"/>
      <c r="M109" s="347" t="s">
        <v>67</v>
      </c>
      <c r="N109" s="348"/>
      <c r="O109" s="348"/>
      <c r="P109" s="348"/>
      <c r="Q109" s="349"/>
      <c r="R109" s="338" t="s">
        <v>68</v>
      </c>
      <c r="S109" s="339"/>
      <c r="T109" s="339"/>
      <c r="U109" s="339"/>
      <c r="V109" s="340"/>
      <c r="W109" s="239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47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0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47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1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47"/>
      <c r="L112" s="4"/>
      <c r="M112" s="193"/>
      <c r="N112" s="194"/>
      <c r="O112" s="195"/>
      <c r="P112" s="196"/>
      <c r="Q112" s="197"/>
      <c r="R112" s="193"/>
      <c r="S112" s="194"/>
      <c r="T112" s="195"/>
      <c r="U112" s="196"/>
      <c r="V112" s="198"/>
      <c r="W112" s="207"/>
    </row>
    <row r="113" spans="2:23" ht="12.75">
      <c r="B113" s="70"/>
      <c r="C113" s="70"/>
      <c r="D113" s="70"/>
      <c r="E113" s="70"/>
      <c r="F113" s="70"/>
      <c r="G113" s="70"/>
      <c r="H113" s="70"/>
      <c r="I113" s="247"/>
      <c r="L113" s="4" t="s">
        <v>14</v>
      </c>
      <c r="M113" s="29">
        <v>100</v>
      </c>
      <c r="N113" s="36">
        <v>151</v>
      </c>
      <c r="O113" s="33">
        <f>M113+N113</f>
        <v>251</v>
      </c>
      <c r="P113" s="34">
        <v>0</v>
      </c>
      <c r="Q113" s="35">
        <f>O113+P113</f>
        <v>251</v>
      </c>
      <c r="R113" s="29">
        <v>149</v>
      </c>
      <c r="S113" s="36">
        <v>261</v>
      </c>
      <c r="T113" s="33">
        <f>R113+S113</f>
        <v>410</v>
      </c>
      <c r="U113" s="34">
        <v>0</v>
      </c>
      <c r="V113" s="31">
        <f>T113+U113</f>
        <v>410</v>
      </c>
      <c r="W113" s="256">
        <f aca="true" t="shared" si="63" ref="W113:W124">IF(Q113=0,0,((V113/Q113)-1)*100)</f>
        <v>63.346613545816744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47"/>
      <c r="L114" s="4" t="s">
        <v>15</v>
      </c>
      <c r="M114" s="29">
        <v>90</v>
      </c>
      <c r="N114" s="36">
        <v>146</v>
      </c>
      <c r="O114" s="33">
        <f>M114+N114</f>
        <v>236</v>
      </c>
      <c r="P114" s="34">
        <v>0</v>
      </c>
      <c r="Q114" s="35">
        <f>O114+P114</f>
        <v>236</v>
      </c>
      <c r="R114" s="29">
        <v>142</v>
      </c>
      <c r="S114" s="36">
        <v>309</v>
      </c>
      <c r="T114" s="33">
        <f>R114+S114</f>
        <v>451</v>
      </c>
      <c r="U114" s="34">
        <v>0</v>
      </c>
      <c r="V114" s="31">
        <f>T114+U114</f>
        <v>451</v>
      </c>
      <c r="W114" s="256">
        <f t="shared" si="63"/>
        <v>91.10169491525424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47"/>
      <c r="L115" s="12" t="s">
        <v>16</v>
      </c>
      <c r="M115" s="29">
        <v>104</v>
      </c>
      <c r="N115" s="36">
        <v>181</v>
      </c>
      <c r="O115" s="33">
        <f>+M115+N115</f>
        <v>285</v>
      </c>
      <c r="P115" s="34"/>
      <c r="Q115" s="35">
        <f>O115+P115</f>
        <v>285</v>
      </c>
      <c r="R115" s="29">
        <v>125</v>
      </c>
      <c r="S115" s="36">
        <v>317</v>
      </c>
      <c r="T115" s="33">
        <f>+R115+S115</f>
        <v>442</v>
      </c>
      <c r="U115" s="34">
        <v>0</v>
      </c>
      <c r="V115" s="31">
        <f>T115+U115</f>
        <v>442</v>
      </c>
      <c r="W115" s="256">
        <f t="shared" si="63"/>
        <v>55.08771929824561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47"/>
      <c r="L116" s="39" t="s">
        <v>17</v>
      </c>
      <c r="M116" s="40">
        <f>M113+M114+M115</f>
        <v>294</v>
      </c>
      <c r="N116" s="41">
        <f>N113+N114+N115</f>
        <v>478</v>
      </c>
      <c r="O116" s="40">
        <f>O113+O114+O115</f>
        <v>772</v>
      </c>
      <c r="P116" s="40">
        <f>P113+P114+P115</f>
        <v>0</v>
      </c>
      <c r="Q116" s="40">
        <f aca="true" t="shared" si="64" ref="Q116:V116">Q113+Q114+Q115</f>
        <v>772</v>
      </c>
      <c r="R116" s="40">
        <f t="shared" si="64"/>
        <v>416</v>
      </c>
      <c r="S116" s="41">
        <f t="shared" si="64"/>
        <v>887</v>
      </c>
      <c r="T116" s="40">
        <f t="shared" si="64"/>
        <v>1303</v>
      </c>
      <c r="U116" s="40">
        <f t="shared" si="64"/>
        <v>0</v>
      </c>
      <c r="V116" s="42">
        <f t="shared" si="64"/>
        <v>1303</v>
      </c>
      <c r="W116" s="257">
        <f t="shared" si="63"/>
        <v>68.78238341968913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47"/>
      <c r="L117" s="4" t="s">
        <v>18</v>
      </c>
      <c r="M117" s="29">
        <v>94</v>
      </c>
      <c r="N117" s="36">
        <v>163</v>
      </c>
      <c r="O117" s="33">
        <f>+M117+N117</f>
        <v>257</v>
      </c>
      <c r="P117" s="34">
        <v>0</v>
      </c>
      <c r="Q117" s="35">
        <f>O117+P117</f>
        <v>257</v>
      </c>
      <c r="R117" s="29">
        <v>109</v>
      </c>
      <c r="S117" s="36">
        <v>254</v>
      </c>
      <c r="T117" s="33">
        <f>+R117+S117</f>
        <v>363</v>
      </c>
      <c r="U117" s="34">
        <v>0</v>
      </c>
      <c r="V117" s="31">
        <f>T117+U117</f>
        <v>363</v>
      </c>
      <c r="W117" s="256">
        <f t="shared" si="63"/>
        <v>41.24513618677044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47"/>
      <c r="L118" s="4" t="s">
        <v>19</v>
      </c>
      <c r="M118" s="29">
        <v>93</v>
      </c>
      <c r="N118" s="36">
        <v>164</v>
      </c>
      <c r="O118" s="33">
        <f>+M118+N118</f>
        <v>257</v>
      </c>
      <c r="P118" s="34">
        <v>0</v>
      </c>
      <c r="Q118" s="35">
        <f>O118+P118</f>
        <v>257</v>
      </c>
      <c r="R118" s="29">
        <v>104</v>
      </c>
      <c r="S118" s="36">
        <v>282</v>
      </c>
      <c r="T118" s="33">
        <f>+R118+S118</f>
        <v>386</v>
      </c>
      <c r="U118" s="34">
        <v>0</v>
      </c>
      <c r="V118" s="31">
        <f>T118+U118</f>
        <v>386</v>
      </c>
      <c r="W118" s="256">
        <f>IF(Q118=0,0,((V118/Q118)-1)*100)</f>
        <v>50.19455252918288</v>
      </c>
    </row>
    <row r="119" spans="2:26" ht="13.5" thickBot="1">
      <c r="B119" s="70"/>
      <c r="C119" s="70"/>
      <c r="D119" s="70"/>
      <c r="E119" s="70"/>
      <c r="F119" s="70"/>
      <c r="G119" s="70"/>
      <c r="H119" s="70"/>
      <c r="I119" s="247"/>
      <c r="L119" s="4" t="s">
        <v>20</v>
      </c>
      <c r="M119" s="29">
        <v>122</v>
      </c>
      <c r="N119" s="36">
        <v>196</v>
      </c>
      <c r="O119" s="33">
        <f>+M119+N119</f>
        <v>318</v>
      </c>
      <c r="P119" s="34">
        <v>0</v>
      </c>
      <c r="Q119" s="35">
        <f>O119+P119</f>
        <v>318</v>
      </c>
      <c r="R119" s="29">
        <v>116</v>
      </c>
      <c r="S119" s="36">
        <v>278</v>
      </c>
      <c r="T119" s="33">
        <f>+R119+S119</f>
        <v>394</v>
      </c>
      <c r="U119" s="34">
        <v>0</v>
      </c>
      <c r="V119" s="31">
        <f>T119+U119</f>
        <v>394</v>
      </c>
      <c r="W119" s="256">
        <f t="shared" si="63"/>
        <v>23.899371069182386</v>
      </c>
      <c r="Y119" s="99"/>
      <c r="Z119" s="99"/>
    </row>
    <row r="120" spans="1:26" ht="14.25" thickBot="1" thickTop="1">
      <c r="A120" s="70"/>
      <c r="B120" s="232"/>
      <c r="C120" s="234"/>
      <c r="D120" s="234"/>
      <c r="E120" s="234"/>
      <c r="F120" s="234"/>
      <c r="G120" s="234"/>
      <c r="H120" s="234"/>
      <c r="I120" s="306"/>
      <c r="J120" s="70"/>
      <c r="L120" s="44" t="s">
        <v>21</v>
      </c>
      <c r="M120" s="40">
        <f aca="true" t="shared" si="65" ref="M120:V120">+M117+M118+M119</f>
        <v>309</v>
      </c>
      <c r="N120" s="41">
        <f t="shared" si="65"/>
        <v>523</v>
      </c>
      <c r="O120" s="40">
        <f t="shared" si="65"/>
        <v>832</v>
      </c>
      <c r="P120" s="40">
        <f t="shared" si="65"/>
        <v>0</v>
      </c>
      <c r="Q120" s="40">
        <f t="shared" si="65"/>
        <v>832</v>
      </c>
      <c r="R120" s="40">
        <f t="shared" si="65"/>
        <v>329</v>
      </c>
      <c r="S120" s="41">
        <f t="shared" si="65"/>
        <v>814</v>
      </c>
      <c r="T120" s="40">
        <f t="shared" si="65"/>
        <v>1143</v>
      </c>
      <c r="U120" s="40">
        <f t="shared" si="65"/>
        <v>0</v>
      </c>
      <c r="V120" s="42">
        <f t="shared" si="65"/>
        <v>1143</v>
      </c>
      <c r="W120" s="54">
        <f t="shared" si="63"/>
        <v>37.379807692307686</v>
      </c>
      <c r="Y120" s="99"/>
      <c r="Z120" s="99"/>
    </row>
    <row r="121" spans="2:26" ht="13.5" thickTop="1">
      <c r="B121" s="70"/>
      <c r="C121" s="70"/>
      <c r="D121" s="70"/>
      <c r="E121" s="70"/>
      <c r="F121" s="70"/>
      <c r="G121" s="70"/>
      <c r="H121" s="70"/>
      <c r="I121" s="247"/>
      <c r="L121" s="4" t="s">
        <v>22</v>
      </c>
      <c r="M121" s="29">
        <v>103</v>
      </c>
      <c r="N121" s="36">
        <v>229</v>
      </c>
      <c r="O121" s="33">
        <f>+M121+N121</f>
        <v>332</v>
      </c>
      <c r="P121" s="34">
        <v>0</v>
      </c>
      <c r="Q121" s="35">
        <f>O121+P121</f>
        <v>332</v>
      </c>
      <c r="R121" s="29">
        <v>109</v>
      </c>
      <c r="S121" s="36">
        <v>264</v>
      </c>
      <c r="T121" s="33">
        <f>+R121+S121</f>
        <v>373</v>
      </c>
      <c r="U121" s="34">
        <v>0</v>
      </c>
      <c r="V121" s="31">
        <f>T121+U121</f>
        <v>373</v>
      </c>
      <c r="W121" s="256">
        <f>IF(Q121=0,0,((V121/Q121)-1)*100)</f>
        <v>12.349397590361445</v>
      </c>
      <c r="Y121" s="99"/>
      <c r="Z121" s="99"/>
    </row>
    <row r="122" spans="2:23" ht="12.75">
      <c r="B122" s="70"/>
      <c r="C122" s="70"/>
      <c r="D122" s="70"/>
      <c r="E122" s="70"/>
      <c r="F122" s="70"/>
      <c r="G122" s="70"/>
      <c r="H122" s="70"/>
      <c r="I122" s="247"/>
      <c r="L122" s="4" t="s">
        <v>23</v>
      </c>
      <c r="M122" s="29">
        <v>117</v>
      </c>
      <c r="N122" s="36">
        <v>332</v>
      </c>
      <c r="O122" s="33">
        <f>+M122+N122</f>
        <v>449</v>
      </c>
      <c r="P122" s="34">
        <v>0</v>
      </c>
      <c r="Q122" s="35">
        <f>O122+P122</f>
        <v>449</v>
      </c>
      <c r="R122" s="29">
        <v>139</v>
      </c>
      <c r="S122" s="36">
        <v>315</v>
      </c>
      <c r="T122" s="33">
        <f>+R122+S122</f>
        <v>454</v>
      </c>
      <c r="U122" s="34">
        <v>0</v>
      </c>
      <c r="V122" s="31">
        <f>T122+U122</f>
        <v>454</v>
      </c>
      <c r="W122" s="256">
        <f t="shared" si="63"/>
        <v>1.1135857461024523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47"/>
      <c r="L123" s="4" t="s">
        <v>24</v>
      </c>
      <c r="M123" s="29">
        <v>119</v>
      </c>
      <c r="N123" s="36">
        <v>265</v>
      </c>
      <c r="O123" s="51">
        <f>+M123+N123</f>
        <v>384</v>
      </c>
      <c r="P123" s="34">
        <v>0</v>
      </c>
      <c r="Q123" s="35">
        <f>O123+P123</f>
        <v>384</v>
      </c>
      <c r="R123" s="29">
        <v>165</v>
      </c>
      <c r="S123" s="36">
        <v>279</v>
      </c>
      <c r="T123" s="33">
        <f>+R123+S123</f>
        <v>444</v>
      </c>
      <c r="U123" s="34">
        <v>0</v>
      </c>
      <c r="V123" s="31">
        <f>T123+U123</f>
        <v>444</v>
      </c>
      <c r="W123" s="256">
        <f>IF(Q123=0,0,((V123/Q123)-1)*100)</f>
        <v>15.625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47"/>
      <c r="L124" s="44" t="s">
        <v>25</v>
      </c>
      <c r="M124" s="45">
        <f aca="true" t="shared" si="66" ref="M124:V124">M121+M122+M123</f>
        <v>339</v>
      </c>
      <c r="N124" s="45">
        <f t="shared" si="66"/>
        <v>826</v>
      </c>
      <c r="O124" s="47">
        <f t="shared" si="66"/>
        <v>1165</v>
      </c>
      <c r="P124" s="47">
        <f t="shared" si="66"/>
        <v>0</v>
      </c>
      <c r="Q124" s="47">
        <f t="shared" si="66"/>
        <v>1165</v>
      </c>
      <c r="R124" s="45">
        <f t="shared" si="66"/>
        <v>413</v>
      </c>
      <c r="S124" s="45">
        <f t="shared" si="66"/>
        <v>858</v>
      </c>
      <c r="T124" s="47">
        <f t="shared" si="66"/>
        <v>1271</v>
      </c>
      <c r="U124" s="47">
        <f t="shared" si="66"/>
        <v>0</v>
      </c>
      <c r="V124" s="47">
        <f t="shared" si="66"/>
        <v>1271</v>
      </c>
      <c r="W124" s="54">
        <f t="shared" si="63"/>
        <v>9.098712446351943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47"/>
      <c r="L125" s="4" t="s">
        <v>27</v>
      </c>
      <c r="M125" s="29">
        <v>113</v>
      </c>
      <c r="N125" s="36">
        <v>231</v>
      </c>
      <c r="O125" s="51">
        <f>+M125+N125</f>
        <v>344</v>
      </c>
      <c r="P125" s="34">
        <v>0</v>
      </c>
      <c r="Q125" s="35">
        <f>+O125+P125</f>
        <v>344</v>
      </c>
      <c r="R125" s="29">
        <v>116</v>
      </c>
      <c r="S125" s="36">
        <v>262</v>
      </c>
      <c r="T125" s="33">
        <f>+R125+S125</f>
        <v>378</v>
      </c>
      <c r="U125" s="34">
        <v>0</v>
      </c>
      <c r="V125" s="31">
        <f>T125+U125</f>
        <v>378</v>
      </c>
      <c r="W125" s="256">
        <f aca="true" t="shared" si="67" ref="W125:W130">IF(Q125=0,0,((V125/Q125)-1)*100)</f>
        <v>9.883720930232553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47"/>
      <c r="L126" s="4" t="s">
        <v>28</v>
      </c>
      <c r="M126" s="29">
        <v>110</v>
      </c>
      <c r="N126" s="36">
        <v>236</v>
      </c>
      <c r="O126" s="51">
        <f>+M126+N126</f>
        <v>346</v>
      </c>
      <c r="P126" s="34">
        <v>0</v>
      </c>
      <c r="Q126" s="35">
        <f>+O126+P126</f>
        <v>346</v>
      </c>
      <c r="R126" s="29">
        <v>105</v>
      </c>
      <c r="S126" s="36">
        <v>294</v>
      </c>
      <c r="T126" s="33">
        <f>+R126+S126</f>
        <v>399</v>
      </c>
      <c r="U126" s="34">
        <v>0</v>
      </c>
      <c r="V126" s="31">
        <f>T126+U126</f>
        <v>399</v>
      </c>
      <c r="W126" s="256">
        <f>IF(Q126=0,0,((V126/Q126)-1)*100)</f>
        <v>15.317919075144504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47"/>
      <c r="L127" s="4" t="s">
        <v>29</v>
      </c>
      <c r="M127" s="29">
        <v>103</v>
      </c>
      <c r="N127" s="36">
        <v>213</v>
      </c>
      <c r="O127" s="51">
        <f>+M127+N127</f>
        <v>316</v>
      </c>
      <c r="P127" s="34">
        <v>0</v>
      </c>
      <c r="Q127" s="35">
        <f>+O127+P127</f>
        <v>316</v>
      </c>
      <c r="R127" s="29">
        <v>107</v>
      </c>
      <c r="S127" s="36">
        <v>292</v>
      </c>
      <c r="T127" s="33">
        <f>+R127+S127</f>
        <v>399</v>
      </c>
      <c r="U127" s="34">
        <v>0</v>
      </c>
      <c r="V127" s="31">
        <f>T127+U127</f>
        <v>399</v>
      </c>
      <c r="W127" s="256">
        <f t="shared" si="67"/>
        <v>26.265822784810133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47"/>
      <c r="L128" s="39" t="s">
        <v>30</v>
      </c>
      <c r="M128" s="40">
        <f aca="true" t="shared" si="68" ref="M128:V128">+M125+M126+M127</f>
        <v>326</v>
      </c>
      <c r="N128" s="41">
        <f t="shared" si="68"/>
        <v>680</v>
      </c>
      <c r="O128" s="40">
        <f t="shared" si="68"/>
        <v>1006</v>
      </c>
      <c r="P128" s="40">
        <f t="shared" si="68"/>
        <v>0</v>
      </c>
      <c r="Q128" s="40">
        <f t="shared" si="68"/>
        <v>1006</v>
      </c>
      <c r="R128" s="45">
        <f t="shared" si="68"/>
        <v>328</v>
      </c>
      <c r="S128" s="45">
        <f t="shared" si="68"/>
        <v>848</v>
      </c>
      <c r="T128" s="47">
        <f t="shared" si="68"/>
        <v>1176</v>
      </c>
      <c r="U128" s="47">
        <f t="shared" si="68"/>
        <v>0</v>
      </c>
      <c r="V128" s="47">
        <f t="shared" si="68"/>
        <v>1176</v>
      </c>
      <c r="W128" s="54">
        <f t="shared" si="67"/>
        <v>16.898608349900602</v>
      </c>
    </row>
    <row r="129" spans="1:26" ht="14.25" thickBot="1" thickTop="1">
      <c r="A129" s="220"/>
      <c r="B129" s="232"/>
      <c r="C129" s="234"/>
      <c r="D129" s="234"/>
      <c r="E129" s="234"/>
      <c r="F129" s="234"/>
      <c r="G129" s="234"/>
      <c r="H129" s="234"/>
      <c r="I129" s="306"/>
      <c r="J129" s="220"/>
      <c r="L129" s="39" t="s">
        <v>66</v>
      </c>
      <c r="M129" s="40">
        <f aca="true" t="shared" si="69" ref="M129:V129">+M120+M124+M128</f>
        <v>974</v>
      </c>
      <c r="N129" s="41">
        <f t="shared" si="69"/>
        <v>2029</v>
      </c>
      <c r="O129" s="40">
        <f t="shared" si="69"/>
        <v>3003</v>
      </c>
      <c r="P129" s="40">
        <f t="shared" si="69"/>
        <v>0</v>
      </c>
      <c r="Q129" s="40">
        <f t="shared" si="69"/>
        <v>3003</v>
      </c>
      <c r="R129" s="40">
        <f t="shared" si="69"/>
        <v>1070</v>
      </c>
      <c r="S129" s="41">
        <f t="shared" si="69"/>
        <v>2520</v>
      </c>
      <c r="T129" s="40">
        <f t="shared" si="69"/>
        <v>3590</v>
      </c>
      <c r="U129" s="40">
        <f t="shared" si="69"/>
        <v>0</v>
      </c>
      <c r="V129" s="42">
        <f t="shared" si="69"/>
        <v>3590</v>
      </c>
      <c r="W129" s="54">
        <f t="shared" si="67"/>
        <v>19.54711954711954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47"/>
      <c r="L130" s="39" t="s">
        <v>9</v>
      </c>
      <c r="M130" s="40">
        <f aca="true" t="shared" si="70" ref="M130:V130">M120+M124+M128+M116</f>
        <v>1268</v>
      </c>
      <c r="N130" s="41">
        <f t="shared" si="70"/>
        <v>2507</v>
      </c>
      <c r="O130" s="40">
        <f t="shared" si="70"/>
        <v>3775</v>
      </c>
      <c r="P130" s="40">
        <f t="shared" si="70"/>
        <v>0</v>
      </c>
      <c r="Q130" s="40">
        <f t="shared" si="70"/>
        <v>3775</v>
      </c>
      <c r="R130" s="40">
        <f t="shared" si="70"/>
        <v>1486</v>
      </c>
      <c r="S130" s="41">
        <f t="shared" si="70"/>
        <v>3407</v>
      </c>
      <c r="T130" s="40">
        <f t="shared" si="70"/>
        <v>4893</v>
      </c>
      <c r="U130" s="40">
        <f t="shared" si="70"/>
        <v>0</v>
      </c>
      <c r="V130" s="40">
        <f t="shared" si="70"/>
        <v>4893</v>
      </c>
      <c r="W130" s="54">
        <f t="shared" si="67"/>
        <v>29.615894039735103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47"/>
      <c r="L131" s="63" t="s">
        <v>64</v>
      </c>
      <c r="W131" s="243"/>
    </row>
    <row r="132" spans="2:23" ht="12.75">
      <c r="B132" s="70"/>
      <c r="C132" s="70"/>
      <c r="D132" s="70"/>
      <c r="E132" s="70"/>
      <c r="F132" s="70"/>
      <c r="G132" s="70"/>
      <c r="H132" s="70"/>
      <c r="I132" s="247"/>
      <c r="L132" s="336" t="s">
        <v>49</v>
      </c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</row>
    <row r="133" spans="2:23" ht="15.75">
      <c r="B133" s="70"/>
      <c r="C133" s="70"/>
      <c r="D133" s="70"/>
      <c r="E133" s="70"/>
      <c r="F133" s="70"/>
      <c r="G133" s="70"/>
      <c r="H133" s="70"/>
      <c r="I133" s="247"/>
      <c r="L133" s="337" t="s">
        <v>50</v>
      </c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47"/>
      <c r="W134" s="242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47"/>
      <c r="L135" s="3"/>
      <c r="M135" s="347" t="s">
        <v>67</v>
      </c>
      <c r="N135" s="348"/>
      <c r="O135" s="348"/>
      <c r="P135" s="348"/>
      <c r="Q135" s="349"/>
      <c r="R135" s="338" t="s">
        <v>68</v>
      </c>
      <c r="S135" s="339"/>
      <c r="T135" s="339"/>
      <c r="U135" s="339"/>
      <c r="V135" s="340"/>
      <c r="W135" s="239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47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0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47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1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47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07"/>
    </row>
    <row r="139" spans="2:23" ht="12.75">
      <c r="B139" s="70"/>
      <c r="C139" s="70"/>
      <c r="D139" s="70"/>
      <c r="E139" s="70"/>
      <c r="F139" s="70"/>
      <c r="G139" s="70"/>
      <c r="H139" s="70"/>
      <c r="I139" s="247"/>
      <c r="L139" s="4" t="s">
        <v>14</v>
      </c>
      <c r="M139" s="29">
        <f aca="true" t="shared" si="71" ref="M139:N141">+M87+M113</f>
        <v>100</v>
      </c>
      <c r="N139" s="36">
        <f t="shared" si="71"/>
        <v>151</v>
      </c>
      <c r="O139" s="33">
        <f>M139+N139</f>
        <v>251</v>
      </c>
      <c r="P139" s="34">
        <f>+P87+P113</f>
        <v>0</v>
      </c>
      <c r="Q139" s="35">
        <f>O139+P139</f>
        <v>251</v>
      </c>
      <c r="R139" s="29">
        <f aca="true" t="shared" si="72" ref="R139:S141">+R87+R113</f>
        <v>149</v>
      </c>
      <c r="S139" s="36">
        <f t="shared" si="72"/>
        <v>261</v>
      </c>
      <c r="T139" s="33">
        <f>R139+S139</f>
        <v>410</v>
      </c>
      <c r="U139" s="34">
        <f>+U87+U113</f>
        <v>0</v>
      </c>
      <c r="V139" s="31">
        <f>T139+U139</f>
        <v>410</v>
      </c>
      <c r="W139" s="256">
        <f aca="true" t="shared" si="73" ref="W139:W146">IF(Q139=0,0,((V139/Q139)-1)*100)</f>
        <v>63.346613545816744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47"/>
      <c r="L140" s="4" t="s">
        <v>15</v>
      </c>
      <c r="M140" s="29">
        <f t="shared" si="71"/>
        <v>90</v>
      </c>
      <c r="N140" s="36">
        <f t="shared" si="71"/>
        <v>146</v>
      </c>
      <c r="O140" s="33">
        <f>M140+N140</f>
        <v>236</v>
      </c>
      <c r="P140" s="34">
        <f>+P88+P114</f>
        <v>0</v>
      </c>
      <c r="Q140" s="35">
        <f>O140+P140</f>
        <v>236</v>
      </c>
      <c r="R140" s="29">
        <f t="shared" si="72"/>
        <v>142</v>
      </c>
      <c r="S140" s="36">
        <f t="shared" si="72"/>
        <v>309</v>
      </c>
      <c r="T140" s="33">
        <f>R140+S140</f>
        <v>451</v>
      </c>
      <c r="U140" s="34">
        <f>+U88+U114</f>
        <v>0</v>
      </c>
      <c r="V140" s="31">
        <f>T140+U140</f>
        <v>451</v>
      </c>
      <c r="W140" s="256">
        <f t="shared" si="73"/>
        <v>91.10169491525424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47"/>
      <c r="L141" s="12" t="s">
        <v>16</v>
      </c>
      <c r="M141" s="29">
        <f t="shared" si="71"/>
        <v>104</v>
      </c>
      <c r="N141" s="36">
        <f t="shared" si="71"/>
        <v>181</v>
      </c>
      <c r="O141" s="33">
        <f>M141+N141</f>
        <v>285</v>
      </c>
      <c r="P141" s="34">
        <f>+P89+P115</f>
        <v>0</v>
      </c>
      <c r="Q141" s="35">
        <f>O141+P141</f>
        <v>285</v>
      </c>
      <c r="R141" s="29">
        <f t="shared" si="72"/>
        <v>125</v>
      </c>
      <c r="S141" s="36">
        <f t="shared" si="72"/>
        <v>317</v>
      </c>
      <c r="T141" s="33">
        <f>R141+S141</f>
        <v>442</v>
      </c>
      <c r="U141" s="34">
        <f>+U89+U115</f>
        <v>0</v>
      </c>
      <c r="V141" s="31">
        <f>T141+U141</f>
        <v>442</v>
      </c>
      <c r="W141" s="256">
        <f t="shared" si="73"/>
        <v>55.08771929824561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47"/>
      <c r="L142" s="39" t="s">
        <v>17</v>
      </c>
      <c r="M142" s="40">
        <f aca="true" t="shared" si="74" ref="M142:V142">M141+M139+M140</f>
        <v>294</v>
      </c>
      <c r="N142" s="41">
        <f t="shared" si="74"/>
        <v>478</v>
      </c>
      <c r="O142" s="40">
        <f t="shared" si="74"/>
        <v>772</v>
      </c>
      <c r="P142" s="40">
        <f t="shared" si="74"/>
        <v>0</v>
      </c>
      <c r="Q142" s="40">
        <f t="shared" si="74"/>
        <v>772</v>
      </c>
      <c r="R142" s="40">
        <f t="shared" si="74"/>
        <v>416</v>
      </c>
      <c r="S142" s="41">
        <f t="shared" si="74"/>
        <v>887</v>
      </c>
      <c r="T142" s="40">
        <f t="shared" si="74"/>
        <v>1303</v>
      </c>
      <c r="U142" s="40">
        <f t="shared" si="74"/>
        <v>0</v>
      </c>
      <c r="V142" s="42">
        <f t="shared" si="74"/>
        <v>1303</v>
      </c>
      <c r="W142" s="257">
        <f t="shared" si="73"/>
        <v>68.78238341968913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47"/>
      <c r="L143" s="4" t="s">
        <v>18</v>
      </c>
      <c r="M143" s="29">
        <f aca="true" t="shared" si="75" ref="M143:N145">+M91+M117</f>
        <v>94</v>
      </c>
      <c r="N143" s="36">
        <f t="shared" si="75"/>
        <v>163</v>
      </c>
      <c r="O143" s="33">
        <f>M143+N143</f>
        <v>257</v>
      </c>
      <c r="P143" s="34">
        <f>+P91+P117</f>
        <v>0</v>
      </c>
      <c r="Q143" s="35">
        <f>O143+P143</f>
        <v>257</v>
      </c>
      <c r="R143" s="29">
        <f>+R91+R117</f>
        <v>109</v>
      </c>
      <c r="S143" s="36">
        <f>+S91+S117</f>
        <v>254</v>
      </c>
      <c r="T143" s="33">
        <f>+T91+T117</f>
        <v>363</v>
      </c>
      <c r="U143" s="34">
        <f>+U91+U117</f>
        <v>0</v>
      </c>
      <c r="V143" s="31">
        <f>+V91+V117</f>
        <v>363</v>
      </c>
      <c r="W143" s="256">
        <f t="shared" si="73"/>
        <v>41.24513618677044</v>
      </c>
    </row>
    <row r="144" spans="2:23" ht="12.75">
      <c r="B144" s="70"/>
      <c r="C144" s="70"/>
      <c r="D144" s="70"/>
      <c r="E144" s="70"/>
      <c r="F144" s="70"/>
      <c r="G144" s="70"/>
      <c r="H144" s="70"/>
      <c r="I144" s="247"/>
      <c r="L144" s="4" t="s">
        <v>19</v>
      </c>
      <c r="M144" s="29">
        <f t="shared" si="75"/>
        <v>93</v>
      </c>
      <c r="N144" s="36">
        <f t="shared" si="75"/>
        <v>164</v>
      </c>
      <c r="O144" s="33">
        <f>M144+N144</f>
        <v>257</v>
      </c>
      <c r="P144" s="34">
        <f>+P92+P118</f>
        <v>0</v>
      </c>
      <c r="Q144" s="35">
        <f>O144+P144</f>
        <v>257</v>
      </c>
      <c r="R144" s="29">
        <f>+R92+R118</f>
        <v>104</v>
      </c>
      <c r="S144" s="36">
        <f>+S92+S118</f>
        <v>282</v>
      </c>
      <c r="T144" s="33">
        <f>R144+S144</f>
        <v>386</v>
      </c>
      <c r="U144" s="34">
        <f>+U92+U118</f>
        <v>0</v>
      </c>
      <c r="V144" s="31">
        <f>T144+U144</f>
        <v>386</v>
      </c>
      <c r="W144" s="256">
        <f t="shared" si="73"/>
        <v>50.19455252918288</v>
      </c>
    </row>
    <row r="145" spans="2:23" ht="13.5" thickBot="1">
      <c r="B145" s="70"/>
      <c r="C145" s="70"/>
      <c r="D145" s="70"/>
      <c r="E145" s="70"/>
      <c r="F145" s="70"/>
      <c r="G145" s="70"/>
      <c r="H145" s="70"/>
      <c r="I145" s="247"/>
      <c r="L145" s="4" t="s">
        <v>20</v>
      </c>
      <c r="M145" s="29">
        <f t="shared" si="75"/>
        <v>122</v>
      </c>
      <c r="N145" s="36">
        <f t="shared" si="75"/>
        <v>196</v>
      </c>
      <c r="O145" s="33">
        <f>+O93+O119</f>
        <v>318</v>
      </c>
      <c r="P145" s="34">
        <f>+P93+P119</f>
        <v>0</v>
      </c>
      <c r="Q145" s="35">
        <f>+Q93+Q119</f>
        <v>318</v>
      </c>
      <c r="R145" s="29">
        <f>+R93+R119</f>
        <v>116</v>
      </c>
      <c r="S145" s="36">
        <f>+S93+S119</f>
        <v>278</v>
      </c>
      <c r="T145" s="33">
        <f>+T93+T119</f>
        <v>394</v>
      </c>
      <c r="U145" s="34">
        <f>+U93+U119</f>
        <v>0</v>
      </c>
      <c r="V145" s="31">
        <f>+V93+V119</f>
        <v>394</v>
      </c>
      <c r="W145" s="256">
        <f t="shared" si="73"/>
        <v>23.899371069182386</v>
      </c>
    </row>
    <row r="146" spans="1:26" ht="14.25" thickBot="1" thickTop="1">
      <c r="A146" s="70"/>
      <c r="B146" s="232"/>
      <c r="C146" s="234"/>
      <c r="D146" s="234"/>
      <c r="E146" s="234"/>
      <c r="F146" s="234"/>
      <c r="G146" s="234"/>
      <c r="H146" s="234"/>
      <c r="I146" s="306"/>
      <c r="J146" s="70"/>
      <c r="L146" s="44" t="s">
        <v>21</v>
      </c>
      <c r="M146" s="40">
        <f aca="true" t="shared" si="76" ref="M146:V146">+M143+M144+M145</f>
        <v>309</v>
      </c>
      <c r="N146" s="41">
        <f t="shared" si="76"/>
        <v>523</v>
      </c>
      <c r="O146" s="40">
        <f t="shared" si="76"/>
        <v>832</v>
      </c>
      <c r="P146" s="40">
        <f t="shared" si="76"/>
        <v>0</v>
      </c>
      <c r="Q146" s="40">
        <f t="shared" si="76"/>
        <v>832</v>
      </c>
      <c r="R146" s="40">
        <f t="shared" si="76"/>
        <v>329</v>
      </c>
      <c r="S146" s="41">
        <f t="shared" si="76"/>
        <v>814</v>
      </c>
      <c r="T146" s="40">
        <f t="shared" si="76"/>
        <v>1143</v>
      </c>
      <c r="U146" s="40">
        <f t="shared" si="76"/>
        <v>0</v>
      </c>
      <c r="V146" s="42">
        <f t="shared" si="76"/>
        <v>1143</v>
      </c>
      <c r="W146" s="54">
        <f t="shared" si="73"/>
        <v>37.379807692307686</v>
      </c>
      <c r="Y146" s="99"/>
      <c r="Z146" s="99"/>
    </row>
    <row r="147" spans="2:26" ht="13.5" thickTop="1">
      <c r="B147" s="70"/>
      <c r="C147" s="70"/>
      <c r="D147" s="70"/>
      <c r="E147" s="70"/>
      <c r="F147" s="70"/>
      <c r="G147" s="70"/>
      <c r="H147" s="70"/>
      <c r="I147" s="247"/>
      <c r="L147" s="4" t="s">
        <v>22</v>
      </c>
      <c r="M147" s="29">
        <f aca="true" t="shared" si="77" ref="M147:V147">+M95+M121</f>
        <v>103</v>
      </c>
      <c r="N147" s="36">
        <f t="shared" si="77"/>
        <v>229</v>
      </c>
      <c r="O147" s="33">
        <f t="shared" si="77"/>
        <v>332</v>
      </c>
      <c r="P147" s="34">
        <f t="shared" si="77"/>
        <v>0</v>
      </c>
      <c r="Q147" s="35">
        <f t="shared" si="77"/>
        <v>332</v>
      </c>
      <c r="R147" s="29">
        <f t="shared" si="77"/>
        <v>109</v>
      </c>
      <c r="S147" s="36">
        <f t="shared" si="77"/>
        <v>264</v>
      </c>
      <c r="T147" s="33">
        <f t="shared" si="77"/>
        <v>373</v>
      </c>
      <c r="U147" s="34">
        <f t="shared" si="77"/>
        <v>0</v>
      </c>
      <c r="V147" s="31">
        <f t="shared" si="77"/>
        <v>373</v>
      </c>
      <c r="W147" s="256">
        <f aca="true" t="shared" si="78" ref="W147:W156">IF(Q147=0,0,((V147/Q147)-1)*100)</f>
        <v>12.349397590361445</v>
      </c>
      <c r="Y147" s="99"/>
      <c r="Z147" s="99"/>
    </row>
    <row r="148" spans="2:23" ht="12.75">
      <c r="B148" s="70"/>
      <c r="C148" s="70"/>
      <c r="D148" s="70"/>
      <c r="E148" s="70"/>
      <c r="F148" s="70"/>
      <c r="G148" s="70"/>
      <c r="H148" s="70"/>
      <c r="I148" s="247"/>
      <c r="L148" s="4" t="s">
        <v>23</v>
      </c>
      <c r="M148" s="29">
        <f>+M96+M122</f>
        <v>117</v>
      </c>
      <c r="N148" s="36">
        <f>+N96+N122</f>
        <v>332</v>
      </c>
      <c r="O148" s="33">
        <f>M148+N148</f>
        <v>449</v>
      </c>
      <c r="P148" s="34">
        <f>+P96+P122</f>
        <v>0</v>
      </c>
      <c r="Q148" s="35">
        <f>O148+P148</f>
        <v>449</v>
      </c>
      <c r="R148" s="29">
        <f>+R122+R96</f>
        <v>139</v>
      </c>
      <c r="S148" s="36">
        <f>+S122+S96</f>
        <v>315</v>
      </c>
      <c r="T148" s="33">
        <f>R148+S148</f>
        <v>454</v>
      </c>
      <c r="U148" s="34">
        <f>+U96+U122</f>
        <v>0</v>
      </c>
      <c r="V148" s="31">
        <f>T148+U148</f>
        <v>454</v>
      </c>
      <c r="W148" s="256">
        <f t="shared" si="78"/>
        <v>1.1135857461024523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47"/>
      <c r="L149" s="4" t="s">
        <v>24</v>
      </c>
      <c r="M149" s="29">
        <f>+M97+M123</f>
        <v>119</v>
      </c>
      <c r="N149" s="36">
        <f>+N97+N123</f>
        <v>265</v>
      </c>
      <c r="O149" s="33">
        <f>M149+N149</f>
        <v>384</v>
      </c>
      <c r="P149" s="34">
        <f>+P97+P123</f>
        <v>0</v>
      </c>
      <c r="Q149" s="35">
        <f>O149+P149</f>
        <v>384</v>
      </c>
      <c r="R149" s="29">
        <f>+R97+R123</f>
        <v>165</v>
      </c>
      <c r="S149" s="36">
        <f>+S97+S123</f>
        <v>279</v>
      </c>
      <c r="T149" s="33">
        <f>+T97+T123</f>
        <v>444</v>
      </c>
      <c r="U149" s="34">
        <f>+U97+U123</f>
        <v>0</v>
      </c>
      <c r="V149" s="31">
        <f>+V97+V123</f>
        <v>444</v>
      </c>
      <c r="W149" s="256">
        <f t="shared" si="78"/>
        <v>15.625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47"/>
      <c r="J150" s="70"/>
      <c r="L150" s="44" t="s">
        <v>25</v>
      </c>
      <c r="M150" s="45">
        <f aca="true" t="shared" si="79" ref="M150:V150">M147+M148+M149</f>
        <v>339</v>
      </c>
      <c r="N150" s="45">
        <f t="shared" si="79"/>
        <v>826</v>
      </c>
      <c r="O150" s="47">
        <f t="shared" si="79"/>
        <v>1165</v>
      </c>
      <c r="P150" s="47">
        <f t="shared" si="79"/>
        <v>0</v>
      </c>
      <c r="Q150" s="47">
        <f t="shared" si="79"/>
        <v>1165</v>
      </c>
      <c r="R150" s="45">
        <f t="shared" si="79"/>
        <v>413</v>
      </c>
      <c r="S150" s="45">
        <f t="shared" si="79"/>
        <v>858</v>
      </c>
      <c r="T150" s="47">
        <f t="shared" si="79"/>
        <v>1271</v>
      </c>
      <c r="U150" s="47">
        <f t="shared" si="79"/>
        <v>0</v>
      </c>
      <c r="V150" s="47">
        <f t="shared" si="79"/>
        <v>1271</v>
      </c>
      <c r="W150" s="54">
        <f t="shared" si="78"/>
        <v>9.098712446351943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47"/>
      <c r="J151" s="70"/>
      <c r="L151" s="4" t="s">
        <v>27</v>
      </c>
      <c r="M151" s="29">
        <f aca="true" t="shared" si="80" ref="M151:V151">+M99+M125</f>
        <v>113</v>
      </c>
      <c r="N151" s="36">
        <f t="shared" si="80"/>
        <v>231</v>
      </c>
      <c r="O151" s="33">
        <f t="shared" si="80"/>
        <v>344</v>
      </c>
      <c r="P151" s="34">
        <f t="shared" si="80"/>
        <v>0</v>
      </c>
      <c r="Q151" s="35">
        <f t="shared" si="80"/>
        <v>344</v>
      </c>
      <c r="R151" s="29">
        <f t="shared" si="80"/>
        <v>116</v>
      </c>
      <c r="S151" s="36">
        <f t="shared" si="80"/>
        <v>262</v>
      </c>
      <c r="T151" s="33">
        <f t="shared" si="80"/>
        <v>378</v>
      </c>
      <c r="U151" s="34">
        <f t="shared" si="80"/>
        <v>0</v>
      </c>
      <c r="V151" s="31">
        <f t="shared" si="80"/>
        <v>378</v>
      </c>
      <c r="W151" s="256">
        <f t="shared" si="78"/>
        <v>9.883720930232553</v>
      </c>
    </row>
    <row r="152" spans="2:23" ht="12.75">
      <c r="B152" s="298"/>
      <c r="C152" s="146"/>
      <c r="D152" s="146"/>
      <c r="E152" s="234"/>
      <c r="F152" s="146"/>
      <c r="G152" s="146"/>
      <c r="H152" s="234"/>
      <c r="I152" s="295"/>
      <c r="J152" s="70"/>
      <c r="L152" s="4" t="s">
        <v>28</v>
      </c>
      <c r="M152" s="29">
        <f aca="true" t="shared" si="81" ref="M152:V152">+M100+M126</f>
        <v>110</v>
      </c>
      <c r="N152" s="36">
        <f t="shared" si="81"/>
        <v>236</v>
      </c>
      <c r="O152" s="33">
        <f t="shared" si="81"/>
        <v>346</v>
      </c>
      <c r="P152" s="34">
        <f t="shared" si="81"/>
        <v>0</v>
      </c>
      <c r="Q152" s="35">
        <f t="shared" si="81"/>
        <v>346</v>
      </c>
      <c r="R152" s="29">
        <f t="shared" si="81"/>
        <v>105</v>
      </c>
      <c r="S152" s="36">
        <f t="shared" si="81"/>
        <v>294</v>
      </c>
      <c r="T152" s="33">
        <f t="shared" si="81"/>
        <v>399</v>
      </c>
      <c r="U152" s="34">
        <f t="shared" si="81"/>
        <v>0</v>
      </c>
      <c r="V152" s="31">
        <f t="shared" si="81"/>
        <v>399</v>
      </c>
      <c r="W152" s="256">
        <f t="shared" si="78"/>
        <v>15.317919075144504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47"/>
      <c r="L153" s="4" t="s">
        <v>29</v>
      </c>
      <c r="M153" s="29">
        <f aca="true" t="shared" si="82" ref="M153:V153">+M101+M127</f>
        <v>103</v>
      </c>
      <c r="N153" s="36">
        <f t="shared" si="82"/>
        <v>213</v>
      </c>
      <c r="O153" s="33">
        <f t="shared" si="82"/>
        <v>316</v>
      </c>
      <c r="P153" s="52">
        <f t="shared" si="82"/>
        <v>0</v>
      </c>
      <c r="Q153" s="35">
        <f t="shared" si="82"/>
        <v>316</v>
      </c>
      <c r="R153" s="29">
        <f t="shared" si="82"/>
        <v>107</v>
      </c>
      <c r="S153" s="36">
        <f t="shared" si="82"/>
        <v>292</v>
      </c>
      <c r="T153" s="33">
        <f t="shared" si="82"/>
        <v>399</v>
      </c>
      <c r="U153" s="34">
        <f t="shared" si="82"/>
        <v>0</v>
      </c>
      <c r="V153" s="31">
        <f t="shared" si="82"/>
        <v>399</v>
      </c>
      <c r="W153" s="256">
        <f t="shared" si="78"/>
        <v>26.265822784810133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47"/>
      <c r="L154" s="39" t="s">
        <v>30</v>
      </c>
      <c r="M154" s="40">
        <f aca="true" t="shared" si="83" ref="M154:V154">+M151+M152+M153</f>
        <v>326</v>
      </c>
      <c r="N154" s="41">
        <f t="shared" si="83"/>
        <v>680</v>
      </c>
      <c r="O154" s="40">
        <f t="shared" si="83"/>
        <v>1006</v>
      </c>
      <c r="P154" s="40">
        <f t="shared" si="83"/>
        <v>0</v>
      </c>
      <c r="Q154" s="43">
        <f t="shared" si="83"/>
        <v>1006</v>
      </c>
      <c r="R154" s="45">
        <f t="shared" si="83"/>
        <v>328</v>
      </c>
      <c r="S154" s="45">
        <f t="shared" si="83"/>
        <v>848</v>
      </c>
      <c r="T154" s="47">
        <f t="shared" si="83"/>
        <v>1176</v>
      </c>
      <c r="U154" s="47">
        <f t="shared" si="83"/>
        <v>0</v>
      </c>
      <c r="V154" s="47">
        <f t="shared" si="83"/>
        <v>1176</v>
      </c>
      <c r="W154" s="54">
        <f t="shared" si="78"/>
        <v>16.898608349900602</v>
      </c>
    </row>
    <row r="155" spans="1:26" ht="14.25" thickBot="1" thickTop="1">
      <c r="A155" s="220"/>
      <c r="B155" s="232"/>
      <c r="C155" s="234"/>
      <c r="D155" s="234"/>
      <c r="E155" s="234"/>
      <c r="F155" s="234"/>
      <c r="G155" s="234"/>
      <c r="H155" s="234"/>
      <c r="I155" s="306"/>
      <c r="J155" s="220"/>
      <c r="L155" s="39" t="s">
        <v>66</v>
      </c>
      <c r="M155" s="40">
        <f aca="true" t="shared" si="84" ref="M155:V155">+M146+M150+M154</f>
        <v>974</v>
      </c>
      <c r="N155" s="41">
        <f t="shared" si="84"/>
        <v>2029</v>
      </c>
      <c r="O155" s="40">
        <f t="shared" si="84"/>
        <v>3003</v>
      </c>
      <c r="P155" s="40">
        <f t="shared" si="84"/>
        <v>0</v>
      </c>
      <c r="Q155" s="40">
        <f t="shared" si="84"/>
        <v>3003</v>
      </c>
      <c r="R155" s="40">
        <f t="shared" si="84"/>
        <v>1070</v>
      </c>
      <c r="S155" s="41">
        <f t="shared" si="84"/>
        <v>2520</v>
      </c>
      <c r="T155" s="40">
        <f t="shared" si="84"/>
        <v>3590</v>
      </c>
      <c r="U155" s="40">
        <f t="shared" si="84"/>
        <v>0</v>
      </c>
      <c r="V155" s="42">
        <f t="shared" si="84"/>
        <v>3590</v>
      </c>
      <c r="W155" s="54">
        <f t="shared" si="78"/>
        <v>19.54711954711954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47"/>
      <c r="L156" s="39" t="s">
        <v>9</v>
      </c>
      <c r="M156" s="40">
        <f aca="true" t="shared" si="85" ref="M156:V156">M146+M150+M154+M142</f>
        <v>1268</v>
      </c>
      <c r="N156" s="41">
        <f t="shared" si="85"/>
        <v>2507</v>
      </c>
      <c r="O156" s="40">
        <f t="shared" si="85"/>
        <v>3775</v>
      </c>
      <c r="P156" s="40">
        <f t="shared" si="85"/>
        <v>0</v>
      </c>
      <c r="Q156" s="40">
        <f t="shared" si="85"/>
        <v>3775</v>
      </c>
      <c r="R156" s="40">
        <f t="shared" si="85"/>
        <v>1486</v>
      </c>
      <c r="S156" s="41">
        <f t="shared" si="85"/>
        <v>3407</v>
      </c>
      <c r="T156" s="40">
        <f t="shared" si="85"/>
        <v>4893</v>
      </c>
      <c r="U156" s="40">
        <f t="shared" si="85"/>
        <v>0</v>
      </c>
      <c r="V156" s="40">
        <f t="shared" si="85"/>
        <v>4893</v>
      </c>
      <c r="W156" s="54">
        <f t="shared" si="78"/>
        <v>29.615894039735103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47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47"/>
      <c r="L158" s="336" t="s">
        <v>51</v>
      </c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</row>
    <row r="159" spans="2:23" ht="15.75">
      <c r="B159" s="70"/>
      <c r="C159" s="70"/>
      <c r="D159" s="70"/>
      <c r="E159" s="70"/>
      <c r="F159" s="70"/>
      <c r="G159" s="70"/>
      <c r="H159" s="70"/>
      <c r="I159" s="247"/>
      <c r="L159" s="337" t="s">
        <v>52</v>
      </c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47"/>
      <c r="W160" s="242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47"/>
      <c r="L161" s="3"/>
      <c r="M161" s="347" t="s">
        <v>67</v>
      </c>
      <c r="N161" s="348"/>
      <c r="O161" s="348"/>
      <c r="P161" s="348"/>
      <c r="Q161" s="349"/>
      <c r="R161" s="338" t="s">
        <v>68</v>
      </c>
      <c r="S161" s="339"/>
      <c r="T161" s="339"/>
      <c r="U161" s="339"/>
      <c r="V161" s="340"/>
      <c r="W161" s="239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47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0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47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1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47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07"/>
    </row>
    <row r="165" spans="2:23" ht="12.75">
      <c r="B165" s="70"/>
      <c r="C165" s="70"/>
      <c r="D165" s="70"/>
      <c r="E165" s="70"/>
      <c r="F165" s="70"/>
      <c r="G165" s="70"/>
      <c r="H165" s="70"/>
      <c r="I165" s="247"/>
      <c r="L165" s="4" t="s">
        <v>14</v>
      </c>
      <c r="M165" s="29">
        <v>0</v>
      </c>
      <c r="N165" s="36">
        <v>0</v>
      </c>
      <c r="O165" s="33">
        <f>M165+N165</f>
        <v>0</v>
      </c>
      <c r="P165" s="34">
        <v>0</v>
      </c>
      <c r="Q165" s="35">
        <f>O165+P165</f>
        <v>0</v>
      </c>
      <c r="R165" s="29">
        <v>0</v>
      </c>
      <c r="S165" s="36">
        <v>0</v>
      </c>
      <c r="T165" s="33">
        <f>R165+S165</f>
        <v>0</v>
      </c>
      <c r="U165" s="34">
        <v>0</v>
      </c>
      <c r="V165" s="31">
        <f>T165+U165</f>
        <v>0</v>
      </c>
      <c r="W165" s="32">
        <f aca="true" t="shared" si="86" ref="W165:W172">IF(Q165=0,0,((V165/Q165)-1)*100)</f>
        <v>0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47"/>
      <c r="L166" s="4" t="s">
        <v>15</v>
      </c>
      <c r="M166" s="29">
        <v>0</v>
      </c>
      <c r="N166" s="36">
        <v>0</v>
      </c>
      <c r="O166" s="33">
        <f>M166+N166</f>
        <v>0</v>
      </c>
      <c r="P166" s="34">
        <v>0</v>
      </c>
      <c r="Q166" s="35">
        <f>O166+P166</f>
        <v>0</v>
      </c>
      <c r="R166" s="29">
        <v>0</v>
      </c>
      <c r="S166" s="36">
        <v>0</v>
      </c>
      <c r="T166" s="33">
        <f>R166+S166</f>
        <v>0</v>
      </c>
      <c r="U166" s="34">
        <v>0</v>
      </c>
      <c r="V166" s="31">
        <f>T166+U166</f>
        <v>0</v>
      </c>
      <c r="W166" s="32">
        <f t="shared" si="86"/>
        <v>0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47"/>
      <c r="L167" s="12" t="s">
        <v>16</v>
      </c>
      <c r="M167" s="29">
        <v>0</v>
      </c>
      <c r="N167" s="36">
        <v>0</v>
      </c>
      <c r="O167" s="33"/>
      <c r="P167" s="34">
        <v>0</v>
      </c>
      <c r="Q167" s="35">
        <f>O167+P167</f>
        <v>0</v>
      </c>
      <c r="R167" s="29">
        <v>0</v>
      </c>
      <c r="S167" s="36">
        <v>0</v>
      </c>
      <c r="T167" s="33"/>
      <c r="U167" s="34">
        <v>0</v>
      </c>
      <c r="V167" s="31"/>
      <c r="W167" s="32">
        <f t="shared" si="86"/>
        <v>0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47"/>
      <c r="L168" s="39" t="s">
        <v>17</v>
      </c>
      <c r="M168" s="40">
        <v>0</v>
      </c>
      <c r="N168" s="41">
        <v>0</v>
      </c>
      <c r="O168" s="40">
        <v>0</v>
      </c>
      <c r="P168" s="40">
        <v>0</v>
      </c>
      <c r="Q168" s="40">
        <f>Q167+Q165+Q166</f>
        <v>0</v>
      </c>
      <c r="R168" s="40">
        <v>0</v>
      </c>
      <c r="S168" s="41">
        <v>0</v>
      </c>
      <c r="T168" s="40">
        <v>0</v>
      </c>
      <c r="U168" s="40">
        <v>0</v>
      </c>
      <c r="V168" s="42">
        <v>0</v>
      </c>
      <c r="W168" s="54">
        <f t="shared" si="86"/>
        <v>0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47"/>
      <c r="L169" s="4" t="s">
        <v>18</v>
      </c>
      <c r="M169" s="29">
        <v>0</v>
      </c>
      <c r="N169" s="36">
        <v>0</v>
      </c>
      <c r="O169" s="33">
        <f>M169+N169</f>
        <v>0</v>
      </c>
      <c r="P169" s="34">
        <v>0</v>
      </c>
      <c r="Q169" s="35">
        <f>O169+P169</f>
        <v>0</v>
      </c>
      <c r="R169" s="29">
        <v>0</v>
      </c>
      <c r="S169" s="36">
        <v>0</v>
      </c>
      <c r="T169" s="33">
        <f>R169+S169</f>
        <v>0</v>
      </c>
      <c r="U169" s="34">
        <v>0</v>
      </c>
      <c r="V169" s="31">
        <f>T169+U169</f>
        <v>0</v>
      </c>
      <c r="W169" s="32">
        <f t="shared" si="86"/>
        <v>0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47"/>
      <c r="L170" s="4" t="s">
        <v>19</v>
      </c>
      <c r="M170" s="29">
        <v>0</v>
      </c>
      <c r="N170" s="36">
        <v>0</v>
      </c>
      <c r="O170" s="33">
        <f>M170+N170</f>
        <v>0</v>
      </c>
      <c r="P170" s="34">
        <v>0</v>
      </c>
      <c r="Q170" s="35">
        <f>O170+P170</f>
        <v>0</v>
      </c>
      <c r="R170" s="29">
        <v>0</v>
      </c>
      <c r="S170" s="36">
        <v>0</v>
      </c>
      <c r="T170" s="33">
        <f>R170+S170</f>
        <v>0</v>
      </c>
      <c r="U170" s="34">
        <v>0</v>
      </c>
      <c r="V170" s="31">
        <f>T170+U170</f>
        <v>0</v>
      </c>
      <c r="W170" s="32">
        <f t="shared" si="86"/>
        <v>0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47"/>
      <c r="L171" s="4" t="s">
        <v>20</v>
      </c>
      <c r="M171" s="29">
        <v>0</v>
      </c>
      <c r="N171" s="36">
        <v>0</v>
      </c>
      <c r="O171" s="33">
        <f>M171+N171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R171+S171</f>
        <v>0</v>
      </c>
      <c r="U171" s="34">
        <v>0</v>
      </c>
      <c r="V171" s="31">
        <f>T171+U171</f>
        <v>0</v>
      </c>
      <c r="W171" s="32">
        <f t="shared" si="86"/>
        <v>0</v>
      </c>
    </row>
    <row r="172" spans="1:23" ht="14.25" thickBot="1" thickTop="1">
      <c r="A172" s="70"/>
      <c r="B172" s="232"/>
      <c r="C172" s="234"/>
      <c r="D172" s="234"/>
      <c r="E172" s="234"/>
      <c r="F172" s="234"/>
      <c r="G172" s="234"/>
      <c r="H172" s="234"/>
      <c r="I172" s="306"/>
      <c r="J172" s="70"/>
      <c r="L172" s="44" t="s">
        <v>21</v>
      </c>
      <c r="M172" s="40">
        <f aca="true" t="shared" si="87" ref="M172:V172">+M169+M170+M171</f>
        <v>0</v>
      </c>
      <c r="N172" s="41">
        <f t="shared" si="87"/>
        <v>0</v>
      </c>
      <c r="O172" s="40">
        <f t="shared" si="87"/>
        <v>0</v>
      </c>
      <c r="P172" s="40">
        <f t="shared" si="87"/>
        <v>0</v>
      </c>
      <c r="Q172" s="40">
        <f t="shared" si="87"/>
        <v>0</v>
      </c>
      <c r="R172" s="40">
        <f t="shared" si="87"/>
        <v>0</v>
      </c>
      <c r="S172" s="41">
        <f t="shared" si="87"/>
        <v>0</v>
      </c>
      <c r="T172" s="40">
        <f t="shared" si="87"/>
        <v>0</v>
      </c>
      <c r="U172" s="40">
        <f t="shared" si="87"/>
        <v>0</v>
      </c>
      <c r="V172" s="42">
        <f t="shared" si="87"/>
        <v>0</v>
      </c>
      <c r="W172" s="54">
        <f t="shared" si="86"/>
        <v>0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47"/>
      <c r="L173" s="4" t="s">
        <v>22</v>
      </c>
      <c r="M173" s="29">
        <v>0</v>
      </c>
      <c r="N173" s="36">
        <v>0</v>
      </c>
      <c r="O173" s="33">
        <f>M173+N173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v>0</v>
      </c>
      <c r="U173" s="34">
        <v>0</v>
      </c>
      <c r="V173" s="31">
        <v>0</v>
      </c>
      <c r="W173" s="32">
        <v>0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47"/>
      <c r="L174" s="4" t="s">
        <v>23</v>
      </c>
      <c r="M174" s="29">
        <v>0</v>
      </c>
      <c r="N174" s="36">
        <v>0</v>
      </c>
      <c r="O174" s="33">
        <f>M174+N174</f>
        <v>0</v>
      </c>
      <c r="P174" s="34">
        <v>0</v>
      </c>
      <c r="Q174" s="35">
        <f>O174+P174</f>
        <v>0</v>
      </c>
      <c r="R174" s="29">
        <v>0</v>
      </c>
      <c r="S174" s="36">
        <v>0</v>
      </c>
      <c r="T174" s="33">
        <v>0</v>
      </c>
      <c r="U174" s="34">
        <v>0</v>
      </c>
      <c r="V174" s="31">
        <v>0</v>
      </c>
      <c r="W174" s="32">
        <v>0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47"/>
      <c r="L175" s="4" t="s">
        <v>24</v>
      </c>
      <c r="M175" s="29">
        <v>0</v>
      </c>
      <c r="N175" s="36">
        <v>0</v>
      </c>
      <c r="O175" s="51">
        <f>M175+N175</f>
        <v>0</v>
      </c>
      <c r="P175" s="52">
        <v>0</v>
      </c>
      <c r="Q175" s="35">
        <f>O175+P175</f>
        <v>0</v>
      </c>
      <c r="R175" s="29">
        <v>0</v>
      </c>
      <c r="S175" s="36">
        <v>0</v>
      </c>
      <c r="T175" s="51">
        <v>0</v>
      </c>
      <c r="U175" s="52">
        <v>0</v>
      </c>
      <c r="V175" s="31">
        <v>0</v>
      </c>
      <c r="W175" s="32">
        <v>0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47"/>
      <c r="L176" s="39" t="s">
        <v>25</v>
      </c>
      <c r="M176" s="40">
        <f aca="true" t="shared" si="88" ref="M176:V176">M173+M174+M175</f>
        <v>0</v>
      </c>
      <c r="N176" s="41">
        <f t="shared" si="88"/>
        <v>0</v>
      </c>
      <c r="O176" s="40">
        <f t="shared" si="88"/>
        <v>0</v>
      </c>
      <c r="P176" s="40">
        <f t="shared" si="88"/>
        <v>0</v>
      </c>
      <c r="Q176" s="41">
        <f t="shared" si="88"/>
        <v>0</v>
      </c>
      <c r="R176" s="40">
        <f t="shared" si="88"/>
        <v>0</v>
      </c>
      <c r="S176" s="41">
        <f t="shared" si="88"/>
        <v>0</v>
      </c>
      <c r="T176" s="40">
        <f t="shared" si="88"/>
        <v>0</v>
      </c>
      <c r="U176" s="40">
        <f t="shared" si="88"/>
        <v>0</v>
      </c>
      <c r="V176" s="42">
        <f t="shared" si="88"/>
        <v>0</v>
      </c>
      <c r="W176" s="54">
        <v>0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47"/>
      <c r="L177" s="4" t="s">
        <v>27</v>
      </c>
      <c r="M177" s="29">
        <v>0</v>
      </c>
      <c r="N177" s="36">
        <v>0</v>
      </c>
      <c r="O177" s="51">
        <f>M177+N177</f>
        <v>0</v>
      </c>
      <c r="P177" s="59">
        <v>0</v>
      </c>
      <c r="Q177" s="35">
        <f>O177+P177</f>
        <v>0</v>
      </c>
      <c r="R177" s="29">
        <v>0</v>
      </c>
      <c r="S177" s="36">
        <v>0</v>
      </c>
      <c r="T177" s="51">
        <v>0</v>
      </c>
      <c r="U177" s="59">
        <v>0</v>
      </c>
      <c r="V177" s="31">
        <v>0</v>
      </c>
      <c r="W177" s="32">
        <v>0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47"/>
      <c r="L178" s="4" t="s">
        <v>28</v>
      </c>
      <c r="M178" s="29">
        <v>0</v>
      </c>
      <c r="N178" s="36">
        <v>0</v>
      </c>
      <c r="O178" s="51">
        <f>M178+N178</f>
        <v>0</v>
      </c>
      <c r="P178" s="34">
        <v>0</v>
      </c>
      <c r="Q178" s="35">
        <f>O178+P178</f>
        <v>0</v>
      </c>
      <c r="R178" s="29">
        <v>0</v>
      </c>
      <c r="S178" s="36">
        <v>0</v>
      </c>
      <c r="T178" s="51">
        <v>0</v>
      </c>
      <c r="U178" s="34">
        <v>0</v>
      </c>
      <c r="V178" s="51">
        <v>0</v>
      </c>
      <c r="W178" s="32">
        <v>0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47"/>
      <c r="L179" s="4" t="s">
        <v>29</v>
      </c>
      <c r="M179" s="29">
        <v>0</v>
      </c>
      <c r="N179" s="36">
        <v>0</v>
      </c>
      <c r="O179" s="33">
        <f>M179+N179</f>
        <v>0</v>
      </c>
      <c r="P179" s="52">
        <v>0</v>
      </c>
      <c r="Q179" s="35">
        <f>O179+P179</f>
        <v>0</v>
      </c>
      <c r="R179" s="29">
        <v>0</v>
      </c>
      <c r="S179" s="36">
        <v>0</v>
      </c>
      <c r="T179" s="33">
        <v>0</v>
      </c>
      <c r="U179" s="52">
        <v>0</v>
      </c>
      <c r="V179" s="31">
        <v>0</v>
      </c>
      <c r="W179" s="32">
        <v>0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47"/>
      <c r="L180" s="39" t="s">
        <v>30</v>
      </c>
      <c r="M180" s="40">
        <f aca="true" t="shared" si="89" ref="M180:V180">+M177+M178+M179</f>
        <v>0</v>
      </c>
      <c r="N180" s="41">
        <f t="shared" si="89"/>
        <v>0</v>
      </c>
      <c r="O180" s="40">
        <f t="shared" si="89"/>
        <v>0</v>
      </c>
      <c r="P180" s="40">
        <f t="shared" si="89"/>
        <v>0</v>
      </c>
      <c r="Q180" s="43">
        <f t="shared" si="89"/>
        <v>0</v>
      </c>
      <c r="R180" s="40">
        <f t="shared" si="89"/>
        <v>0</v>
      </c>
      <c r="S180" s="41">
        <f t="shared" si="89"/>
        <v>0</v>
      </c>
      <c r="T180" s="40">
        <f t="shared" si="89"/>
        <v>0</v>
      </c>
      <c r="U180" s="40">
        <f t="shared" si="89"/>
        <v>0</v>
      </c>
      <c r="V180" s="42">
        <f t="shared" si="89"/>
        <v>0</v>
      </c>
      <c r="W180" s="54">
        <v>0</v>
      </c>
    </row>
    <row r="181" spans="1:23" ht="14.25" thickBot="1" thickTop="1">
      <c r="A181" s="220"/>
      <c r="B181" s="232"/>
      <c r="C181" s="234"/>
      <c r="D181" s="234"/>
      <c r="E181" s="234"/>
      <c r="F181" s="234"/>
      <c r="G181" s="234"/>
      <c r="H181" s="234"/>
      <c r="I181" s="306"/>
      <c r="J181" s="220"/>
      <c r="L181" s="39" t="s">
        <v>66</v>
      </c>
      <c r="M181" s="40">
        <f aca="true" t="shared" si="90" ref="M181:V181">+M172+M176+M180</f>
        <v>0</v>
      </c>
      <c r="N181" s="41">
        <f t="shared" si="90"/>
        <v>0</v>
      </c>
      <c r="O181" s="40">
        <f t="shared" si="90"/>
        <v>0</v>
      </c>
      <c r="P181" s="40">
        <f t="shared" si="90"/>
        <v>0</v>
      </c>
      <c r="Q181" s="40">
        <f t="shared" si="90"/>
        <v>0</v>
      </c>
      <c r="R181" s="40">
        <f t="shared" si="90"/>
        <v>0</v>
      </c>
      <c r="S181" s="41">
        <f t="shared" si="90"/>
        <v>0</v>
      </c>
      <c r="T181" s="40">
        <f t="shared" si="90"/>
        <v>0</v>
      </c>
      <c r="U181" s="40">
        <f t="shared" si="90"/>
        <v>0</v>
      </c>
      <c r="V181" s="42">
        <f t="shared" si="90"/>
        <v>0</v>
      </c>
      <c r="W181" s="54"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47"/>
      <c r="L182" s="39" t="s">
        <v>9</v>
      </c>
      <c r="M182" s="40">
        <f aca="true" t="shared" si="91" ref="M182:V182">M172+M176+M180+M168</f>
        <v>0</v>
      </c>
      <c r="N182" s="41">
        <f t="shared" si="91"/>
        <v>0</v>
      </c>
      <c r="O182" s="40">
        <f t="shared" si="91"/>
        <v>0</v>
      </c>
      <c r="P182" s="40">
        <f t="shared" si="91"/>
        <v>0</v>
      </c>
      <c r="Q182" s="40">
        <f t="shared" si="91"/>
        <v>0</v>
      </c>
      <c r="R182" s="40">
        <f t="shared" si="91"/>
        <v>0</v>
      </c>
      <c r="S182" s="41">
        <f t="shared" si="91"/>
        <v>0</v>
      </c>
      <c r="T182" s="40">
        <f t="shared" si="91"/>
        <v>0</v>
      </c>
      <c r="U182" s="40">
        <f t="shared" si="91"/>
        <v>0</v>
      </c>
      <c r="V182" s="40">
        <f t="shared" si="91"/>
        <v>0</v>
      </c>
      <c r="W182" s="54">
        <v>0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47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47"/>
      <c r="L184" s="336" t="s">
        <v>53</v>
      </c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</row>
    <row r="185" spans="2:23" ht="15.75">
      <c r="B185" s="70"/>
      <c r="C185" s="70"/>
      <c r="D185" s="70"/>
      <c r="E185" s="70"/>
      <c r="F185" s="70"/>
      <c r="G185" s="70"/>
      <c r="H185" s="70"/>
      <c r="I185" s="247"/>
      <c r="L185" s="337" t="s">
        <v>54</v>
      </c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47"/>
      <c r="W186" s="242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47"/>
      <c r="L187" s="3"/>
      <c r="M187" s="347" t="s">
        <v>67</v>
      </c>
      <c r="N187" s="348"/>
      <c r="O187" s="348"/>
      <c r="P187" s="348"/>
      <c r="Q187" s="349"/>
      <c r="R187" s="338" t="s">
        <v>68</v>
      </c>
      <c r="S187" s="339"/>
      <c r="T187" s="339"/>
      <c r="U187" s="339"/>
      <c r="V187" s="340"/>
      <c r="W187" s="239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47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0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47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1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47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07"/>
    </row>
    <row r="191" spans="2:23" ht="12.75">
      <c r="B191" s="70"/>
      <c r="C191" s="70"/>
      <c r="D191" s="70"/>
      <c r="E191" s="70"/>
      <c r="F191" s="70"/>
      <c r="G191" s="70"/>
      <c r="H191" s="70"/>
      <c r="I191" s="247"/>
      <c r="L191" s="4" t="s">
        <v>14</v>
      </c>
      <c r="M191" s="199">
        <v>0</v>
      </c>
      <c r="N191" s="200">
        <v>0</v>
      </c>
      <c r="O191" s="201">
        <f>M191+N191</f>
        <v>0</v>
      </c>
      <c r="P191" s="32">
        <v>0</v>
      </c>
      <c r="Q191" s="202">
        <f>O191+P190</f>
        <v>0</v>
      </c>
      <c r="R191" s="199">
        <v>0</v>
      </c>
      <c r="S191" s="200">
        <v>0</v>
      </c>
      <c r="T191" s="201">
        <f>R191+S191</f>
        <v>0</v>
      </c>
      <c r="U191" s="32">
        <v>0</v>
      </c>
      <c r="V191" s="203">
        <f>T191+U191</f>
        <v>0</v>
      </c>
      <c r="W191" s="32">
        <f aca="true" t="shared" si="92" ref="W191:W198">IF(Q191=0,0,((V191/Q191)-1)*100)</f>
        <v>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47"/>
      <c r="L192" s="4" t="s">
        <v>15</v>
      </c>
      <c r="M192" s="199">
        <v>0</v>
      </c>
      <c r="N192" s="200">
        <v>0</v>
      </c>
      <c r="O192" s="201">
        <f>M192+N192</f>
        <v>0</v>
      </c>
      <c r="P192" s="32">
        <v>0</v>
      </c>
      <c r="Q192" s="202">
        <f>O192+P191</f>
        <v>0</v>
      </c>
      <c r="R192" s="199">
        <v>0</v>
      </c>
      <c r="S192" s="200">
        <v>0</v>
      </c>
      <c r="T192" s="201">
        <f>R192+S192</f>
        <v>0</v>
      </c>
      <c r="U192" s="32">
        <v>0</v>
      </c>
      <c r="V192" s="203">
        <f>T192+U192</f>
        <v>0</v>
      </c>
      <c r="W192" s="32">
        <f t="shared" si="92"/>
        <v>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47"/>
      <c r="L193" s="12" t="s">
        <v>16</v>
      </c>
      <c r="M193" s="199">
        <v>0</v>
      </c>
      <c r="N193" s="200">
        <v>0</v>
      </c>
      <c r="O193" s="201">
        <v>0</v>
      </c>
      <c r="P193" s="32">
        <v>0</v>
      </c>
      <c r="Q193" s="202">
        <f>O193+P192</f>
        <v>0</v>
      </c>
      <c r="R193" s="199">
        <v>0</v>
      </c>
      <c r="S193" s="200">
        <v>0</v>
      </c>
      <c r="T193" s="201">
        <v>0</v>
      </c>
      <c r="U193" s="32">
        <v>0</v>
      </c>
      <c r="V193" s="203">
        <v>0</v>
      </c>
      <c r="W193" s="32">
        <f t="shared" si="92"/>
        <v>0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47"/>
      <c r="L194" s="39" t="s">
        <v>17</v>
      </c>
      <c r="M194" s="190">
        <v>0</v>
      </c>
      <c r="N194" s="204">
        <v>0</v>
      </c>
      <c r="O194" s="190">
        <v>0</v>
      </c>
      <c r="P194" s="190">
        <v>0</v>
      </c>
      <c r="Q194" s="190">
        <f>Q191+Q192+Q193</f>
        <v>0</v>
      </c>
      <c r="R194" s="190">
        <v>0</v>
      </c>
      <c r="S194" s="204">
        <v>0</v>
      </c>
      <c r="T194" s="190">
        <v>0</v>
      </c>
      <c r="U194" s="190">
        <v>0</v>
      </c>
      <c r="V194" s="205">
        <v>0</v>
      </c>
      <c r="W194" s="54">
        <f t="shared" si="92"/>
        <v>0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47"/>
      <c r="L195" s="4" t="s">
        <v>18</v>
      </c>
      <c r="M195" s="199">
        <v>0</v>
      </c>
      <c r="N195" s="200">
        <v>0</v>
      </c>
      <c r="O195" s="201">
        <f>M195+N195</f>
        <v>0</v>
      </c>
      <c r="P195" s="32">
        <v>0</v>
      </c>
      <c r="Q195" s="202">
        <f>O195+P194</f>
        <v>0</v>
      </c>
      <c r="R195" s="199">
        <v>0</v>
      </c>
      <c r="S195" s="200">
        <v>0</v>
      </c>
      <c r="T195" s="201">
        <f>R195+S195</f>
        <v>0</v>
      </c>
      <c r="U195" s="32">
        <v>0</v>
      </c>
      <c r="V195" s="203">
        <f>T195+U195</f>
        <v>0</v>
      </c>
      <c r="W195" s="32">
        <f t="shared" si="92"/>
        <v>0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47"/>
      <c r="L196" s="4" t="s">
        <v>19</v>
      </c>
      <c r="M196" s="199">
        <v>0</v>
      </c>
      <c r="N196" s="200">
        <v>0</v>
      </c>
      <c r="O196" s="201">
        <f>M196+N196</f>
        <v>0</v>
      </c>
      <c r="P196" s="32">
        <v>0</v>
      </c>
      <c r="Q196" s="202">
        <f>O196+P195</f>
        <v>0</v>
      </c>
      <c r="R196" s="199">
        <v>0</v>
      </c>
      <c r="S196" s="200">
        <v>0</v>
      </c>
      <c r="T196" s="201">
        <f>R196+S196</f>
        <v>0</v>
      </c>
      <c r="U196" s="32">
        <v>0</v>
      </c>
      <c r="V196" s="203">
        <f>T196+U196</f>
        <v>0</v>
      </c>
      <c r="W196" s="32">
        <f>IF(Q196=0,0,((V196/Q196)-1)*100)</f>
        <v>0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47"/>
      <c r="L197" s="4" t="s">
        <v>20</v>
      </c>
      <c r="M197" s="199">
        <v>0</v>
      </c>
      <c r="N197" s="200">
        <v>0</v>
      </c>
      <c r="O197" s="201">
        <f>M197+N197</f>
        <v>0</v>
      </c>
      <c r="P197" s="32">
        <v>0</v>
      </c>
      <c r="Q197" s="202">
        <f>O197+P196</f>
        <v>0</v>
      </c>
      <c r="R197" s="199">
        <v>0</v>
      </c>
      <c r="S197" s="200">
        <v>0</v>
      </c>
      <c r="T197" s="201">
        <f>R197+S197</f>
        <v>0</v>
      </c>
      <c r="U197" s="32">
        <v>0</v>
      </c>
      <c r="V197" s="203">
        <f>T197+U197</f>
        <v>0</v>
      </c>
      <c r="W197" s="32">
        <f t="shared" si="92"/>
        <v>0</v>
      </c>
    </row>
    <row r="198" spans="1:23" ht="14.25" thickBot="1" thickTop="1">
      <c r="A198" s="70"/>
      <c r="B198" s="232"/>
      <c r="C198" s="234"/>
      <c r="D198" s="234"/>
      <c r="E198" s="234"/>
      <c r="F198" s="234"/>
      <c r="G198" s="234"/>
      <c r="H198" s="234"/>
      <c r="I198" s="306"/>
      <c r="J198" s="70"/>
      <c r="L198" s="44" t="s">
        <v>21</v>
      </c>
      <c r="M198" s="40">
        <f aca="true" t="shared" si="93" ref="M198:V198">+M195+M196+M197</f>
        <v>0</v>
      </c>
      <c r="N198" s="41">
        <f t="shared" si="93"/>
        <v>0</v>
      </c>
      <c r="O198" s="40">
        <f t="shared" si="93"/>
        <v>0</v>
      </c>
      <c r="P198" s="40">
        <f t="shared" si="93"/>
        <v>0</v>
      </c>
      <c r="Q198" s="40">
        <f t="shared" si="93"/>
        <v>0</v>
      </c>
      <c r="R198" s="40">
        <f t="shared" si="93"/>
        <v>0</v>
      </c>
      <c r="S198" s="41">
        <f t="shared" si="93"/>
        <v>0</v>
      </c>
      <c r="T198" s="40">
        <f t="shared" si="93"/>
        <v>0</v>
      </c>
      <c r="U198" s="40">
        <f t="shared" si="93"/>
        <v>0</v>
      </c>
      <c r="V198" s="42">
        <f t="shared" si="93"/>
        <v>0</v>
      </c>
      <c r="W198" s="54">
        <f t="shared" si="92"/>
        <v>0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47"/>
      <c r="L199" s="4" t="s">
        <v>22</v>
      </c>
      <c r="M199" s="199">
        <v>0</v>
      </c>
      <c r="N199" s="200">
        <v>0</v>
      </c>
      <c r="O199" s="201">
        <f>M199+N199</f>
        <v>0</v>
      </c>
      <c r="P199" s="32">
        <v>0</v>
      </c>
      <c r="Q199" s="202">
        <v>0</v>
      </c>
      <c r="R199" s="199">
        <v>0</v>
      </c>
      <c r="S199" s="200">
        <v>0</v>
      </c>
      <c r="T199" s="201">
        <v>0</v>
      </c>
      <c r="U199" s="32">
        <v>0</v>
      </c>
      <c r="V199" s="203">
        <v>0</v>
      </c>
      <c r="W199" s="32">
        <v>0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47"/>
      <c r="L200" s="4" t="s">
        <v>23</v>
      </c>
      <c r="M200" s="199">
        <v>0</v>
      </c>
      <c r="N200" s="200">
        <v>0</v>
      </c>
      <c r="O200" s="201">
        <f>M200+N200</f>
        <v>0</v>
      </c>
      <c r="P200" s="32">
        <v>0</v>
      </c>
      <c r="Q200" s="202">
        <f>O200+P199</f>
        <v>0</v>
      </c>
      <c r="R200" s="199">
        <v>0</v>
      </c>
      <c r="S200" s="200">
        <v>0</v>
      </c>
      <c r="T200" s="201">
        <v>0</v>
      </c>
      <c r="U200" s="32">
        <v>0</v>
      </c>
      <c r="V200" s="203">
        <v>0</v>
      </c>
      <c r="W200" s="32">
        <v>0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47"/>
      <c r="L201" s="4" t="s">
        <v>24</v>
      </c>
      <c r="M201" s="199">
        <v>0</v>
      </c>
      <c r="N201" s="200">
        <v>0</v>
      </c>
      <c r="O201" s="206">
        <f>M201+N201</f>
        <v>0</v>
      </c>
      <c r="P201" s="62">
        <v>0</v>
      </c>
      <c r="Q201" s="202">
        <f>O201+P200</f>
        <v>0</v>
      </c>
      <c r="R201" s="199">
        <v>0</v>
      </c>
      <c r="S201" s="200">
        <v>0</v>
      </c>
      <c r="T201" s="206">
        <v>0</v>
      </c>
      <c r="U201" s="62">
        <v>0</v>
      </c>
      <c r="V201" s="203">
        <v>0</v>
      </c>
      <c r="W201" s="32">
        <v>0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47"/>
      <c r="L202" s="44" t="s">
        <v>25</v>
      </c>
      <c r="M202" s="45">
        <f aca="true" t="shared" si="94" ref="M202:V202">M199+M200+M201</f>
        <v>0</v>
      </c>
      <c r="N202" s="45">
        <f t="shared" si="94"/>
        <v>0</v>
      </c>
      <c r="O202" s="47">
        <f t="shared" si="94"/>
        <v>0</v>
      </c>
      <c r="P202" s="47">
        <f t="shared" si="94"/>
        <v>0</v>
      </c>
      <c r="Q202" s="47">
        <f t="shared" si="94"/>
        <v>0</v>
      </c>
      <c r="R202" s="45">
        <f t="shared" si="94"/>
        <v>0</v>
      </c>
      <c r="S202" s="45">
        <f t="shared" si="94"/>
        <v>0</v>
      </c>
      <c r="T202" s="47">
        <f t="shared" si="94"/>
        <v>0</v>
      </c>
      <c r="U202" s="47">
        <f t="shared" si="94"/>
        <v>0</v>
      </c>
      <c r="V202" s="47">
        <f t="shared" si="94"/>
        <v>0</v>
      </c>
      <c r="W202" s="54"/>
    </row>
    <row r="203" spans="2:23" ht="13.5" thickTop="1">
      <c r="B203" s="70"/>
      <c r="C203" s="70"/>
      <c r="D203" s="70"/>
      <c r="E203" s="70"/>
      <c r="F203" s="70"/>
      <c r="G203" s="70"/>
      <c r="H203" s="70"/>
      <c r="I203" s="247"/>
      <c r="L203" s="4" t="s">
        <v>27</v>
      </c>
      <c r="M203" s="199">
        <v>0</v>
      </c>
      <c r="N203" s="200">
        <v>0</v>
      </c>
      <c r="O203" s="206">
        <f>M203+N203</f>
        <v>0</v>
      </c>
      <c r="P203" s="207">
        <v>0</v>
      </c>
      <c r="Q203" s="202">
        <f>O203+P202</f>
        <v>0</v>
      </c>
      <c r="R203" s="199">
        <v>0</v>
      </c>
      <c r="S203" s="200">
        <v>0</v>
      </c>
      <c r="T203" s="206">
        <v>0</v>
      </c>
      <c r="U203" s="207">
        <v>0</v>
      </c>
      <c r="V203" s="203">
        <v>0</v>
      </c>
      <c r="W203" s="32">
        <v>0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47"/>
      <c r="L204" s="4" t="s">
        <v>28</v>
      </c>
      <c r="M204" s="199">
        <v>0</v>
      </c>
      <c r="N204" s="200">
        <v>0</v>
      </c>
      <c r="O204" s="206">
        <f>M204+N204</f>
        <v>0</v>
      </c>
      <c r="P204" s="32">
        <v>0</v>
      </c>
      <c r="Q204" s="202">
        <f>O204+P203</f>
        <v>0</v>
      </c>
      <c r="R204" s="199">
        <v>0</v>
      </c>
      <c r="S204" s="200">
        <v>0</v>
      </c>
      <c r="T204" s="206">
        <v>0</v>
      </c>
      <c r="U204" s="32">
        <v>0</v>
      </c>
      <c r="V204" s="203">
        <v>0</v>
      </c>
      <c r="W204" s="32">
        <v>0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47"/>
      <c r="L205" s="4" t="s">
        <v>29</v>
      </c>
      <c r="M205" s="199">
        <v>0</v>
      </c>
      <c r="N205" s="200">
        <v>0</v>
      </c>
      <c r="O205" s="201">
        <f>M205+N205</f>
        <v>0</v>
      </c>
      <c r="P205" s="62">
        <v>0</v>
      </c>
      <c r="Q205" s="202">
        <f>O205+P204</f>
        <v>0</v>
      </c>
      <c r="R205" s="199">
        <v>0</v>
      </c>
      <c r="S205" s="200">
        <v>0</v>
      </c>
      <c r="T205" s="206">
        <v>0</v>
      </c>
      <c r="U205" s="62">
        <v>0</v>
      </c>
      <c r="V205" s="203">
        <v>0</v>
      </c>
      <c r="W205" s="32">
        <v>0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47"/>
      <c r="L206" s="39" t="s">
        <v>30</v>
      </c>
      <c r="M206" s="40">
        <f aca="true" t="shared" si="95" ref="M206:V206">+M203+M204+M205</f>
        <v>0</v>
      </c>
      <c r="N206" s="41">
        <f t="shared" si="95"/>
        <v>0</v>
      </c>
      <c r="O206" s="40">
        <f t="shared" si="95"/>
        <v>0</v>
      </c>
      <c r="P206" s="40">
        <f t="shared" si="95"/>
        <v>0</v>
      </c>
      <c r="Q206" s="43">
        <f t="shared" si="95"/>
        <v>0</v>
      </c>
      <c r="R206" s="45">
        <f t="shared" si="95"/>
        <v>0</v>
      </c>
      <c r="S206" s="45">
        <f t="shared" si="95"/>
        <v>0</v>
      </c>
      <c r="T206" s="47">
        <f t="shared" si="95"/>
        <v>0</v>
      </c>
      <c r="U206" s="47">
        <f t="shared" si="95"/>
        <v>0</v>
      </c>
      <c r="V206" s="47">
        <f t="shared" si="95"/>
        <v>0</v>
      </c>
      <c r="W206" s="54">
        <v>0</v>
      </c>
    </row>
    <row r="207" spans="1:23" ht="14.25" thickBot="1" thickTop="1">
      <c r="A207" s="220"/>
      <c r="B207" s="232"/>
      <c r="C207" s="234"/>
      <c r="D207" s="234"/>
      <c r="E207" s="234"/>
      <c r="F207" s="234"/>
      <c r="G207" s="234"/>
      <c r="H207" s="234"/>
      <c r="I207" s="306"/>
      <c r="J207" s="220"/>
      <c r="L207" s="39" t="s">
        <v>66</v>
      </c>
      <c r="M207" s="40">
        <f aca="true" t="shared" si="96" ref="M207:V207">+M198+M202+M206</f>
        <v>0</v>
      </c>
      <c r="N207" s="41">
        <f t="shared" si="96"/>
        <v>0</v>
      </c>
      <c r="O207" s="40">
        <f t="shared" si="96"/>
        <v>0</v>
      </c>
      <c r="P207" s="40">
        <f t="shared" si="96"/>
        <v>0</v>
      </c>
      <c r="Q207" s="40">
        <f t="shared" si="96"/>
        <v>0</v>
      </c>
      <c r="R207" s="40">
        <f t="shared" si="96"/>
        <v>0</v>
      </c>
      <c r="S207" s="41">
        <f t="shared" si="96"/>
        <v>0</v>
      </c>
      <c r="T207" s="40">
        <f t="shared" si="96"/>
        <v>0</v>
      </c>
      <c r="U207" s="40">
        <f t="shared" si="96"/>
        <v>0</v>
      </c>
      <c r="V207" s="42">
        <f t="shared" si="96"/>
        <v>0</v>
      </c>
      <c r="W207" s="54">
        <v>0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47"/>
      <c r="L208" s="39" t="s">
        <v>9</v>
      </c>
      <c r="M208" s="40">
        <f aca="true" t="shared" si="97" ref="M208:V208">M198+M202+M206+M194</f>
        <v>0</v>
      </c>
      <c r="N208" s="41">
        <f t="shared" si="97"/>
        <v>0</v>
      </c>
      <c r="O208" s="40">
        <f t="shared" si="97"/>
        <v>0</v>
      </c>
      <c r="P208" s="40">
        <f t="shared" si="97"/>
        <v>0</v>
      </c>
      <c r="Q208" s="40">
        <f t="shared" si="97"/>
        <v>0</v>
      </c>
      <c r="R208" s="40">
        <f t="shared" si="97"/>
        <v>0</v>
      </c>
      <c r="S208" s="41">
        <f t="shared" si="97"/>
        <v>0</v>
      </c>
      <c r="T208" s="40">
        <f t="shared" si="97"/>
        <v>0</v>
      </c>
      <c r="U208" s="40">
        <f t="shared" si="97"/>
        <v>0</v>
      </c>
      <c r="V208" s="40">
        <f t="shared" si="97"/>
        <v>0</v>
      </c>
      <c r="W208" s="54">
        <v>0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47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47"/>
      <c r="L210" s="336" t="s">
        <v>55</v>
      </c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</row>
    <row r="211" spans="2:23" ht="15.75">
      <c r="B211" s="70"/>
      <c r="C211" s="70"/>
      <c r="D211" s="70"/>
      <c r="E211" s="70"/>
      <c r="F211" s="70"/>
      <c r="G211" s="70"/>
      <c r="H211" s="70"/>
      <c r="I211" s="247"/>
      <c r="L211" s="337" t="s">
        <v>56</v>
      </c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47"/>
      <c r="W212" s="242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47"/>
      <c r="L213" s="3"/>
      <c r="M213" s="347" t="s">
        <v>67</v>
      </c>
      <c r="N213" s="348"/>
      <c r="O213" s="348"/>
      <c r="P213" s="348"/>
      <c r="Q213" s="349"/>
      <c r="R213" s="338" t="s">
        <v>68</v>
      </c>
      <c r="S213" s="339"/>
      <c r="T213" s="339"/>
      <c r="U213" s="339"/>
      <c r="V213" s="340"/>
      <c r="W213" s="239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47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0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47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1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47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07"/>
    </row>
    <row r="217" spans="2:23" ht="12.75">
      <c r="B217" s="70"/>
      <c r="C217" s="70"/>
      <c r="D217" s="70"/>
      <c r="E217" s="70"/>
      <c r="F217" s="70"/>
      <c r="G217" s="70"/>
      <c r="H217" s="70"/>
      <c r="I217" s="247"/>
      <c r="L217" s="4" t="s">
        <v>14</v>
      </c>
      <c r="M217" s="29">
        <f aca="true" t="shared" si="98" ref="M217:V217">+M165+M191</f>
        <v>0</v>
      </c>
      <c r="N217" s="36">
        <f t="shared" si="98"/>
        <v>0</v>
      </c>
      <c r="O217" s="33">
        <f t="shared" si="98"/>
        <v>0</v>
      </c>
      <c r="P217" s="34">
        <f t="shared" si="98"/>
        <v>0</v>
      </c>
      <c r="Q217" s="35">
        <f t="shared" si="98"/>
        <v>0</v>
      </c>
      <c r="R217" s="29">
        <f t="shared" si="98"/>
        <v>0</v>
      </c>
      <c r="S217" s="36">
        <f t="shared" si="98"/>
        <v>0</v>
      </c>
      <c r="T217" s="33">
        <f t="shared" si="98"/>
        <v>0</v>
      </c>
      <c r="U217" s="34">
        <f t="shared" si="98"/>
        <v>0</v>
      </c>
      <c r="V217" s="31">
        <f t="shared" si="98"/>
        <v>0</v>
      </c>
      <c r="W217" s="32">
        <f aca="true" t="shared" si="99" ref="W217:W224">IF(Q217=0,0,((V217/Q217)-1)*100)</f>
        <v>0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47"/>
      <c r="L218" s="4" t="s">
        <v>15</v>
      </c>
      <c r="M218" s="29">
        <f aca="true" t="shared" si="100" ref="M218:V218">+M166+M192</f>
        <v>0</v>
      </c>
      <c r="N218" s="36">
        <f t="shared" si="100"/>
        <v>0</v>
      </c>
      <c r="O218" s="33">
        <f t="shared" si="100"/>
        <v>0</v>
      </c>
      <c r="P218" s="34">
        <f t="shared" si="100"/>
        <v>0</v>
      </c>
      <c r="Q218" s="35">
        <f t="shared" si="100"/>
        <v>0</v>
      </c>
      <c r="R218" s="29">
        <f t="shared" si="100"/>
        <v>0</v>
      </c>
      <c r="S218" s="36">
        <f t="shared" si="100"/>
        <v>0</v>
      </c>
      <c r="T218" s="33">
        <f t="shared" si="100"/>
        <v>0</v>
      </c>
      <c r="U218" s="34">
        <f t="shared" si="100"/>
        <v>0</v>
      </c>
      <c r="V218" s="31">
        <f t="shared" si="100"/>
        <v>0</v>
      </c>
      <c r="W218" s="32">
        <f t="shared" si="99"/>
        <v>0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47"/>
      <c r="L219" s="12" t="s">
        <v>16</v>
      </c>
      <c r="M219" s="29">
        <f>+M167+M193</f>
        <v>0</v>
      </c>
      <c r="N219" s="36">
        <f>+N167+N193</f>
        <v>0</v>
      </c>
      <c r="O219" s="33">
        <f>+O167+O193</f>
        <v>0</v>
      </c>
      <c r="P219" s="34">
        <f>+P167+P193</f>
        <v>0</v>
      </c>
      <c r="Q219" s="35">
        <f>+Q167+Q193</f>
        <v>0</v>
      </c>
      <c r="R219" s="29"/>
      <c r="S219" s="36"/>
      <c r="T219" s="33"/>
      <c r="U219" s="34"/>
      <c r="V219" s="31"/>
      <c r="W219" s="32">
        <f t="shared" si="99"/>
        <v>0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47"/>
      <c r="L220" s="39" t="s">
        <v>17</v>
      </c>
      <c r="M220" s="40">
        <f>+M217+M218+M219</f>
        <v>0</v>
      </c>
      <c r="N220" s="41">
        <f>+N217+N218+N219</f>
        <v>0</v>
      </c>
      <c r="O220" s="40">
        <f>+O217+O218+O219</f>
        <v>0</v>
      </c>
      <c r="P220" s="40">
        <f>+P217+P218+P219</f>
        <v>0</v>
      </c>
      <c r="Q220" s="40">
        <f>+Q217+Q218+Q219</f>
        <v>0</v>
      </c>
      <c r="R220" s="40"/>
      <c r="S220" s="41"/>
      <c r="T220" s="40"/>
      <c r="U220" s="40"/>
      <c r="V220" s="42"/>
      <c r="W220" s="54">
        <f t="shared" si="99"/>
        <v>0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47"/>
      <c r="L221" s="4" t="s">
        <v>18</v>
      </c>
      <c r="M221" s="29">
        <f aca="true" t="shared" si="101" ref="M221:V221">+M169+M195</f>
        <v>0</v>
      </c>
      <c r="N221" s="36">
        <f t="shared" si="101"/>
        <v>0</v>
      </c>
      <c r="O221" s="33">
        <f t="shared" si="101"/>
        <v>0</v>
      </c>
      <c r="P221" s="34">
        <f t="shared" si="101"/>
        <v>0</v>
      </c>
      <c r="Q221" s="35">
        <f t="shared" si="101"/>
        <v>0</v>
      </c>
      <c r="R221" s="29">
        <f t="shared" si="101"/>
        <v>0</v>
      </c>
      <c r="S221" s="36">
        <f t="shared" si="101"/>
        <v>0</v>
      </c>
      <c r="T221" s="33">
        <f t="shared" si="101"/>
        <v>0</v>
      </c>
      <c r="U221" s="34">
        <f t="shared" si="101"/>
        <v>0</v>
      </c>
      <c r="V221" s="31">
        <f t="shared" si="101"/>
        <v>0</v>
      </c>
      <c r="W221" s="32">
        <f t="shared" si="99"/>
        <v>0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47"/>
      <c r="L222" s="4" t="s">
        <v>19</v>
      </c>
      <c r="M222" s="29">
        <f aca="true" t="shared" si="102" ref="M222:V222">+M170+M196</f>
        <v>0</v>
      </c>
      <c r="N222" s="36">
        <f t="shared" si="102"/>
        <v>0</v>
      </c>
      <c r="O222" s="33">
        <f t="shared" si="102"/>
        <v>0</v>
      </c>
      <c r="P222" s="34">
        <f t="shared" si="102"/>
        <v>0</v>
      </c>
      <c r="Q222" s="35">
        <f t="shared" si="102"/>
        <v>0</v>
      </c>
      <c r="R222" s="29">
        <f t="shared" si="102"/>
        <v>0</v>
      </c>
      <c r="S222" s="36">
        <f t="shared" si="102"/>
        <v>0</v>
      </c>
      <c r="T222" s="33">
        <f t="shared" si="102"/>
        <v>0</v>
      </c>
      <c r="U222" s="34">
        <f t="shared" si="102"/>
        <v>0</v>
      </c>
      <c r="V222" s="31">
        <f t="shared" si="102"/>
        <v>0</v>
      </c>
      <c r="W222" s="32">
        <f>IF(Q222=0,0,((V222/Q222)-1)*100)</f>
        <v>0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47"/>
      <c r="L223" s="4" t="s">
        <v>20</v>
      </c>
      <c r="M223" s="29">
        <f aca="true" t="shared" si="103" ref="M223:V223">+M171+M197</f>
        <v>0</v>
      </c>
      <c r="N223" s="36">
        <f t="shared" si="103"/>
        <v>0</v>
      </c>
      <c r="O223" s="33">
        <f t="shared" si="103"/>
        <v>0</v>
      </c>
      <c r="P223" s="34">
        <f t="shared" si="103"/>
        <v>0</v>
      </c>
      <c r="Q223" s="35">
        <f t="shared" si="103"/>
        <v>0</v>
      </c>
      <c r="R223" s="29">
        <f t="shared" si="103"/>
        <v>0</v>
      </c>
      <c r="S223" s="36">
        <f t="shared" si="103"/>
        <v>0</v>
      </c>
      <c r="T223" s="33">
        <f t="shared" si="103"/>
        <v>0</v>
      </c>
      <c r="U223" s="34">
        <f t="shared" si="103"/>
        <v>0</v>
      </c>
      <c r="V223" s="31">
        <f t="shared" si="103"/>
        <v>0</v>
      </c>
      <c r="W223" s="32">
        <f t="shared" si="99"/>
        <v>0</v>
      </c>
    </row>
    <row r="224" spans="1:23" ht="14.25" thickBot="1" thickTop="1">
      <c r="A224" s="70"/>
      <c r="B224" s="232"/>
      <c r="C224" s="234"/>
      <c r="D224" s="234"/>
      <c r="E224" s="234"/>
      <c r="F224" s="234"/>
      <c r="G224" s="234"/>
      <c r="H224" s="234"/>
      <c r="I224" s="306"/>
      <c r="J224" s="70"/>
      <c r="L224" s="44" t="s">
        <v>21</v>
      </c>
      <c r="M224" s="40">
        <f aca="true" t="shared" si="104" ref="M224:V224">+M221+M222+M223</f>
        <v>0</v>
      </c>
      <c r="N224" s="41">
        <f t="shared" si="104"/>
        <v>0</v>
      </c>
      <c r="O224" s="40">
        <f t="shared" si="104"/>
        <v>0</v>
      </c>
      <c r="P224" s="40">
        <f t="shared" si="104"/>
        <v>0</v>
      </c>
      <c r="Q224" s="40">
        <f t="shared" si="104"/>
        <v>0</v>
      </c>
      <c r="R224" s="40">
        <f t="shared" si="104"/>
        <v>0</v>
      </c>
      <c r="S224" s="41">
        <f t="shared" si="104"/>
        <v>0</v>
      </c>
      <c r="T224" s="40">
        <f t="shared" si="104"/>
        <v>0</v>
      </c>
      <c r="U224" s="40">
        <f t="shared" si="104"/>
        <v>0</v>
      </c>
      <c r="V224" s="42">
        <f t="shared" si="104"/>
        <v>0</v>
      </c>
      <c r="W224" s="54">
        <f t="shared" si="99"/>
        <v>0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47"/>
      <c r="L225" s="4" t="s">
        <v>22</v>
      </c>
      <c r="M225" s="29">
        <f aca="true" t="shared" si="105" ref="M225:Q227">+M173+M199</f>
        <v>0</v>
      </c>
      <c r="N225" s="36">
        <f t="shared" si="105"/>
        <v>0</v>
      </c>
      <c r="O225" s="33">
        <f t="shared" si="105"/>
        <v>0</v>
      </c>
      <c r="P225" s="34">
        <f t="shared" si="105"/>
        <v>0</v>
      </c>
      <c r="Q225" s="35">
        <f t="shared" si="105"/>
        <v>0</v>
      </c>
      <c r="R225" s="29">
        <v>0</v>
      </c>
      <c r="S225" s="36">
        <v>0</v>
      </c>
      <c r="T225" s="33">
        <v>0</v>
      </c>
      <c r="U225" s="34">
        <v>0</v>
      </c>
      <c r="V225" s="31">
        <v>0</v>
      </c>
      <c r="W225" s="32"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47"/>
      <c r="L226" s="4" t="s">
        <v>23</v>
      </c>
      <c r="M226" s="29">
        <f t="shared" si="105"/>
        <v>0</v>
      </c>
      <c r="N226" s="36">
        <f t="shared" si="105"/>
        <v>0</v>
      </c>
      <c r="O226" s="33">
        <f t="shared" si="105"/>
        <v>0</v>
      </c>
      <c r="P226" s="34">
        <f t="shared" si="105"/>
        <v>0</v>
      </c>
      <c r="Q226" s="35">
        <f t="shared" si="105"/>
        <v>0</v>
      </c>
      <c r="R226" s="29">
        <v>0</v>
      </c>
      <c r="S226" s="36">
        <v>0</v>
      </c>
      <c r="T226" s="33">
        <v>0</v>
      </c>
      <c r="U226" s="34">
        <v>0</v>
      </c>
      <c r="V226" s="31">
        <v>0</v>
      </c>
      <c r="W226" s="32"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47"/>
      <c r="L227" s="4" t="s">
        <v>24</v>
      </c>
      <c r="M227" s="29">
        <f t="shared" si="105"/>
        <v>0</v>
      </c>
      <c r="N227" s="36">
        <f t="shared" si="105"/>
        <v>0</v>
      </c>
      <c r="O227" s="33">
        <f t="shared" si="105"/>
        <v>0</v>
      </c>
      <c r="P227" s="34">
        <f t="shared" si="105"/>
        <v>0</v>
      </c>
      <c r="Q227" s="35">
        <f t="shared" si="105"/>
        <v>0</v>
      </c>
      <c r="R227" s="29">
        <f>+R175+R201</f>
        <v>0</v>
      </c>
      <c r="S227" s="36">
        <f>+S175+S201</f>
        <v>0</v>
      </c>
      <c r="T227" s="33">
        <f>+T175+T201</f>
        <v>0</v>
      </c>
      <c r="U227" s="34">
        <f>+U175+U201</f>
        <v>0</v>
      </c>
      <c r="V227" s="31">
        <f>+V175+V201</f>
        <v>0</v>
      </c>
      <c r="W227" s="32">
        <f>IF(Q227=0,0,((V227/Q227)-1)*100)</f>
        <v>0</v>
      </c>
    </row>
    <row r="228" spans="1:23" ht="14.25" thickBot="1" thickTop="1">
      <c r="A228" s="220"/>
      <c r="B228" s="232"/>
      <c r="C228" s="234"/>
      <c r="D228" s="234"/>
      <c r="E228" s="234"/>
      <c r="F228" s="234"/>
      <c r="G228" s="234"/>
      <c r="H228" s="234"/>
      <c r="I228" s="306"/>
      <c r="J228" s="220"/>
      <c r="L228" s="44" t="s">
        <v>25</v>
      </c>
      <c r="M228" s="40">
        <f aca="true" t="shared" si="106" ref="M228:V228">M225+M226+M227</f>
        <v>0</v>
      </c>
      <c r="N228" s="41">
        <f t="shared" si="106"/>
        <v>0</v>
      </c>
      <c r="O228" s="40">
        <f t="shared" si="106"/>
        <v>0</v>
      </c>
      <c r="P228" s="40">
        <f t="shared" si="106"/>
        <v>0</v>
      </c>
      <c r="Q228" s="40">
        <f t="shared" si="106"/>
        <v>0</v>
      </c>
      <c r="R228" s="40">
        <f t="shared" si="106"/>
        <v>0</v>
      </c>
      <c r="S228" s="41">
        <f t="shared" si="106"/>
        <v>0</v>
      </c>
      <c r="T228" s="40">
        <f t="shared" si="106"/>
        <v>0</v>
      </c>
      <c r="U228" s="40">
        <f t="shared" si="106"/>
        <v>0</v>
      </c>
      <c r="V228" s="42">
        <f t="shared" si="106"/>
        <v>0</v>
      </c>
      <c r="W228" s="54"/>
    </row>
    <row r="229" spans="2:23" ht="13.5" thickTop="1">
      <c r="B229" s="70"/>
      <c r="C229" s="70"/>
      <c r="D229" s="70"/>
      <c r="E229" s="70"/>
      <c r="F229" s="70"/>
      <c r="G229" s="70"/>
      <c r="H229" s="70"/>
      <c r="I229" s="247"/>
      <c r="L229" s="4" t="s">
        <v>27</v>
      </c>
      <c r="M229" s="29">
        <f aca="true" t="shared" si="107" ref="M229:Q231">+M177+M203</f>
        <v>0</v>
      </c>
      <c r="N229" s="36">
        <f t="shared" si="107"/>
        <v>0</v>
      </c>
      <c r="O229" s="33">
        <f t="shared" si="107"/>
        <v>0</v>
      </c>
      <c r="P229" s="34">
        <f t="shared" si="107"/>
        <v>0</v>
      </c>
      <c r="Q229" s="35">
        <f t="shared" si="107"/>
        <v>0</v>
      </c>
      <c r="R229" s="29">
        <v>0</v>
      </c>
      <c r="S229" s="36">
        <v>0</v>
      </c>
      <c r="T229" s="51">
        <v>0</v>
      </c>
      <c r="U229" s="59">
        <v>0</v>
      </c>
      <c r="V229" s="31">
        <v>0</v>
      </c>
      <c r="W229" s="32">
        <v>0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47"/>
      <c r="L230" s="4" t="s">
        <v>28</v>
      </c>
      <c r="M230" s="29">
        <f t="shared" si="107"/>
        <v>0</v>
      </c>
      <c r="N230" s="36">
        <f t="shared" si="107"/>
        <v>0</v>
      </c>
      <c r="O230" s="33">
        <f t="shared" si="107"/>
        <v>0</v>
      </c>
      <c r="P230" s="34">
        <f t="shared" si="107"/>
        <v>0</v>
      </c>
      <c r="Q230" s="35">
        <f t="shared" si="107"/>
        <v>0</v>
      </c>
      <c r="R230" s="29">
        <v>0</v>
      </c>
      <c r="S230" s="36">
        <v>0</v>
      </c>
      <c r="T230" s="51">
        <v>0</v>
      </c>
      <c r="U230" s="34">
        <v>0</v>
      </c>
      <c r="V230" s="31">
        <v>0</v>
      </c>
      <c r="W230" s="32">
        <v>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47"/>
      <c r="L231" s="4" t="s">
        <v>29</v>
      </c>
      <c r="M231" s="29">
        <f t="shared" si="107"/>
        <v>0</v>
      </c>
      <c r="N231" s="36">
        <f t="shared" si="107"/>
        <v>0</v>
      </c>
      <c r="O231" s="33">
        <f t="shared" si="107"/>
        <v>0</v>
      </c>
      <c r="P231" s="52">
        <f t="shared" si="107"/>
        <v>0</v>
      </c>
      <c r="Q231" s="35">
        <f t="shared" si="107"/>
        <v>0</v>
      </c>
      <c r="R231" s="29">
        <f>+R179+R205</f>
        <v>0</v>
      </c>
      <c r="S231" s="36">
        <f>+S179+S205</f>
        <v>0</v>
      </c>
      <c r="T231" s="33">
        <f>+T179+T205</f>
        <v>0</v>
      </c>
      <c r="U231" s="34">
        <f>+U179+U205</f>
        <v>0</v>
      </c>
      <c r="V231" s="31">
        <f>+V179+V205</f>
        <v>0</v>
      </c>
      <c r="W231" s="32">
        <f>IF(Q231=0,0,((V231/Q231)-1)*100)</f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47"/>
      <c r="L232" s="39" t="s">
        <v>30</v>
      </c>
      <c r="M232" s="40">
        <f aca="true" t="shared" si="108" ref="M232:V232">+M229+M230+M231</f>
        <v>0</v>
      </c>
      <c r="N232" s="41">
        <f t="shared" si="108"/>
        <v>0</v>
      </c>
      <c r="O232" s="40">
        <f t="shared" si="108"/>
        <v>0</v>
      </c>
      <c r="P232" s="40">
        <f t="shared" si="108"/>
        <v>0</v>
      </c>
      <c r="Q232" s="43">
        <f t="shared" si="108"/>
        <v>0</v>
      </c>
      <c r="R232" s="40">
        <f t="shared" si="108"/>
        <v>0</v>
      </c>
      <c r="S232" s="41">
        <f t="shared" si="108"/>
        <v>0</v>
      </c>
      <c r="T232" s="40">
        <f t="shared" si="108"/>
        <v>0</v>
      </c>
      <c r="U232" s="40">
        <f t="shared" si="108"/>
        <v>0</v>
      </c>
      <c r="V232" s="42">
        <f t="shared" si="108"/>
        <v>0</v>
      </c>
      <c r="W232" s="54"/>
    </row>
    <row r="233" spans="1:23" ht="14.25" thickBot="1" thickTop="1">
      <c r="A233" s="70"/>
      <c r="B233" s="232"/>
      <c r="C233" s="234"/>
      <c r="D233" s="234"/>
      <c r="E233" s="234"/>
      <c r="F233" s="234"/>
      <c r="G233" s="234"/>
      <c r="H233" s="234"/>
      <c r="I233" s="300"/>
      <c r="J233" s="70"/>
      <c r="L233" s="39" t="s">
        <v>66</v>
      </c>
      <c r="M233" s="40">
        <f aca="true" t="shared" si="109" ref="M233:V233">+M224+M228+M232</f>
        <v>0</v>
      </c>
      <c r="N233" s="41">
        <f t="shared" si="109"/>
        <v>0</v>
      </c>
      <c r="O233" s="40">
        <f t="shared" si="109"/>
        <v>0</v>
      </c>
      <c r="P233" s="40">
        <f t="shared" si="109"/>
        <v>0</v>
      </c>
      <c r="Q233" s="40">
        <f t="shared" si="109"/>
        <v>0</v>
      </c>
      <c r="R233" s="40">
        <f t="shared" si="109"/>
        <v>0</v>
      </c>
      <c r="S233" s="41">
        <f t="shared" si="109"/>
        <v>0</v>
      </c>
      <c r="T233" s="40">
        <f t="shared" si="109"/>
        <v>0</v>
      </c>
      <c r="U233" s="40">
        <f t="shared" si="109"/>
        <v>0</v>
      </c>
      <c r="V233" s="42">
        <f t="shared" si="109"/>
        <v>0</v>
      </c>
      <c r="W233" s="54">
        <v>0</v>
      </c>
    </row>
    <row r="234" spans="12:23" ht="14.25" thickBot="1" thickTop="1">
      <c r="L234" s="39" t="s">
        <v>9</v>
      </c>
      <c r="M234" s="40">
        <f aca="true" t="shared" si="110" ref="M234:V234">M224+M228+M232+M220</f>
        <v>0</v>
      </c>
      <c r="N234" s="41">
        <f t="shared" si="110"/>
        <v>0</v>
      </c>
      <c r="O234" s="40">
        <f t="shared" si="110"/>
        <v>0</v>
      </c>
      <c r="P234" s="40">
        <f t="shared" si="110"/>
        <v>0</v>
      </c>
      <c r="Q234" s="40">
        <f t="shared" si="110"/>
        <v>0</v>
      </c>
      <c r="R234" s="40">
        <f t="shared" si="110"/>
        <v>0</v>
      </c>
      <c r="S234" s="41">
        <f t="shared" si="110"/>
        <v>0</v>
      </c>
      <c r="T234" s="40">
        <f t="shared" si="110"/>
        <v>0</v>
      </c>
      <c r="U234" s="40">
        <f t="shared" si="110"/>
        <v>0</v>
      </c>
      <c r="V234" s="40">
        <f t="shared" si="110"/>
        <v>0</v>
      </c>
      <c r="W234" s="54">
        <v>0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B2:I2"/>
    <mergeCell ref="L2:W2"/>
    <mergeCell ref="B3:I3"/>
    <mergeCell ref="L3:W3"/>
    <mergeCell ref="R31:V31"/>
    <mergeCell ref="L29:W29"/>
    <mergeCell ref="C31:E31"/>
    <mergeCell ref="F31:H3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&amp;LMonthly Air Transport Statistic : Chiang Rai Intarnational Airport</oddHeader>
    <oddFooter>&amp;LAir Transport Information Division, Corporate Strategy Department&amp;C&amp;D&amp;R&amp;T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235"/>
  <sheetViews>
    <sheetView zoomScalePageLayoutView="0" workbookViewId="0" topLeftCell="A1">
      <selection activeCell="J15" sqref="J15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19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1.7109375" style="1" customWidth="1"/>
    <col min="19" max="19" width="11.57421875" style="1" customWidth="1"/>
    <col min="20" max="20" width="12.57421875" style="1" customWidth="1"/>
    <col min="21" max="21" width="10.00390625" style="1" customWidth="1"/>
    <col min="22" max="22" width="11.00390625" style="1" customWidth="1"/>
    <col min="23" max="23" width="8.421875" style="119" customWidth="1"/>
    <col min="24" max="24" width="6.00390625" style="119" bestFit="1" customWidth="1"/>
    <col min="25" max="26" width="9.00390625" style="1" bestFit="1" customWidth="1"/>
    <col min="27" max="27" width="7.00390625" style="304" customWidth="1"/>
    <col min="28" max="16384" width="7.00390625" style="1" customWidth="1"/>
  </cols>
  <sheetData>
    <row r="2" spans="2:23" ht="12.75">
      <c r="B2" s="336" t="s">
        <v>0</v>
      </c>
      <c r="C2" s="336"/>
      <c r="D2" s="336"/>
      <c r="E2" s="336"/>
      <c r="F2" s="336"/>
      <c r="G2" s="336"/>
      <c r="H2" s="336"/>
      <c r="I2" s="336"/>
      <c r="L2" s="336" t="s">
        <v>1</v>
      </c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2:23" ht="15.75">
      <c r="B3" s="337" t="s">
        <v>2</v>
      </c>
      <c r="C3" s="337"/>
      <c r="D3" s="337"/>
      <c r="E3" s="337"/>
      <c r="F3" s="337"/>
      <c r="G3" s="337"/>
      <c r="H3" s="337"/>
      <c r="I3" s="337"/>
      <c r="L3" s="337" t="s">
        <v>3</v>
      </c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</row>
    <row r="4" ht="13.5" thickBot="1"/>
    <row r="5" spans="2:23" ht="17.25" thickBot="1" thickTop="1">
      <c r="B5" s="3"/>
      <c r="C5" s="341" t="s">
        <v>67</v>
      </c>
      <c r="D5" s="342"/>
      <c r="E5" s="343"/>
      <c r="F5" s="344" t="s">
        <v>68</v>
      </c>
      <c r="G5" s="345"/>
      <c r="H5" s="346"/>
      <c r="I5" s="239" t="s">
        <v>4</v>
      </c>
      <c r="L5" s="3"/>
      <c r="M5" s="347" t="s">
        <v>67</v>
      </c>
      <c r="N5" s="348"/>
      <c r="O5" s="348"/>
      <c r="P5" s="348"/>
      <c r="Q5" s="349"/>
      <c r="R5" s="338" t="s">
        <v>68</v>
      </c>
      <c r="S5" s="339"/>
      <c r="T5" s="339"/>
      <c r="U5" s="339"/>
      <c r="V5" s="340"/>
      <c r="W5" s="23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4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40" t="s">
        <v>6</v>
      </c>
    </row>
    <row r="7" spans="2:23" ht="13.5" thickBot="1">
      <c r="B7" s="12"/>
      <c r="C7" s="13" t="s">
        <v>7</v>
      </c>
      <c r="D7" s="230" t="s">
        <v>8</v>
      </c>
      <c r="E7" s="14" t="s">
        <v>9</v>
      </c>
      <c r="F7" s="13" t="s">
        <v>7</v>
      </c>
      <c r="G7" s="230" t="s">
        <v>8</v>
      </c>
      <c r="H7" s="14" t="s">
        <v>9</v>
      </c>
      <c r="I7" s="24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41"/>
    </row>
    <row r="8" spans="2:23" ht="6" customHeight="1" thickTop="1">
      <c r="B8" s="4"/>
      <c r="C8" s="20"/>
      <c r="D8" s="21"/>
      <c r="E8" s="22"/>
      <c r="F8" s="20"/>
      <c r="G8" s="21"/>
      <c r="H8" s="22"/>
      <c r="I8" s="244"/>
      <c r="L8" s="4"/>
      <c r="M8" s="179"/>
      <c r="N8" s="208"/>
      <c r="O8" s="131"/>
      <c r="P8" s="132"/>
      <c r="Q8" s="209"/>
      <c r="R8" s="179"/>
      <c r="S8" s="208"/>
      <c r="T8" s="131"/>
      <c r="U8" s="26"/>
      <c r="V8" s="28"/>
      <c r="W8" s="207"/>
    </row>
    <row r="9" spans="2:23" ht="12.75">
      <c r="B9" s="4" t="s">
        <v>14</v>
      </c>
      <c r="C9" s="29">
        <f>+BKK!C9+DMK!C9+CNX!C9+HDY!C9+HKT!C9+CEI!C9</f>
        <v>9495</v>
      </c>
      <c r="D9" s="30">
        <f>+BKK!D9+DMK!D9+CNX!D9+HDY!D9+HKT!D9+CEI!D9</f>
        <v>9519</v>
      </c>
      <c r="E9" s="73">
        <f>C9+D9</f>
        <v>19014</v>
      </c>
      <c r="F9" s="29">
        <f>+BKK!F9+DMK!F9+CNX!F9+HDY!F9+HKT!F9+CEI!F9</f>
        <v>11086</v>
      </c>
      <c r="G9" s="30">
        <f>+BKK!G9+DMK!G9+CNX!G9+HDY!G9+HKT!G9+CEI!G9</f>
        <v>11082</v>
      </c>
      <c r="H9" s="73">
        <f>F9+G9</f>
        <v>22168</v>
      </c>
      <c r="I9" s="256">
        <f aca="true" t="shared" si="0" ref="I9:I26">IF(E9=0,0,((H9/E9)-1)*100)</f>
        <v>16.587777427158933</v>
      </c>
      <c r="L9" s="4" t="s">
        <v>14</v>
      </c>
      <c r="M9" s="29">
        <f>+BKK!M9+DMK!M9+CNX!M9+HDY!M9+HKT!M9+CEI!M9</f>
        <v>1551829</v>
      </c>
      <c r="N9" s="36">
        <f>+BKK!N9+DMK!N9+CNX!N9+HDY!N9+HKT!N9+CEI!N9</f>
        <v>1506333</v>
      </c>
      <c r="O9" s="33">
        <f>M9+N9</f>
        <v>3058162</v>
      </c>
      <c r="P9" s="34">
        <f>+BKK!P9+DMK!P9+CNX!P9+HDY!P9+HKT!P9+CEI!P9</f>
        <v>151569</v>
      </c>
      <c r="Q9" s="35">
        <f>O9+P9</f>
        <v>3209731</v>
      </c>
      <c r="R9" s="29">
        <f>+BKK!R9+DMK!R9+CNX!R9+HDY!R9+HKT!R9+CEI!R9</f>
        <v>1616881</v>
      </c>
      <c r="S9" s="36">
        <f>+BKK!S9+DMK!S9+CNX!S9+HDY!S9+HKT!S9+CEI!S9</f>
        <v>1639678</v>
      </c>
      <c r="T9" s="33">
        <f>SUM(R9:S9)</f>
        <v>3256559</v>
      </c>
      <c r="U9" s="34">
        <f>+BKK!U9+DMK!U9+CNX!U9+HDY!U9+HKT!U9+CEI!U9</f>
        <v>149947</v>
      </c>
      <c r="V9" s="31">
        <f>T9+U9</f>
        <v>3406506</v>
      </c>
      <c r="W9" s="256">
        <f aca="true" t="shared" si="1" ref="W9:W26">IF(Q9=0,0,((V9/Q9)-1)*100)</f>
        <v>6.130576051388736</v>
      </c>
    </row>
    <row r="10" spans="2:23" ht="12.75">
      <c r="B10" s="4" t="s">
        <v>15</v>
      </c>
      <c r="C10" s="29">
        <f>+BKK!C10+DMK!C10+CNX!C10+HDY!C10+HKT!C10+CEI!C10</f>
        <v>9804</v>
      </c>
      <c r="D10" s="30">
        <f>+BKK!D10+DMK!D10+CNX!D10+HDY!D10+HKT!D10+CEI!D10</f>
        <v>9846</v>
      </c>
      <c r="E10" s="73">
        <f>C10+D10</f>
        <v>19650</v>
      </c>
      <c r="F10" s="29">
        <f>+BKK!F10+DMK!F10+CNX!F10+HDY!F10+HKT!F10+CEI!F10</f>
        <v>10079</v>
      </c>
      <c r="G10" s="30">
        <f>+BKK!G10+DMK!G10+CNX!G10+HDY!G10+HKT!G10+CEI!G10</f>
        <v>10091</v>
      </c>
      <c r="H10" s="73">
        <f>F10+G10</f>
        <v>20170</v>
      </c>
      <c r="I10" s="256">
        <f t="shared" si="0"/>
        <v>2.646310432569976</v>
      </c>
      <c r="L10" s="4" t="s">
        <v>15</v>
      </c>
      <c r="M10" s="29">
        <f>+BKK!M10+DMK!M10+CNX!M10+HDY!M10+HKT!M10+CEI!M10</f>
        <v>1646205</v>
      </c>
      <c r="N10" s="36">
        <f>+BKK!N10+DMK!N10+CNX!N10+HDY!N10+HKT!N10+CEI!N10</f>
        <v>1538111</v>
      </c>
      <c r="O10" s="33">
        <f>M10+N10</f>
        <v>3184316</v>
      </c>
      <c r="P10" s="34">
        <f>+BKK!P10+DMK!P10+CNX!P10+HDY!P10+HKT!P10+CEI!P10</f>
        <v>130433</v>
      </c>
      <c r="Q10" s="35">
        <f>O10+P10</f>
        <v>3314749</v>
      </c>
      <c r="R10" s="29">
        <f>+BKK!R10+DMK!R10+CNX!R10+HDY!R10+HKT!R10+CEI!R10</f>
        <v>1368727</v>
      </c>
      <c r="S10" s="36">
        <f>+BKK!S10+DMK!S10+CNX!S10+HDY!S10+HKT!S10+CEI!S10</f>
        <v>1266808</v>
      </c>
      <c r="T10" s="33">
        <f>SUM(R10:S10)</f>
        <v>2635535</v>
      </c>
      <c r="U10" s="34">
        <f>+BKK!U10+DMK!U10+CNX!U10+HDY!U10+HKT!U10+CEI!U10</f>
        <v>119889</v>
      </c>
      <c r="V10" s="31">
        <f>T10+U10</f>
        <v>2755424</v>
      </c>
      <c r="W10" s="256">
        <f t="shared" si="1"/>
        <v>-16.873826645697754</v>
      </c>
    </row>
    <row r="11" spans="2:23" ht="13.5" thickBot="1">
      <c r="B11" s="12" t="s">
        <v>16</v>
      </c>
      <c r="C11" s="37">
        <f>+BKK!C11+DMK!C11+CNX!C11+HDY!C11+HKT!C11+CEI!C11</f>
        <v>10590</v>
      </c>
      <c r="D11" s="38">
        <f>+BKK!D11+DMK!D11+CNX!D11+HDY!D11+HKT!D11+CEI!D11</f>
        <v>10603</v>
      </c>
      <c r="E11" s="73">
        <f>C11+D11</f>
        <v>21193</v>
      </c>
      <c r="F11" s="37">
        <f>+BKK!F11+DMK!F11+CNX!F11+HDY!F11+HKT!F11+CEI!F11</f>
        <v>11269</v>
      </c>
      <c r="G11" s="38">
        <f>+BKK!G11+DMK!G11+CNX!G11+HDY!G11+HKT!G11+CEI!G11</f>
        <v>11235</v>
      </c>
      <c r="H11" s="73">
        <f>F11+G11</f>
        <v>22504</v>
      </c>
      <c r="I11" s="256">
        <f t="shared" si="0"/>
        <v>6.186004812909918</v>
      </c>
      <c r="L11" s="12" t="s">
        <v>16</v>
      </c>
      <c r="M11" s="37">
        <f>+BKK!M11+DMK!M11+CNX!M11+HDY!M11+HKT!M11+CEI!M11</f>
        <v>1884052</v>
      </c>
      <c r="N11" s="92">
        <f>+BKK!N11+DMK!N11+CNX!N11+HDY!N11+HKT!N11+CEI!N11</f>
        <v>1686378</v>
      </c>
      <c r="O11" s="210">
        <f>M11+N11</f>
        <v>3570430</v>
      </c>
      <c r="P11" s="29">
        <f>+BKK!P11+DMK!P11+CNX!P11+HDY!P11+HKT!P11+CEI!P11</f>
        <v>132129</v>
      </c>
      <c r="Q11" s="210">
        <f>O11+P11</f>
        <v>3702559</v>
      </c>
      <c r="R11" s="29">
        <f>+BKK!R11+DMK!R11+CNX!R11+HDY!R11+HKT!R11+CEI!R11</f>
        <v>1842254</v>
      </c>
      <c r="S11" s="92">
        <f>+BKK!S11+DMK!S11+CNX!S11+HDY!S11+HKT!S11+CEI!S11</f>
        <v>1592597</v>
      </c>
      <c r="T11" s="61">
        <f>SUM(R11:S11)</f>
        <v>3434851</v>
      </c>
      <c r="U11" s="29">
        <f>+BKK!U11+DMK!U11+CNX!U11+HDY!U11+HKT!U11+CEI!U11</f>
        <v>124884</v>
      </c>
      <c r="V11" s="210">
        <f>T11+U11</f>
        <v>3559735</v>
      </c>
      <c r="W11" s="256">
        <f t="shared" si="1"/>
        <v>-3.8574402190485024</v>
      </c>
    </row>
    <row r="12" spans="2:23" ht="14.25" thickBot="1" thickTop="1">
      <c r="B12" s="39" t="s">
        <v>17</v>
      </c>
      <c r="C12" s="76">
        <f>C11+C9+C10</f>
        <v>29889</v>
      </c>
      <c r="D12" s="77">
        <f>D11+D9+D10</f>
        <v>29968</v>
      </c>
      <c r="E12" s="78">
        <f>+E9+E10+E11</f>
        <v>59857</v>
      </c>
      <c r="F12" s="76">
        <f>F11+F9+F10</f>
        <v>32434</v>
      </c>
      <c r="G12" s="77">
        <f>G11+G9+G10</f>
        <v>32408</v>
      </c>
      <c r="H12" s="78">
        <f>+H9+H10+H11</f>
        <v>64842</v>
      </c>
      <c r="I12" s="257">
        <f t="shared" si="0"/>
        <v>8.328182167499198</v>
      </c>
      <c r="L12" s="39" t="s">
        <v>17</v>
      </c>
      <c r="M12" s="40">
        <f aca="true" t="shared" si="2" ref="M12:V12">M11+M10+M9</f>
        <v>5082086</v>
      </c>
      <c r="N12" s="41">
        <f t="shared" si="2"/>
        <v>4730822</v>
      </c>
      <c r="O12" s="40">
        <f t="shared" si="2"/>
        <v>9812908</v>
      </c>
      <c r="P12" s="40">
        <f t="shared" si="2"/>
        <v>414131</v>
      </c>
      <c r="Q12" s="40">
        <f t="shared" si="2"/>
        <v>10227039</v>
      </c>
      <c r="R12" s="40">
        <f t="shared" si="2"/>
        <v>4827862</v>
      </c>
      <c r="S12" s="41">
        <f t="shared" si="2"/>
        <v>4499083</v>
      </c>
      <c r="T12" s="40">
        <f t="shared" si="2"/>
        <v>9326945</v>
      </c>
      <c r="U12" s="40">
        <f t="shared" si="2"/>
        <v>394720</v>
      </c>
      <c r="V12" s="42">
        <f t="shared" si="2"/>
        <v>9721665</v>
      </c>
      <c r="W12" s="257">
        <f t="shared" si="1"/>
        <v>-4.941547597501095</v>
      </c>
    </row>
    <row r="13" spans="2:23" ht="13.5" thickTop="1">
      <c r="B13" s="4" t="s">
        <v>18</v>
      </c>
      <c r="C13" s="29">
        <f>+BKK!C13+DMK!C13+CNX!C13+HDY!C13+HKT!C13+CEI!C13</f>
        <v>10787</v>
      </c>
      <c r="D13" s="30">
        <f>+BKK!D13+DMK!D13+CNX!D13+HDY!D13+HKT!D13+CEI!D13</f>
        <v>10827</v>
      </c>
      <c r="E13" s="73">
        <f>C13+D13</f>
        <v>21614</v>
      </c>
      <c r="F13" s="29">
        <f>+BKK!F13+DMK!F13+CNX!F13+HDY!F13+HKT!F13+CEI!F13</f>
        <v>12111</v>
      </c>
      <c r="G13" s="30">
        <f>+BKK!G13+DMK!G13+CNX!G13+HDY!G13+HKT!G13+CEI!G13</f>
        <v>12101</v>
      </c>
      <c r="H13" s="31">
        <f>F13+G13</f>
        <v>24212</v>
      </c>
      <c r="I13" s="256">
        <f t="shared" si="0"/>
        <v>12.019987045433522</v>
      </c>
      <c r="L13" s="4" t="s">
        <v>18</v>
      </c>
      <c r="M13" s="29">
        <f>+BKK!M13+DMK!M13+CNX!M13+HDY!M13+HKT!M13+CEI!M13</f>
        <v>1886570</v>
      </c>
      <c r="N13" s="36">
        <f>+BKK!N13+DMK!N13+CNX!N13+HDY!N13+HKT!N13+CEI!N13</f>
        <v>1867720</v>
      </c>
      <c r="O13" s="33">
        <f>M13+N13</f>
        <v>3754290</v>
      </c>
      <c r="P13" s="34">
        <f>+BKK!P13+DMK!P13+CNX!P13+HDY!P13+HKT!P13+CEI!P13</f>
        <v>128271</v>
      </c>
      <c r="Q13" s="35">
        <f>O13+P13</f>
        <v>3882561</v>
      </c>
      <c r="R13" s="29">
        <f>+BKK!R13+DMK!R13+CNX!R13+HDY!R13+HKT!R13+CEI!R13</f>
        <v>1991352</v>
      </c>
      <c r="S13" s="36">
        <f>+BKK!S13+DMK!S13+CNX!S13+HDY!S13+HKT!S13+CEI!S13</f>
        <v>1985494</v>
      </c>
      <c r="T13" s="33">
        <f>R13+S13</f>
        <v>3976846</v>
      </c>
      <c r="U13" s="34">
        <f>+BKK!U13+DMK!U13+CNX!U13+HDY!U13+HKT!U13+CEI!U13</f>
        <v>130240</v>
      </c>
      <c r="V13" s="31">
        <f>T13+U13</f>
        <v>4107086</v>
      </c>
      <c r="W13" s="256">
        <f t="shared" si="1"/>
        <v>5.782909785577095</v>
      </c>
    </row>
    <row r="14" spans="2:23" ht="12.75">
      <c r="B14" s="4" t="s">
        <v>19</v>
      </c>
      <c r="C14" s="29">
        <f>+BKK!C14+DMK!C14+CNX!C14+HDY!C14+HKT!C14+CEI!C14</f>
        <v>10123</v>
      </c>
      <c r="D14" s="30">
        <f>+BKK!D14+DMK!D14+CNX!D14+HDY!D14+HKT!D14+CEI!D14</f>
        <v>10163</v>
      </c>
      <c r="E14" s="31">
        <f>C14+D14</f>
        <v>20286</v>
      </c>
      <c r="F14" s="29">
        <f>+BKK!F14+DMK!F14+CNX!F14+HDY!F14+HKT!F14+CEI!F14</f>
        <v>11071</v>
      </c>
      <c r="G14" s="30">
        <f>+BKK!G14+DMK!G14+CNX!G14+HDY!G14+HKT!G14+CEI!G14</f>
        <v>11028</v>
      </c>
      <c r="H14" s="31">
        <f>F14+G14</f>
        <v>22099</v>
      </c>
      <c r="I14" s="256">
        <f t="shared" si="0"/>
        <v>8.937198067632846</v>
      </c>
      <c r="L14" s="4" t="s">
        <v>19</v>
      </c>
      <c r="M14" s="29">
        <f>+BKK!M14+DMK!M14+CNX!M14+HDY!M14+HKT!M14+CEI!M14</f>
        <v>1775717</v>
      </c>
      <c r="N14" s="36">
        <f>+BKK!N14+DMK!N14+CNX!N14+HDY!N14+HKT!N14+CEI!N14</f>
        <v>1835770</v>
      </c>
      <c r="O14" s="33">
        <f>M14+N14</f>
        <v>3611487</v>
      </c>
      <c r="P14" s="34">
        <f>+BKK!P14+DMK!P14+CNX!P14+HDY!P14+HKT!P14+CEI!P14</f>
        <v>103849</v>
      </c>
      <c r="Q14" s="35">
        <f>O14+P14</f>
        <v>3715336</v>
      </c>
      <c r="R14" s="29">
        <f>+BKK!R14+DMK!R14+CNX!R14+HDY!R14+HKT!R14+CEI!R14</f>
        <v>1860227</v>
      </c>
      <c r="S14" s="36">
        <f>+BKK!S14+DMK!S14+CNX!S14+HDY!S14+HKT!S14+CEI!S14</f>
        <v>1921335</v>
      </c>
      <c r="T14" s="33">
        <f>R14+S14</f>
        <v>3781562</v>
      </c>
      <c r="U14" s="34">
        <f>+BKK!U14+DMK!U14+CNX!U14+HDY!U14+HKT!U14+CEI!U14</f>
        <v>110436</v>
      </c>
      <c r="V14" s="31">
        <f>T14+U14</f>
        <v>3891998</v>
      </c>
      <c r="W14" s="256">
        <f t="shared" si="1"/>
        <v>4.75494006464019</v>
      </c>
    </row>
    <row r="15" spans="2:23" ht="13.5" thickBot="1">
      <c r="B15" s="4" t="s">
        <v>20</v>
      </c>
      <c r="C15" s="29">
        <f>+BKK!C15+DMK!C15+CNX!C15+HDY!C15+HKT!C15+CEI!C15</f>
        <v>10949</v>
      </c>
      <c r="D15" s="30">
        <f>+BKK!D15+DMK!D15+CNX!D15+HDY!D15+HKT!D15+CEI!D15</f>
        <v>10976</v>
      </c>
      <c r="E15" s="31">
        <f>+D15+C15</f>
        <v>21925</v>
      </c>
      <c r="F15" s="29">
        <f>+BKK!F15+DMK!F15+CNX!F15+HDY!F15+HKT!F15+CEI!F15</f>
        <v>11806</v>
      </c>
      <c r="G15" s="30">
        <f>+BKK!G15+DMK!G15+CNX!G15+HDY!G15+HKT!G15+CEI!G15</f>
        <v>11809</v>
      </c>
      <c r="H15" s="31">
        <f>F15+G15</f>
        <v>23615</v>
      </c>
      <c r="I15" s="256">
        <f t="shared" si="0"/>
        <v>7.708095781071833</v>
      </c>
      <c r="L15" s="4" t="s">
        <v>20</v>
      </c>
      <c r="M15" s="29">
        <f>+BKK!M15+DMK!M15+CNX!M15+HDY!M15+HKT!M15+CEI!M15</f>
        <v>1786683</v>
      </c>
      <c r="N15" s="36">
        <f>+BKK!N15+DMK!N15+CNX!N15+HDY!N15+HKT!N15+CEI!N15</f>
        <v>1927858</v>
      </c>
      <c r="O15" s="33">
        <f>M15+N15</f>
        <v>3714541</v>
      </c>
      <c r="P15" s="34">
        <f>+BKK!P15+DMK!P15+CNX!P15+HDY!P15+HKT!P15+CEI!P15</f>
        <v>127976</v>
      </c>
      <c r="Q15" s="35">
        <f>O15+P15</f>
        <v>3842517</v>
      </c>
      <c r="R15" s="29">
        <f>+BKK!R15+DMK!R15+CNX!R15+HDY!R15+HKT!R15+CEI!R15</f>
        <v>1952963</v>
      </c>
      <c r="S15" s="36">
        <f>+BKK!S15+DMK!S15+CNX!S15+HDY!S15+HKT!S15+CEI!S15</f>
        <v>2074396</v>
      </c>
      <c r="T15" s="33">
        <f>R15+S15</f>
        <v>4027359</v>
      </c>
      <c r="U15" s="34">
        <f>+BKK!U15+DMK!U15+CNX!U15+HDY!U15+HKT!U15+CEI!U15</f>
        <v>120844</v>
      </c>
      <c r="V15" s="31">
        <f>T15+U15</f>
        <v>4148203</v>
      </c>
      <c r="W15" s="256">
        <f t="shared" si="1"/>
        <v>7.955358427822179</v>
      </c>
    </row>
    <row r="16" spans="2:23" ht="14.25" thickBot="1" thickTop="1">
      <c r="B16" s="44" t="s">
        <v>21</v>
      </c>
      <c r="C16" s="45">
        <f aca="true" t="shared" si="3" ref="C16:H16">C14+C13+C15</f>
        <v>31859</v>
      </c>
      <c r="D16" s="46">
        <f t="shared" si="3"/>
        <v>31966</v>
      </c>
      <c r="E16" s="47">
        <f t="shared" si="3"/>
        <v>63825</v>
      </c>
      <c r="F16" s="45">
        <f t="shared" si="3"/>
        <v>34988</v>
      </c>
      <c r="G16" s="46">
        <f t="shared" si="3"/>
        <v>34938</v>
      </c>
      <c r="H16" s="45">
        <f t="shared" si="3"/>
        <v>69926</v>
      </c>
      <c r="I16" s="258">
        <f t="shared" si="0"/>
        <v>9.558950254602427</v>
      </c>
      <c r="L16" s="44" t="s">
        <v>21</v>
      </c>
      <c r="M16" s="45">
        <f aca="true" t="shared" si="4" ref="M16:V16">M14+M13+M15</f>
        <v>5448970</v>
      </c>
      <c r="N16" s="49">
        <f t="shared" si="4"/>
        <v>5631348</v>
      </c>
      <c r="O16" s="49">
        <f t="shared" si="4"/>
        <v>11080318</v>
      </c>
      <c r="P16" s="47">
        <f t="shared" si="4"/>
        <v>360096</v>
      </c>
      <c r="Q16" s="49">
        <f t="shared" si="4"/>
        <v>11440414</v>
      </c>
      <c r="R16" s="45">
        <f t="shared" si="4"/>
        <v>5804542</v>
      </c>
      <c r="S16" s="49">
        <f t="shared" si="4"/>
        <v>5981225</v>
      </c>
      <c r="T16" s="49">
        <f t="shared" si="4"/>
        <v>11785767</v>
      </c>
      <c r="U16" s="47">
        <f t="shared" si="4"/>
        <v>361520</v>
      </c>
      <c r="V16" s="49">
        <f t="shared" si="4"/>
        <v>12147287</v>
      </c>
      <c r="W16" s="262">
        <f t="shared" si="1"/>
        <v>6.17873618909246</v>
      </c>
    </row>
    <row r="17" spans="2:23" ht="13.5" thickTop="1">
      <c r="B17" s="4" t="s">
        <v>22</v>
      </c>
      <c r="C17" s="79">
        <f>+BKK!C17+DMK!C17+CNX!C17+HDY!C17+HKT!C17+CEI!C17</f>
        <v>10561</v>
      </c>
      <c r="D17" s="80">
        <f>+BKK!D17+DMK!D17+CNX!D17+HDY!D17+HKT!D17+CEI!D17</f>
        <v>10558</v>
      </c>
      <c r="E17" s="31">
        <f>C17+D17</f>
        <v>21119</v>
      </c>
      <c r="F17" s="79">
        <f>+BKK!F17+DMK!F17+CNX!F17+HDY!F17+HKT!F17+CEI!F17</f>
        <v>11294</v>
      </c>
      <c r="G17" s="80">
        <f>+BKK!G17+DMK!G17+CNX!G17+HDY!G17+HKT!G17+CEI!G17</f>
        <v>11253</v>
      </c>
      <c r="H17" s="31">
        <f>+BKK!H17+DMK!H17+CNX!H17+HDY!H17+HKT!H17+CEI!H17</f>
        <v>22547</v>
      </c>
      <c r="I17" s="256">
        <f t="shared" si="0"/>
        <v>6.761683791846207</v>
      </c>
      <c r="L17" s="4" t="s">
        <v>22</v>
      </c>
      <c r="M17" s="29">
        <f>+BKK!M17+DMK!M17+CNX!M17+HDY!M17+HKT!M17+CEI!M17</f>
        <v>1675899</v>
      </c>
      <c r="N17" s="36">
        <f>+BKK!N17+DMK!N17+CNX!N17+HDY!N17+HKT!N17+CEI!N17</f>
        <v>1710891</v>
      </c>
      <c r="O17" s="33">
        <f>SUM(M17:N17)</f>
        <v>3386790</v>
      </c>
      <c r="P17" s="34">
        <f>+BKK!P17+DMK!P17+CNX!P17+HDY!P17+HKT!P17+CEI!P17</f>
        <v>132992</v>
      </c>
      <c r="Q17" s="35">
        <f>+O17+P17</f>
        <v>3519782</v>
      </c>
      <c r="R17" s="29">
        <f>+BKK!R17+DMK!R17+CNX!R17+HDY!R17+HKT!R17+CEI!R17</f>
        <v>1887041</v>
      </c>
      <c r="S17" s="36">
        <f>+BKK!S17+DMK!S17+CNX!S17+HDY!S17+HKT!S17+CEI!S17</f>
        <v>1946217</v>
      </c>
      <c r="T17" s="33">
        <f>+R17+S17</f>
        <v>3833258</v>
      </c>
      <c r="U17" s="34">
        <f>+BKK!U17+DMK!U17+CNX!U17+HDY!U17+HKT!U17+CEI!U17</f>
        <v>104128</v>
      </c>
      <c r="V17" s="35">
        <f>+T17+U17</f>
        <v>3937386</v>
      </c>
      <c r="W17" s="273">
        <f t="shared" si="1"/>
        <v>11.864484789114771</v>
      </c>
    </row>
    <row r="18" spans="2:23" ht="12.75">
      <c r="B18" s="4" t="s">
        <v>23</v>
      </c>
      <c r="C18" s="79">
        <f>+BKK!C18+DMK!C18+CNX!C18+HDY!C18+HKT!C18+CEI!C18</f>
        <v>10221</v>
      </c>
      <c r="D18" s="80">
        <f>+BKK!D18+DMK!D18+CNX!D18+HDY!D18+HKT!D18+CEI!D18</f>
        <v>10210</v>
      </c>
      <c r="E18" s="31">
        <f>C18+D18</f>
        <v>20431</v>
      </c>
      <c r="F18" s="79">
        <f>+BKK!F18+DMK!F18+CNX!F18+HDY!F18+HKT!F18+CEI!F18</f>
        <v>11060</v>
      </c>
      <c r="G18" s="80">
        <f>+BKK!G18+DMK!G18+CNX!G18+HDY!G18+HKT!G18+CEI!G18</f>
        <v>11018</v>
      </c>
      <c r="H18" s="31">
        <f>+BKK!H18+DMK!H18+CNX!H18+HDY!H18+HKT!H18+CEI!H18</f>
        <v>22078</v>
      </c>
      <c r="I18" s="256">
        <f t="shared" si="0"/>
        <v>8.061279428319711</v>
      </c>
      <c r="L18" s="4" t="s">
        <v>23</v>
      </c>
      <c r="M18" s="29">
        <f>+BKK!M18+DMK!M18+CNX!M18+HDY!M18+HKT!M18+CEI!M18</f>
        <v>1495886</v>
      </c>
      <c r="N18" s="36">
        <f>+BKK!N18+DMK!N18+CNX!N18+HDY!N18+HKT!N18+CEI!N18</f>
        <v>1573558</v>
      </c>
      <c r="O18" s="33">
        <f>SUM(M18:N18)</f>
        <v>3069444</v>
      </c>
      <c r="P18" s="34">
        <f>+BKK!P18+DMK!P18+CNX!P18+HDY!P18+HKT!P18+CEI!P18</f>
        <v>135410</v>
      </c>
      <c r="Q18" s="35">
        <f>O18+P18</f>
        <v>3204854</v>
      </c>
      <c r="R18" s="29">
        <f>+BKK!R18+DMK!R18+CNX!R18+HDY!R18+HKT!R18+CEI!R18</f>
        <v>1669084</v>
      </c>
      <c r="S18" s="36">
        <f>+BKK!S18+DMK!S18+CNX!S18+HDY!S18+HKT!S18+CEI!S18</f>
        <v>1730758</v>
      </c>
      <c r="T18" s="33">
        <f>+BKK!T18+DMK!T18+CNX!T18+HDY!T18+HKT!T18+CEI!T18</f>
        <v>3399842</v>
      </c>
      <c r="U18" s="34">
        <f>+BKK!U18+DMK!U18+CNX!U18+HDY!U18+HKT!U18+CEI!U18</f>
        <v>110707</v>
      </c>
      <c r="V18" s="31">
        <f>+BKK!V18+DMK!V18+CNX!V18+HDY!V18+HKT!V18+CEI!V18</f>
        <v>3510549</v>
      </c>
      <c r="W18" s="256">
        <f t="shared" si="1"/>
        <v>9.538500037755227</v>
      </c>
    </row>
    <row r="19" spans="2:23" ht="13.5" thickBot="1">
      <c r="B19" s="4" t="s">
        <v>24</v>
      </c>
      <c r="C19" s="79">
        <f>+BKK!C19+DMK!C19+CNX!C19+HDY!C19+HKT!C19+CEI!C19</f>
        <v>9832</v>
      </c>
      <c r="D19" s="80">
        <f>+BKK!D19+DMK!D19+CNX!D19+HDY!D19+HKT!D19+CEI!D19</f>
        <v>9824</v>
      </c>
      <c r="E19" s="31">
        <f>C19+D19</f>
        <v>19656</v>
      </c>
      <c r="F19" s="79">
        <f>+BKK!F19+DMK!F19+CNX!F19+HDY!F19+HKT!F19+CEI!F19</f>
        <v>10527</v>
      </c>
      <c r="G19" s="80">
        <f>+BKK!G19+DMK!G19+CNX!G19+HDY!G19+HKT!G19+CEI!G19</f>
        <v>10505</v>
      </c>
      <c r="H19" s="31">
        <f>+BKK!H19+DMK!H19+CNX!H19+HDY!H19+HKT!H19+CEI!H19</f>
        <v>21032</v>
      </c>
      <c r="I19" s="256">
        <f t="shared" si="0"/>
        <v>7.000407000407005</v>
      </c>
      <c r="J19" s="50"/>
      <c r="L19" s="4" t="s">
        <v>24</v>
      </c>
      <c r="M19" s="29">
        <f>+BKK!M19+DMK!M19+CNX!M19+HDY!M19+HKT!M19+CEI!M19</f>
        <v>1528256</v>
      </c>
      <c r="N19" s="36">
        <f>+BKK!N19+DMK!N19+CNX!N19+HDY!N19+HKT!N19+CEI!N19</f>
        <v>1459278</v>
      </c>
      <c r="O19" s="51">
        <f>SUM(M19:N19)</f>
        <v>2987534</v>
      </c>
      <c r="P19" s="52">
        <f>+BKK!P19+DMK!P19+CNX!P19+HDY!P19+HKT!P19+CEI!P19</f>
        <v>141765</v>
      </c>
      <c r="Q19" s="35">
        <f>O19+P19</f>
        <v>3129299</v>
      </c>
      <c r="R19" s="29">
        <f>+BKK!R19+DMK!R19+CNX!R19+HDY!R19+HKT!R19+CEI!R19</f>
        <v>1723285</v>
      </c>
      <c r="S19" s="36">
        <f>+BKK!S19+DMK!S19+CNX!S19+HDY!S19+HKT!S19+CEI!S19</f>
        <v>1644026</v>
      </c>
      <c r="T19" s="51">
        <f>+BKK!T19+DMK!T19+CNX!T19+HDY!T19+HKT!T19+CEI!T19</f>
        <v>3367311</v>
      </c>
      <c r="U19" s="52">
        <f>+BKK!U19+DMK!U19+CNX!U19+HDY!U19+HKT!U19+CEI!U19</f>
        <v>114690</v>
      </c>
      <c r="V19" s="31">
        <f>+BKK!V19+DMK!V19+CNX!V19+HDY!V19+HKT!V19+CEI!V19</f>
        <v>3482001</v>
      </c>
      <c r="W19" s="256">
        <f t="shared" si="1"/>
        <v>11.270958767442796</v>
      </c>
    </row>
    <row r="20" spans="2:23" ht="15.75" customHeight="1" thickBot="1" thickTop="1">
      <c r="B20" s="44" t="s">
        <v>25</v>
      </c>
      <c r="C20" s="45">
        <f aca="true" t="shared" si="5" ref="C20:H20">+C17+C18+C19</f>
        <v>30614</v>
      </c>
      <c r="D20" s="45">
        <f t="shared" si="5"/>
        <v>30592</v>
      </c>
      <c r="E20" s="49">
        <f t="shared" si="5"/>
        <v>61206</v>
      </c>
      <c r="F20" s="40">
        <f t="shared" si="5"/>
        <v>32881</v>
      </c>
      <c r="G20" s="53">
        <f t="shared" si="5"/>
        <v>32776</v>
      </c>
      <c r="H20" s="53">
        <f t="shared" si="5"/>
        <v>65657</v>
      </c>
      <c r="I20" s="257">
        <f t="shared" si="0"/>
        <v>7.272162859850351</v>
      </c>
      <c r="J20" s="55"/>
      <c r="K20" s="56"/>
      <c r="L20" s="44" t="s">
        <v>25</v>
      </c>
      <c r="M20" s="45">
        <f aca="true" t="shared" si="6" ref="M20:V20">+M17+M18+M19</f>
        <v>4700041</v>
      </c>
      <c r="N20" s="45">
        <f t="shared" si="6"/>
        <v>4743727</v>
      </c>
      <c r="O20" s="47">
        <f t="shared" si="6"/>
        <v>9443768</v>
      </c>
      <c r="P20" s="47">
        <f t="shared" si="6"/>
        <v>410167</v>
      </c>
      <c r="Q20" s="47">
        <f t="shared" si="6"/>
        <v>9853935</v>
      </c>
      <c r="R20" s="45">
        <f t="shared" si="6"/>
        <v>5279410</v>
      </c>
      <c r="S20" s="45">
        <f t="shared" si="6"/>
        <v>5321001</v>
      </c>
      <c r="T20" s="47">
        <f t="shared" si="6"/>
        <v>10600411</v>
      </c>
      <c r="U20" s="47">
        <f t="shared" si="6"/>
        <v>329525</v>
      </c>
      <c r="V20" s="47">
        <f t="shared" si="6"/>
        <v>10929936</v>
      </c>
      <c r="W20" s="262">
        <f t="shared" si="1"/>
        <v>10.91950576089653</v>
      </c>
    </row>
    <row r="21" spans="2:23" ht="13.5" thickTop="1">
      <c r="B21" s="4" t="s">
        <v>26</v>
      </c>
      <c r="C21" s="29">
        <f>+BKK!C21+DMK!C21+CNX!C21+HDY!C21+HKT!C21+CEI!C21</f>
        <v>10688</v>
      </c>
      <c r="D21" s="30">
        <f>+BKK!D21+DMK!D21+CNX!D21+HDY!D21+HKT!D21+CEI!D21</f>
        <v>10697</v>
      </c>
      <c r="E21" s="57">
        <f>C21+D21</f>
        <v>21385</v>
      </c>
      <c r="F21" s="29">
        <f>+BKK!F21+DMK!F21+CNX!F21+HDY!F21+HKT!F21+CEI!F21</f>
        <v>11348</v>
      </c>
      <c r="G21" s="30">
        <f>+BKK!G21+DMK!G21+CNX!G21+HDY!G21+HKT!G21+CEI!G21</f>
        <v>11318</v>
      </c>
      <c r="H21" s="58">
        <f>+BKK!H21+DMK!H21+CNX!H21+HDY!H21+HKT!H21+CEI!H21</f>
        <v>22666</v>
      </c>
      <c r="I21" s="256">
        <f t="shared" si="0"/>
        <v>5.990180032733217</v>
      </c>
      <c r="L21" s="4" t="s">
        <v>27</v>
      </c>
      <c r="M21" s="29">
        <f>+BKK!M21+DMK!M21+CNX!M21+HDY!M21+HKT!M21+CEI!M21</f>
        <v>1787851</v>
      </c>
      <c r="N21" s="36">
        <f>+BKK!N21+DMK!N21+CNX!N21+HDY!N21+HKT!N21+CEI!N21</f>
        <v>1724015</v>
      </c>
      <c r="O21" s="51">
        <f>SUM(M21:N21)</f>
        <v>3511866</v>
      </c>
      <c r="P21" s="59">
        <f>+BKK!P21+DMK!P21+CNX!P21+HDY!P21+HKT!P21+CEI!P21</f>
        <v>157776</v>
      </c>
      <c r="Q21" s="35">
        <f>O21+P21</f>
        <v>3669642</v>
      </c>
      <c r="R21" s="29">
        <f>+BKK!R21+DMK!R21+CNX!R21+HDY!R21+HKT!R21+CEI!R21</f>
        <v>1914719</v>
      </c>
      <c r="S21" s="36">
        <f>+BKK!S21+DMK!S21+CNX!S21+HDY!S21+HKT!S21+CEI!S21</f>
        <v>1870626</v>
      </c>
      <c r="T21" s="51">
        <f>+BKK!T21+DMK!T21+CNX!T21+HDY!T21+HKT!T21+CEI!T21</f>
        <v>3785345</v>
      </c>
      <c r="U21" s="59">
        <f>+BKK!U21+DMK!U21+CNX!U21+HDY!U21+HKT!U21+CEI!U21</f>
        <v>127200</v>
      </c>
      <c r="V21" s="31">
        <f>+BKK!V21+DMK!V21+CNX!V21+HDY!V21+HKT!V21+CEI!V21</f>
        <v>3912545</v>
      </c>
      <c r="W21" s="256">
        <f t="shared" si="1"/>
        <v>6.619256047320143</v>
      </c>
    </row>
    <row r="22" spans="2:23" ht="12.75">
      <c r="B22" s="4" t="s">
        <v>28</v>
      </c>
      <c r="C22" s="29">
        <f>+BKK!C22+DMK!C22+CNX!C22+HDY!C22+HKT!C22+CEI!C22</f>
        <v>10772</v>
      </c>
      <c r="D22" s="30">
        <f>+BKK!D22+DMK!D22+CNX!D22+HDY!D22+HKT!D22+CEI!D22</f>
        <v>10770</v>
      </c>
      <c r="E22" s="33">
        <f>C22+D22</f>
        <v>21542</v>
      </c>
      <c r="F22" s="29">
        <f>+BKK!F22+DMK!F22+CNX!F22+HDY!F22+HKT!F22+CEI!F22</f>
        <v>11620</v>
      </c>
      <c r="G22" s="30">
        <f>+BKK!G22+DMK!G22+CNX!G22+HDY!G22+HKT!G22+CEI!G22</f>
        <v>11578</v>
      </c>
      <c r="H22" s="33">
        <f>+BKK!H22+DMK!H22+CNX!H22+HDY!H22+HKT!H22+CEI!H22</f>
        <v>23198</v>
      </c>
      <c r="I22" s="256">
        <f>IF(E22=0,0,((H22/E22)-1)*100)</f>
        <v>7.687308513601332</v>
      </c>
      <c r="L22" s="4" t="s">
        <v>28</v>
      </c>
      <c r="M22" s="29">
        <f>+BKK!M22+DMK!M22+CNX!M22+HDY!M22+HKT!M22+CEI!M22</f>
        <v>1709261</v>
      </c>
      <c r="N22" s="36">
        <f>+BKK!N22+DMK!N22+CNX!N22+HDY!N22+HKT!N22+CEI!N22</f>
        <v>1775562</v>
      </c>
      <c r="O22" s="51">
        <f>SUM(M22:N22)</f>
        <v>3484823</v>
      </c>
      <c r="P22" s="34">
        <f>+BKK!P22+DMK!P22+CNX!P22+HDY!P22+HKT!P22+CEI!P22</f>
        <v>148117</v>
      </c>
      <c r="Q22" s="35">
        <f>O22+P22</f>
        <v>3632940</v>
      </c>
      <c r="R22" s="29">
        <f>+BKK!R22+DMK!R22+CNX!R22+HDY!R22+HKT!R22+CEI!R22</f>
        <v>1932321</v>
      </c>
      <c r="S22" s="36">
        <f>+BKK!S22+DMK!S22+CNX!S22+HDY!S22+HKT!S22+CEI!S22</f>
        <v>1989071</v>
      </c>
      <c r="T22" s="51">
        <f>+BKK!T22+DMK!T22+CNX!T22+HDY!T22+HKT!T22+CEI!T22</f>
        <v>3921392</v>
      </c>
      <c r="U22" s="34">
        <f>+BKK!U22+DMK!U22+CNX!U22+HDY!U22+HKT!U22+CEI!U22</f>
        <v>112946</v>
      </c>
      <c r="V22" s="31">
        <f>+BKK!V22+DMK!V22+CNX!V22+HDY!V22+HKT!V22+CEI!V22</f>
        <v>4034338</v>
      </c>
      <c r="W22" s="256">
        <f>IF(Q22=0,0,((V22/Q22)-1)*100)</f>
        <v>11.04884748991175</v>
      </c>
    </row>
    <row r="23" spans="2:23" ht="13.5" thickBot="1">
      <c r="B23" s="4" t="s">
        <v>29</v>
      </c>
      <c r="C23" s="29">
        <f>+BKK!C23+DMK!C23+CNX!C23+HDY!C23+HKT!C23+CEI!C23</f>
        <v>10284</v>
      </c>
      <c r="D23" s="60">
        <f>+BKK!D23+DMK!D23+CNX!D23+HDY!D23+HKT!D23+CEI!D23</f>
        <v>10289</v>
      </c>
      <c r="E23" s="61">
        <f>C23+D23</f>
        <v>20573</v>
      </c>
      <c r="F23" s="29">
        <f>+BKK!F23+DMK!F23+CNX!F23+HDY!F23+HKT!F23+CEI!F23</f>
        <v>11178</v>
      </c>
      <c r="G23" s="60">
        <f>+BKK!G23+DMK!G23+CNX!G23+HDY!G23+HKT!G23+CEI!G23</f>
        <v>11120</v>
      </c>
      <c r="H23" s="61">
        <f>+BKK!H23+DMK!H23+CNX!H23+HDY!H23+HKT!H23+CEI!H23</f>
        <v>22298</v>
      </c>
      <c r="I23" s="263">
        <f t="shared" si="0"/>
        <v>8.384776162932006</v>
      </c>
      <c r="L23" s="4" t="s">
        <v>29</v>
      </c>
      <c r="M23" s="29">
        <f>+BKK!M23+DMK!M23+CNX!M23+HDY!M23+HKT!M23+CEI!M23</f>
        <v>1556660</v>
      </c>
      <c r="N23" s="36">
        <f>+BKK!N23+DMK!N23+CNX!N23+HDY!N23+HKT!N23+CEI!N23</f>
        <v>1574733</v>
      </c>
      <c r="O23" s="51">
        <f>SUM(M23:N23)</f>
        <v>3131393</v>
      </c>
      <c r="P23" s="52">
        <f>+BKK!P23+DMK!P23+CNX!P23+HDY!P23+HKT!P23+CEI!P23</f>
        <v>155443</v>
      </c>
      <c r="Q23" s="35">
        <f>O23+P23</f>
        <v>3286836</v>
      </c>
      <c r="R23" s="29">
        <f>+BKK!R23+DMK!R23+CNX!R23+HDY!R23+HKT!R23+CEI!R23</f>
        <v>1719913</v>
      </c>
      <c r="S23" s="36">
        <f>+BKK!S23+DMK!S23+CNX!S23+HDY!S23+HKT!S23+CEI!S23</f>
        <v>1731155</v>
      </c>
      <c r="T23" s="51">
        <f>+BKK!T23+DMK!T23+CNX!T23+HDY!T23+HKT!T23+CEI!T23</f>
        <v>3451068</v>
      </c>
      <c r="U23" s="52">
        <f>+BKK!U23+DMK!U23+CNX!U23+HDY!U23+HKT!U23+CEI!U23</f>
        <v>121070</v>
      </c>
      <c r="V23" s="31">
        <f>+BKK!V23+DMK!V23+CNX!V23+HDY!V23+HKT!V23+CEI!V23</f>
        <v>3572138</v>
      </c>
      <c r="W23" s="256">
        <f t="shared" si="1"/>
        <v>8.68014102316026</v>
      </c>
    </row>
    <row r="24" spans="2:23" ht="14.25" thickBot="1" thickTop="1">
      <c r="B24" s="39" t="s">
        <v>30</v>
      </c>
      <c r="C24" s="40">
        <f aca="true" t="shared" si="7" ref="C24:H24">+C21+C22+C23</f>
        <v>31744</v>
      </c>
      <c r="D24" s="41">
        <f t="shared" si="7"/>
        <v>31756</v>
      </c>
      <c r="E24" s="40">
        <f t="shared" si="7"/>
        <v>63500</v>
      </c>
      <c r="F24" s="40">
        <f t="shared" si="7"/>
        <v>34146</v>
      </c>
      <c r="G24" s="41">
        <f t="shared" si="7"/>
        <v>34016</v>
      </c>
      <c r="H24" s="40">
        <f t="shared" si="7"/>
        <v>68162</v>
      </c>
      <c r="I24" s="257">
        <f t="shared" si="0"/>
        <v>7.341732283464575</v>
      </c>
      <c r="L24" s="39" t="s">
        <v>30</v>
      </c>
      <c r="M24" s="40">
        <f aca="true" t="shared" si="8" ref="M24:V24">+M21+M22+M23</f>
        <v>5053772</v>
      </c>
      <c r="N24" s="41">
        <f t="shared" si="8"/>
        <v>5074310</v>
      </c>
      <c r="O24" s="40">
        <f t="shared" si="8"/>
        <v>10128082</v>
      </c>
      <c r="P24" s="40">
        <f t="shared" si="8"/>
        <v>461336</v>
      </c>
      <c r="Q24" s="40">
        <f t="shared" si="8"/>
        <v>10589418</v>
      </c>
      <c r="R24" s="40">
        <f t="shared" si="8"/>
        <v>5566953</v>
      </c>
      <c r="S24" s="41">
        <f t="shared" si="8"/>
        <v>5590852</v>
      </c>
      <c r="T24" s="40">
        <f t="shared" si="8"/>
        <v>11157805</v>
      </c>
      <c r="U24" s="40">
        <f t="shared" si="8"/>
        <v>361216</v>
      </c>
      <c r="V24" s="40">
        <f t="shared" si="8"/>
        <v>11519021</v>
      </c>
      <c r="W24" s="257">
        <f t="shared" si="1"/>
        <v>8.77860331889817</v>
      </c>
    </row>
    <row r="25" spans="2:23" ht="14.25" thickBot="1" thickTop="1">
      <c r="B25" s="39" t="s">
        <v>66</v>
      </c>
      <c r="C25" s="76">
        <f aca="true" t="shared" si="9" ref="C25:H25">+C16+C20+C24</f>
        <v>94217</v>
      </c>
      <c r="D25" s="77">
        <f t="shared" si="9"/>
        <v>94314</v>
      </c>
      <c r="E25" s="78">
        <f t="shared" si="9"/>
        <v>188531</v>
      </c>
      <c r="F25" s="76">
        <f t="shared" si="9"/>
        <v>102015</v>
      </c>
      <c r="G25" s="77">
        <f t="shared" si="9"/>
        <v>101730</v>
      </c>
      <c r="H25" s="78">
        <f t="shared" si="9"/>
        <v>203745</v>
      </c>
      <c r="I25" s="257">
        <f t="shared" si="0"/>
        <v>8.069760410754734</v>
      </c>
      <c r="L25" s="39" t="s">
        <v>66</v>
      </c>
      <c r="M25" s="40">
        <f aca="true" t="shared" si="10" ref="M25:V25">+M16+M20+M24</f>
        <v>15202783</v>
      </c>
      <c r="N25" s="41">
        <f t="shared" si="10"/>
        <v>15449385</v>
      </c>
      <c r="O25" s="40">
        <f t="shared" si="10"/>
        <v>30652168</v>
      </c>
      <c r="P25" s="40">
        <f t="shared" si="10"/>
        <v>1231599</v>
      </c>
      <c r="Q25" s="40">
        <f t="shared" si="10"/>
        <v>31883767</v>
      </c>
      <c r="R25" s="40">
        <f t="shared" si="10"/>
        <v>16650905</v>
      </c>
      <c r="S25" s="41">
        <f t="shared" si="10"/>
        <v>16893078</v>
      </c>
      <c r="T25" s="40">
        <f t="shared" si="10"/>
        <v>33543983</v>
      </c>
      <c r="U25" s="40">
        <f t="shared" si="10"/>
        <v>1052261</v>
      </c>
      <c r="V25" s="42">
        <f t="shared" si="10"/>
        <v>34596244</v>
      </c>
      <c r="W25" s="257">
        <f t="shared" si="1"/>
        <v>8.50739186495748</v>
      </c>
    </row>
    <row r="26" spans="2:23" ht="14.25" thickBot="1" thickTop="1">
      <c r="B26" s="39" t="s">
        <v>9</v>
      </c>
      <c r="C26" s="40">
        <f aca="true" t="shared" si="11" ref="C26:H26">+C16+C20+C24+C12</f>
        <v>124106</v>
      </c>
      <c r="D26" s="41">
        <f t="shared" si="11"/>
        <v>124282</v>
      </c>
      <c r="E26" s="40">
        <f t="shared" si="11"/>
        <v>248388</v>
      </c>
      <c r="F26" s="40">
        <f t="shared" si="11"/>
        <v>134449</v>
      </c>
      <c r="G26" s="41">
        <f t="shared" si="11"/>
        <v>134138</v>
      </c>
      <c r="H26" s="40">
        <f t="shared" si="11"/>
        <v>268587</v>
      </c>
      <c r="I26" s="257">
        <f t="shared" si="0"/>
        <v>8.132035364027246</v>
      </c>
      <c r="L26" s="39" t="s">
        <v>9</v>
      </c>
      <c r="M26" s="40">
        <f aca="true" t="shared" si="12" ref="M26:V26">+M16+M20+M24+M12</f>
        <v>20284869</v>
      </c>
      <c r="N26" s="41">
        <f t="shared" si="12"/>
        <v>20180207</v>
      </c>
      <c r="O26" s="40">
        <f t="shared" si="12"/>
        <v>40465076</v>
      </c>
      <c r="P26" s="40">
        <f t="shared" si="12"/>
        <v>1645730</v>
      </c>
      <c r="Q26" s="40">
        <f t="shared" si="12"/>
        <v>42110806</v>
      </c>
      <c r="R26" s="40">
        <f t="shared" si="12"/>
        <v>21478767</v>
      </c>
      <c r="S26" s="41">
        <f t="shared" si="12"/>
        <v>21392161</v>
      </c>
      <c r="T26" s="40">
        <f t="shared" si="12"/>
        <v>42870928</v>
      </c>
      <c r="U26" s="40">
        <f t="shared" si="12"/>
        <v>1446981</v>
      </c>
      <c r="V26" s="40">
        <f t="shared" si="12"/>
        <v>44317909</v>
      </c>
      <c r="W26" s="257">
        <f t="shared" si="1"/>
        <v>5.241179663006212</v>
      </c>
    </row>
    <row r="27" spans="2:12" ht="13.5" thickTop="1">
      <c r="B27" s="63" t="s">
        <v>64</v>
      </c>
      <c r="L27" s="63" t="s">
        <v>64</v>
      </c>
    </row>
    <row r="28" spans="2:23" ht="12.75">
      <c r="B28" s="336" t="s">
        <v>31</v>
      </c>
      <c r="C28" s="336"/>
      <c r="D28" s="336"/>
      <c r="E28" s="336"/>
      <c r="F28" s="336"/>
      <c r="G28" s="336"/>
      <c r="H28" s="336"/>
      <c r="I28" s="336"/>
      <c r="L28" s="336" t="s">
        <v>32</v>
      </c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</row>
    <row r="29" spans="2:23" ht="15.75">
      <c r="B29" s="337" t="s">
        <v>33</v>
      </c>
      <c r="C29" s="337"/>
      <c r="D29" s="337"/>
      <c r="E29" s="337"/>
      <c r="F29" s="337"/>
      <c r="G29" s="337"/>
      <c r="H29" s="337"/>
      <c r="I29" s="337"/>
      <c r="L29" s="337" t="s">
        <v>34</v>
      </c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</row>
    <row r="30" ht="13.5" thickBot="1"/>
    <row r="31" spans="2:23" ht="17.25" thickBot="1" thickTop="1">
      <c r="B31" s="3"/>
      <c r="C31" s="341" t="s">
        <v>67</v>
      </c>
      <c r="D31" s="342"/>
      <c r="E31" s="343"/>
      <c r="F31" s="344" t="s">
        <v>68</v>
      </c>
      <c r="G31" s="345"/>
      <c r="H31" s="346"/>
      <c r="I31" s="239" t="s">
        <v>4</v>
      </c>
      <c r="L31" s="3"/>
      <c r="M31" s="347" t="s">
        <v>67</v>
      </c>
      <c r="N31" s="348"/>
      <c r="O31" s="348"/>
      <c r="P31" s="348"/>
      <c r="Q31" s="349"/>
      <c r="R31" s="338" t="s">
        <v>68</v>
      </c>
      <c r="S31" s="339"/>
      <c r="T31" s="339"/>
      <c r="U31" s="339"/>
      <c r="V31" s="340"/>
      <c r="W31" s="239" t="s">
        <v>4</v>
      </c>
    </row>
    <row r="32" spans="2:23" ht="13.5" thickTop="1">
      <c r="B32" s="4" t="s">
        <v>5</v>
      </c>
      <c r="C32" s="5"/>
      <c r="D32" s="6"/>
      <c r="E32" s="7"/>
      <c r="F32" s="5"/>
      <c r="G32" s="6"/>
      <c r="H32" s="7"/>
      <c r="I32" s="240" t="s">
        <v>6</v>
      </c>
      <c r="L32" s="4" t="s">
        <v>5</v>
      </c>
      <c r="M32" s="5"/>
      <c r="N32" s="8"/>
      <c r="O32" s="9"/>
      <c r="P32" s="10"/>
      <c r="Q32" s="11"/>
      <c r="R32" s="5"/>
      <c r="S32" s="8"/>
      <c r="T32" s="9"/>
      <c r="U32" s="10"/>
      <c r="V32" s="11"/>
      <c r="W32" s="240" t="s">
        <v>6</v>
      </c>
    </row>
    <row r="33" spans="2:23" ht="13.5" thickBot="1">
      <c r="B33" s="12"/>
      <c r="C33" s="13" t="s">
        <v>7</v>
      </c>
      <c r="D33" s="230" t="s">
        <v>8</v>
      </c>
      <c r="E33" s="14" t="s">
        <v>9</v>
      </c>
      <c r="F33" s="13" t="s">
        <v>7</v>
      </c>
      <c r="G33" s="230" t="s">
        <v>8</v>
      </c>
      <c r="H33" s="14" t="s">
        <v>9</v>
      </c>
      <c r="I33" s="241"/>
      <c r="L33" s="12"/>
      <c r="M33" s="15" t="s">
        <v>10</v>
      </c>
      <c r="N33" s="16" t="s">
        <v>11</v>
      </c>
      <c r="O33" s="17" t="s">
        <v>12</v>
      </c>
      <c r="P33" s="18" t="s">
        <v>13</v>
      </c>
      <c r="Q33" s="19" t="s">
        <v>9</v>
      </c>
      <c r="R33" s="15" t="s">
        <v>10</v>
      </c>
      <c r="S33" s="16" t="s">
        <v>11</v>
      </c>
      <c r="T33" s="17" t="s">
        <v>12</v>
      </c>
      <c r="U33" s="18" t="s">
        <v>13</v>
      </c>
      <c r="V33" s="19" t="s">
        <v>9</v>
      </c>
      <c r="W33" s="241"/>
    </row>
    <row r="34" spans="2:23" ht="5.25" customHeight="1" thickTop="1">
      <c r="B34" s="4"/>
      <c r="C34" s="20"/>
      <c r="D34" s="21"/>
      <c r="E34" s="22"/>
      <c r="F34" s="20"/>
      <c r="G34" s="21"/>
      <c r="H34" s="22"/>
      <c r="I34" s="244"/>
      <c r="L34" s="4"/>
      <c r="M34" s="23"/>
      <c r="N34" s="24"/>
      <c r="O34" s="25"/>
      <c r="P34" s="26"/>
      <c r="Q34" s="27"/>
      <c r="R34" s="23"/>
      <c r="S34" s="24"/>
      <c r="T34" s="25"/>
      <c r="U34" s="26"/>
      <c r="V34" s="28"/>
      <c r="W34" s="207"/>
    </row>
    <row r="35" spans="2:23" ht="12.75">
      <c r="B35" s="4" t="s">
        <v>14</v>
      </c>
      <c r="C35" s="29">
        <f>+BKK!C35+DMK!C35+CNX!C35+HDY!C35+HKT!C35+CEI!C35</f>
        <v>7442</v>
      </c>
      <c r="D35" s="30">
        <f>+BKK!D35+DMK!D35+CNX!D35+HDY!D35+HKT!D35+CEI!D35</f>
        <v>7414</v>
      </c>
      <c r="E35" s="81">
        <f>C35+D35</f>
        <v>14856</v>
      </c>
      <c r="F35" s="29">
        <f>+BKK!F35+DMK!F35+CNX!F35+HDY!F35+HKT!F35+CEI!F35</f>
        <v>8495</v>
      </c>
      <c r="G35" s="30">
        <f>+BKK!G35+DMK!G35+CNX!G35+HDY!G35+HKT!G35+CEI!G35</f>
        <v>8549</v>
      </c>
      <c r="H35" s="73">
        <f>F35+G35</f>
        <v>17044</v>
      </c>
      <c r="I35" s="256">
        <f aca="true" t="shared" si="13" ref="I35:I52">IF(E35=0,0,((H35/E35)-1)*100)</f>
        <v>14.728056004308021</v>
      </c>
      <c r="L35" s="4" t="s">
        <v>14</v>
      </c>
      <c r="M35" s="29">
        <f>+BKK!M35+DMK!M35+CNX!M35+HDY!M35+HKT!M35+CEI!M35</f>
        <v>940378</v>
      </c>
      <c r="N35" s="36">
        <f>+BKK!N35+DMK!N35+CNX!N35+HDY!N35+HKT!N35+CEI!N35</f>
        <v>937357</v>
      </c>
      <c r="O35" s="33">
        <f>M35+N35</f>
        <v>1877735</v>
      </c>
      <c r="P35" s="34">
        <f>+BKK!P35+DMK!P35+CNX!P35+HDY!P35+HKT!P35+CEI!P35</f>
        <v>615</v>
      </c>
      <c r="Q35" s="35">
        <f>O35+P35</f>
        <v>1878350</v>
      </c>
      <c r="R35" s="29">
        <f>+BKK!R35+DMK!R35+CNX!R35+HDY!R35+HKT!R35+CEI!R35</f>
        <v>1049450</v>
      </c>
      <c r="S35" s="36">
        <f>+BKK!S35+DMK!S35+CNX!S35+HDY!S35+HKT!S35+CEI!S35</f>
        <v>1068959</v>
      </c>
      <c r="T35" s="33">
        <f>SUM(R35:S35)</f>
        <v>2118409</v>
      </c>
      <c r="U35" s="34">
        <f>+BKK!U35+DMK!U35+CNX!U35+HDY!U35+HKT!U35+CEI!U35</f>
        <v>1078</v>
      </c>
      <c r="V35" s="31">
        <f>T35+U35</f>
        <v>2119487</v>
      </c>
      <c r="W35" s="256">
        <f aca="true" t="shared" si="14" ref="W35:W52">IF(Q35=0,0,((V35/Q35)-1)*100)</f>
        <v>12.837703303431214</v>
      </c>
    </row>
    <row r="36" spans="2:23" ht="12.75">
      <c r="B36" s="4" t="s">
        <v>15</v>
      </c>
      <c r="C36" s="29">
        <f>+BKK!C36+DMK!C36+CNX!C36+HDY!C36+HKT!C36+CEI!C36</f>
        <v>7672</v>
      </c>
      <c r="D36" s="30">
        <f>+BKK!D36+DMK!D36+CNX!D36+HDY!D36+HKT!D36+CEI!D36</f>
        <v>7644</v>
      </c>
      <c r="E36" s="81">
        <f>C36+D36</f>
        <v>15316</v>
      </c>
      <c r="F36" s="29">
        <f>+BKK!F36+DMK!F36+CNX!F36+HDY!F36+HKT!F36+CEI!F36</f>
        <v>7607</v>
      </c>
      <c r="G36" s="30">
        <f>+BKK!G36+DMK!G36+CNX!G36+HDY!G36+HKT!G36+CEI!G36</f>
        <v>7598</v>
      </c>
      <c r="H36" s="73">
        <f>F36+G36</f>
        <v>15205</v>
      </c>
      <c r="I36" s="256">
        <f t="shared" si="13"/>
        <v>-0.7247323060851407</v>
      </c>
      <c r="L36" s="4" t="s">
        <v>15</v>
      </c>
      <c r="M36" s="29">
        <f>+BKK!M36+DMK!M36+CNX!M36+HDY!M36+HKT!M36+CEI!M36</f>
        <v>938348</v>
      </c>
      <c r="N36" s="36">
        <f>+BKK!N36+DMK!N36+CNX!N36+HDY!N36+HKT!N36+CEI!N36</f>
        <v>940289</v>
      </c>
      <c r="O36" s="33">
        <f>M36+N36</f>
        <v>1878637</v>
      </c>
      <c r="P36" s="34">
        <f>+BKK!P36+DMK!P36+CNX!P36+HDY!P36+HKT!P36+CEI!P36</f>
        <v>1139</v>
      </c>
      <c r="Q36" s="35">
        <f>O36+P36</f>
        <v>1879776</v>
      </c>
      <c r="R36" s="29">
        <f>+BKK!R36+DMK!R36+CNX!R36+HDY!R36+HKT!R36+CEI!R36</f>
        <v>992424</v>
      </c>
      <c r="S36" s="36">
        <f>+BKK!S36+DMK!S36+CNX!S36+HDY!S36+HKT!S36+CEI!S36</f>
        <v>980237</v>
      </c>
      <c r="T36" s="33">
        <f>SUM(R36:S36)</f>
        <v>1972661</v>
      </c>
      <c r="U36" s="34">
        <f>+BKK!U36+DMK!U36+CNX!U36+HDY!U36+HKT!U36+CEI!U36</f>
        <v>837</v>
      </c>
      <c r="V36" s="31">
        <f>T36+U36</f>
        <v>1973498</v>
      </c>
      <c r="W36" s="256">
        <f t="shared" si="14"/>
        <v>4.985806819535954</v>
      </c>
    </row>
    <row r="37" spans="2:23" ht="13.5" thickBot="1">
      <c r="B37" s="12" t="s">
        <v>16</v>
      </c>
      <c r="C37" s="37">
        <f>+BKK!C37+DMK!C37+CNX!C37+HDY!C37+HKT!C37+CEI!C37</f>
        <v>8279</v>
      </c>
      <c r="D37" s="38">
        <f>+BKK!D37+DMK!D37+CNX!D37+HDY!D37+HKT!D37+CEI!D37</f>
        <v>8249</v>
      </c>
      <c r="E37" s="82">
        <f>C37+D37</f>
        <v>16528</v>
      </c>
      <c r="F37" s="37">
        <f>+BKK!F37+DMK!F37+CNX!F37+HDY!F37+HKT!F37+CEI!F37</f>
        <v>8747</v>
      </c>
      <c r="G37" s="38">
        <f>+BKK!G37+DMK!G37+CNX!G37+HDY!G37+HKT!G37+CEI!G37</f>
        <v>8754</v>
      </c>
      <c r="H37" s="73">
        <f>F37+G37</f>
        <v>17501</v>
      </c>
      <c r="I37" s="256">
        <f t="shared" si="13"/>
        <v>5.8869796708615585</v>
      </c>
      <c r="L37" s="12" t="s">
        <v>16</v>
      </c>
      <c r="M37" s="29">
        <f>+BKK!M37+DMK!M37+CNX!M37+HDY!M37+HKT!M37+CEI!M37</f>
        <v>1037149</v>
      </c>
      <c r="N37" s="36">
        <f>+BKK!N37+DMK!N37+CNX!N37+HDY!N37+HKT!N37+CEI!N37</f>
        <v>1084023</v>
      </c>
      <c r="O37" s="33">
        <f>M37+N37</f>
        <v>2121172</v>
      </c>
      <c r="P37" s="34">
        <f>+BKK!P37+DMK!P37+CNX!P37+HDY!P37+HKT!P37+CEI!P37</f>
        <v>815</v>
      </c>
      <c r="Q37" s="35">
        <f>O37+P37</f>
        <v>2121987</v>
      </c>
      <c r="R37" s="29">
        <f>+BKK!R37+DMK!R37+CNX!R37+HDY!R37+HKT!R37+CEI!R37</f>
        <v>1160025</v>
      </c>
      <c r="S37" s="36">
        <f>+BKK!S37+DMK!S37+CNX!S37+HDY!S37+HKT!S37+CEI!S37</f>
        <v>1201319</v>
      </c>
      <c r="T37" s="33">
        <f>SUM(R37:S37)</f>
        <v>2361344</v>
      </c>
      <c r="U37" s="34">
        <f>+BKK!U37+DMK!U37+CNX!U37+HDY!U37+HKT!U37+CEI!U37</f>
        <v>1619</v>
      </c>
      <c r="V37" s="31">
        <f>T37+U37</f>
        <v>2362963</v>
      </c>
      <c r="W37" s="256">
        <f t="shared" si="14"/>
        <v>11.356148741721794</v>
      </c>
    </row>
    <row r="38" spans="2:23" ht="14.25" thickBot="1" thickTop="1">
      <c r="B38" s="39" t="s">
        <v>17</v>
      </c>
      <c r="C38" s="76">
        <f aca="true" t="shared" si="15" ref="C38:H38">C37+C36+C35</f>
        <v>23393</v>
      </c>
      <c r="D38" s="77">
        <f t="shared" si="15"/>
        <v>23307</v>
      </c>
      <c r="E38" s="83">
        <f t="shared" si="15"/>
        <v>46700</v>
      </c>
      <c r="F38" s="76">
        <f t="shared" si="15"/>
        <v>24849</v>
      </c>
      <c r="G38" s="77">
        <f t="shared" si="15"/>
        <v>24901</v>
      </c>
      <c r="H38" s="78">
        <f t="shared" si="15"/>
        <v>49750</v>
      </c>
      <c r="I38" s="257">
        <f t="shared" si="13"/>
        <v>6.531049250535337</v>
      </c>
      <c r="L38" s="39" t="s">
        <v>17</v>
      </c>
      <c r="M38" s="40">
        <f>+M35+M36+M37</f>
        <v>2915875</v>
      </c>
      <c r="N38" s="41">
        <f>+N35+N36+N37</f>
        <v>2961669</v>
      </c>
      <c r="O38" s="40">
        <f>+O35+O36+O37</f>
        <v>5877544</v>
      </c>
      <c r="P38" s="40">
        <f>+P35+P36+P37</f>
        <v>2569</v>
      </c>
      <c r="Q38" s="40">
        <f>Q37+Q35+Q36</f>
        <v>5880113</v>
      </c>
      <c r="R38" s="40">
        <f>+R35+R36+R37</f>
        <v>3201899</v>
      </c>
      <c r="S38" s="41">
        <f>+S35+S36+S37</f>
        <v>3250515</v>
      </c>
      <c r="T38" s="40">
        <f>+T35+T36+T37</f>
        <v>6452414</v>
      </c>
      <c r="U38" s="40">
        <f>+U35+U36+U37</f>
        <v>3534</v>
      </c>
      <c r="V38" s="42">
        <f>+V35+V36+V37</f>
        <v>6455948</v>
      </c>
      <c r="W38" s="257">
        <f t="shared" si="14"/>
        <v>9.792924047548057</v>
      </c>
    </row>
    <row r="39" spans="2:23" ht="13.5" thickTop="1">
      <c r="B39" s="4" t="s">
        <v>18</v>
      </c>
      <c r="C39" s="29">
        <f>+BKK!C39+DMK!C39+CNX!C39+HDY!C39+HKT!C39+CEI!C39</f>
        <v>8247</v>
      </c>
      <c r="D39" s="30">
        <f>+BKK!D39+DMK!D39+CNX!D39+HDY!D39+HKT!D39+CEI!D39</f>
        <v>8207</v>
      </c>
      <c r="E39" s="81">
        <f>C39+D39</f>
        <v>16454</v>
      </c>
      <c r="F39" s="29">
        <f>+BKK!F39+DMK!F39+CNX!F39+HDY!F39+HKT!F39+CEI!F39</f>
        <v>9133</v>
      </c>
      <c r="G39" s="30">
        <f>+BKK!G39+DMK!G39+CNX!G39+HDY!G39+HKT!G39+CEI!G39</f>
        <v>9139</v>
      </c>
      <c r="H39" s="73">
        <f>F39+G39</f>
        <v>18272</v>
      </c>
      <c r="I39" s="256">
        <f t="shared" si="13"/>
        <v>11.048985049228154</v>
      </c>
      <c r="L39" s="4" t="s">
        <v>18</v>
      </c>
      <c r="M39" s="29">
        <f>+BKK!M39+DMK!M39+CNX!M39+HDY!M39+HKT!M39+CEI!M39</f>
        <v>1149948</v>
      </c>
      <c r="N39" s="36">
        <f>+BKK!N39+DMK!N39+CNX!N39+HDY!N39+HKT!N39+CEI!N39</f>
        <v>1123164</v>
      </c>
      <c r="O39" s="33">
        <f>M39+N39</f>
        <v>2273112</v>
      </c>
      <c r="P39" s="34">
        <f>+BKK!P39+DMK!P39+CNX!P39+HDY!P39+HKT!P39+CEI!P39</f>
        <v>1120</v>
      </c>
      <c r="Q39" s="35">
        <f>O39+P39</f>
        <v>2274232</v>
      </c>
      <c r="R39" s="29">
        <f>+BKK!R39+DMK!R39+CNX!R39+HDY!R39+HKT!R39+CEI!R39</f>
        <v>1319662</v>
      </c>
      <c r="S39" s="36">
        <f>+BKK!S39+DMK!S39+CNX!S39+HDY!S39+HKT!S39+CEI!S39</f>
        <v>1290107</v>
      </c>
      <c r="T39" s="33">
        <f>R39+S39</f>
        <v>2609769</v>
      </c>
      <c r="U39" s="34">
        <f>+BKK!U39+DMK!U39+CNX!U39+HDY!U39+HKT!U39+CEI!U39</f>
        <v>951</v>
      </c>
      <c r="V39" s="31">
        <f>T39+U39</f>
        <v>2610720</v>
      </c>
      <c r="W39" s="256">
        <f t="shared" si="14"/>
        <v>14.79567607878176</v>
      </c>
    </row>
    <row r="40" spans="2:23" ht="12.75">
      <c r="B40" s="4" t="s">
        <v>19</v>
      </c>
      <c r="C40" s="29">
        <f>+BKK!C40+DMK!C40+CNX!C40+HDY!C40+HKT!C40+CEI!C40</f>
        <v>7864</v>
      </c>
      <c r="D40" s="30">
        <f>+BKK!D40+DMK!D40+CNX!D40+HDY!D40+HKT!D40+CEI!D40</f>
        <v>7839</v>
      </c>
      <c r="E40" s="81">
        <f>C40+D40</f>
        <v>15703</v>
      </c>
      <c r="F40" s="29">
        <f>+BKK!F40+DMK!F40+CNX!F40+HDY!F40+HKT!F40+CEI!F40</f>
        <v>8457</v>
      </c>
      <c r="G40" s="30">
        <f>+BKK!G40+DMK!G40+CNX!G40+HDY!G40+HKT!G40+CEI!G40</f>
        <v>8474</v>
      </c>
      <c r="H40" s="31">
        <f>F40+G40</f>
        <v>16931</v>
      </c>
      <c r="I40" s="256">
        <f>IF(E40=0,0,((H40/E40)-1)*100)</f>
        <v>7.820161752531374</v>
      </c>
      <c r="L40" s="4" t="s">
        <v>19</v>
      </c>
      <c r="M40" s="29">
        <f>+BKK!M40+DMK!M40+CNX!M40+HDY!M40+HKT!M40+CEI!M40</f>
        <v>1073429</v>
      </c>
      <c r="N40" s="36">
        <f>+BKK!N40+DMK!N40+CNX!N40+HDY!N40+HKT!N40+CEI!N40</f>
        <v>1065012</v>
      </c>
      <c r="O40" s="33">
        <f>M40+N40</f>
        <v>2138441</v>
      </c>
      <c r="P40" s="34">
        <f>+BKK!P40+DMK!P40+CNX!P40+HDY!P40+HKT!P40+CEI!P40</f>
        <v>1021</v>
      </c>
      <c r="Q40" s="35">
        <f>O40+P40</f>
        <v>2139462</v>
      </c>
      <c r="R40" s="29">
        <f>+BKK!R40+DMK!R40+CNX!R40+HDY!R40+HKT!R40+CEI!R40</f>
        <v>1204698</v>
      </c>
      <c r="S40" s="36">
        <f>+BKK!S40+DMK!S40+CNX!S40+HDY!S40+HKT!S40+CEI!S40</f>
        <v>1198412</v>
      </c>
      <c r="T40" s="33">
        <f>R40+S40</f>
        <v>2403110</v>
      </c>
      <c r="U40" s="34">
        <f>+BKK!U40+DMK!U40+CNX!U40+HDY!U40+HKT!U40+CEI!U40</f>
        <v>679</v>
      </c>
      <c r="V40" s="31">
        <f>T40+U40</f>
        <v>2403789</v>
      </c>
      <c r="W40" s="256">
        <f>IF(Q40=0,0,((V40/Q40)-1)*100)</f>
        <v>12.354835000574905</v>
      </c>
    </row>
    <row r="41" spans="2:23" ht="13.5" thickBot="1">
      <c r="B41" s="65" t="s">
        <v>20</v>
      </c>
      <c r="C41" s="68">
        <f>+BKK!C41+DMK!C41+CNX!C41+HDY!C41+HKT!C41+CEI!C41</f>
        <v>8775</v>
      </c>
      <c r="D41" s="192">
        <f>+BKK!D41+DMK!D41+CNX!D41+HDY!D41+HKT!D41+CEI!D41</f>
        <v>8750</v>
      </c>
      <c r="E41" s="84">
        <f>C41+D41</f>
        <v>17525</v>
      </c>
      <c r="F41" s="68">
        <f>+BKK!F41+DMK!F41+CNX!F41+HDY!F41+HKT!F41+CEI!F41</f>
        <v>9386</v>
      </c>
      <c r="G41" s="30">
        <f>+BKK!G41+DMK!G41+CNX!G41+HDY!G41+HKT!G41+CEI!G41</f>
        <v>9378</v>
      </c>
      <c r="H41" s="31">
        <f>F41+G41</f>
        <v>18764</v>
      </c>
      <c r="I41" s="256">
        <f t="shared" si="13"/>
        <v>7.0699001426533625</v>
      </c>
      <c r="L41" s="85" t="s">
        <v>20</v>
      </c>
      <c r="M41" s="86">
        <f>+BKK!M41+DMK!M41+CNX!M41+HDY!M41+HKT!M41+CEI!M41</f>
        <v>1103351</v>
      </c>
      <c r="N41" s="36">
        <f>+BKK!N41+DMK!N41+CNX!N41+HDY!N41+HKT!N41+CEI!N41</f>
        <v>1079906</v>
      </c>
      <c r="O41" s="33">
        <f>M41+N41</f>
        <v>2183257</v>
      </c>
      <c r="P41" s="87">
        <f>+BKK!P41+DMK!P41+CNX!P41+HDY!P41+HKT!P41+CEI!P41</f>
        <v>1444</v>
      </c>
      <c r="Q41" s="88">
        <f>O41+P41</f>
        <v>2184701</v>
      </c>
      <c r="R41" s="86">
        <f>+BKK!R41+DMK!R41+CNX!R41+HDY!R41+HKT!R41+CEI!R41</f>
        <v>1239813</v>
      </c>
      <c r="S41" s="36">
        <f>+BKK!S41+DMK!S41+CNX!S41+HDY!S41+HKT!S41+CEI!S41</f>
        <v>1219801</v>
      </c>
      <c r="T41" s="33">
        <f>R41+S41</f>
        <v>2459614</v>
      </c>
      <c r="U41" s="87">
        <f>+BKK!U41+DMK!U41+CNX!U41+HDY!U41+HKT!U41+CEI!U41</f>
        <v>990</v>
      </c>
      <c r="V41" s="31">
        <f>T41+U41</f>
        <v>2460604</v>
      </c>
      <c r="W41" s="256">
        <f t="shared" si="14"/>
        <v>12.628867748950533</v>
      </c>
    </row>
    <row r="42" spans="2:23" ht="14.25" thickBot="1" thickTop="1">
      <c r="B42" s="44" t="s">
        <v>21</v>
      </c>
      <c r="C42" s="76">
        <f aca="true" t="shared" si="16" ref="C42:H42">C40+C39+C41</f>
        <v>24886</v>
      </c>
      <c r="D42" s="77">
        <f t="shared" si="16"/>
        <v>24796</v>
      </c>
      <c r="E42" s="78">
        <f t="shared" si="16"/>
        <v>49682</v>
      </c>
      <c r="F42" s="76">
        <f t="shared" si="16"/>
        <v>26976</v>
      </c>
      <c r="G42" s="77">
        <f t="shared" si="16"/>
        <v>26991</v>
      </c>
      <c r="H42" s="78">
        <f t="shared" si="16"/>
        <v>53967</v>
      </c>
      <c r="I42" s="257">
        <f>IF(E42=0,0,((H42/E42)-1)*100)</f>
        <v>8.624854071897259</v>
      </c>
      <c r="L42" s="44" t="s">
        <v>21</v>
      </c>
      <c r="M42" s="40">
        <f aca="true" t="shared" si="17" ref="M42:V42">M40+M39+M41</f>
        <v>3326728</v>
      </c>
      <c r="N42" s="41">
        <f t="shared" si="17"/>
        <v>3268082</v>
      </c>
      <c r="O42" s="40">
        <f t="shared" si="17"/>
        <v>6594810</v>
      </c>
      <c r="P42" s="40">
        <f t="shared" si="17"/>
        <v>3585</v>
      </c>
      <c r="Q42" s="40">
        <f t="shared" si="17"/>
        <v>6598395</v>
      </c>
      <c r="R42" s="40">
        <f t="shared" si="17"/>
        <v>3764173</v>
      </c>
      <c r="S42" s="41">
        <f t="shared" si="17"/>
        <v>3708320</v>
      </c>
      <c r="T42" s="40">
        <f t="shared" si="17"/>
        <v>7472493</v>
      </c>
      <c r="U42" s="40">
        <f t="shared" si="17"/>
        <v>2620</v>
      </c>
      <c r="V42" s="42">
        <f t="shared" si="17"/>
        <v>7475113</v>
      </c>
      <c r="W42" s="257">
        <f>IF(Q42=0,0,((V42/Q42)-1)*100)</f>
        <v>13.286837177828858</v>
      </c>
    </row>
    <row r="43" spans="2:23" ht="13.5" thickTop="1">
      <c r="B43" s="4" t="s">
        <v>35</v>
      </c>
      <c r="C43" s="29">
        <f>+BKK!C43+DMK!C43+CNX!C43+HDY!C43+HKT!C43+CEI!C43</f>
        <v>8633</v>
      </c>
      <c r="D43" s="30">
        <f>+BKK!D43+DMK!D43+CNX!D43+HDY!D43+HKT!D43+CEI!D43</f>
        <v>8641</v>
      </c>
      <c r="E43" s="81">
        <f>C43+D43</f>
        <v>17274</v>
      </c>
      <c r="F43" s="29">
        <f>+BKK!F43+DMK!F43+CNX!F43+HDY!F43+HKT!F43+CEI!F43</f>
        <v>9356</v>
      </c>
      <c r="G43" s="30">
        <f>+BKK!G43+DMK!G43+CNX!G43+HDY!G43+HKT!G43+CEI!G43</f>
        <v>9392</v>
      </c>
      <c r="H43" s="31">
        <f>+BKK!H43+DMK!H43+CNX!H43+HDY!H43+HKT!H43+CEI!H43</f>
        <v>18748</v>
      </c>
      <c r="I43" s="256">
        <f t="shared" si="13"/>
        <v>8.533055459071438</v>
      </c>
      <c r="L43" s="4" t="s">
        <v>22</v>
      </c>
      <c r="M43" s="29">
        <f>+BKK!M43+DMK!M43+CNX!M43+HDY!M43+HKT!M43+CEI!M43</f>
        <v>1038356</v>
      </c>
      <c r="N43" s="36">
        <f>+BKK!N43+DMK!N43+CNX!N43+HDY!N43+HKT!N43+CEI!N43</f>
        <v>1037792</v>
      </c>
      <c r="O43" s="33">
        <f>SUM(M43:N43)</f>
        <v>2076148</v>
      </c>
      <c r="P43" s="34">
        <f>+BKK!P43+DMK!P43+CNX!P43+HDY!P43+HKT!P43+CEI!P43</f>
        <v>576</v>
      </c>
      <c r="Q43" s="35">
        <f>O43+P43</f>
        <v>2076724</v>
      </c>
      <c r="R43" s="29">
        <f>+BKK!R43+DMK!R43+CNX!R43+HDY!R43+HKT!R43+CEI!R43</f>
        <v>1202215</v>
      </c>
      <c r="S43" s="36">
        <f>+BKK!S43+DMK!S43+CNX!S43+HDY!S43+HKT!S43+CEI!S43</f>
        <v>1194130</v>
      </c>
      <c r="T43" s="33">
        <f>+BKK!T43+DMK!T43+CNX!T43+HDY!T43+HKT!T43+CEI!T43</f>
        <v>2396345</v>
      </c>
      <c r="U43" s="34">
        <f>+BKK!U43+DMK!U43+CNX!U43+HDY!U43+HKT!U43+CEI!U43</f>
        <v>1027</v>
      </c>
      <c r="V43" s="35">
        <f>+BKK!V43+DMK!V43+CNX!V43+HDY!V43+HKT!V43+CEI!V43</f>
        <v>2397372</v>
      </c>
      <c r="W43" s="256">
        <f t="shared" si="14"/>
        <v>15.44008736837441</v>
      </c>
    </row>
    <row r="44" spans="2:23" ht="12.75">
      <c r="B44" s="4" t="s">
        <v>23</v>
      </c>
      <c r="C44" s="29">
        <f>+BKK!C44+DMK!C44+CNX!C44+HDY!C44+HKT!C44+CEI!C44</f>
        <v>8083</v>
      </c>
      <c r="D44" s="30">
        <f>+BKK!D44+DMK!D44+CNX!D44+HDY!D44+HKT!D44+CEI!D44</f>
        <v>8082</v>
      </c>
      <c r="E44" s="81">
        <f>C44+D44</f>
        <v>16165</v>
      </c>
      <c r="F44" s="29">
        <f>+BKK!F44+DMK!F44+CNX!F44+HDY!F44+HKT!F44+CEI!F44</f>
        <v>8937</v>
      </c>
      <c r="G44" s="30">
        <f>+BKK!G44+DMK!G44+CNX!G44+HDY!G44+HKT!G44+CEI!G44</f>
        <v>8970</v>
      </c>
      <c r="H44" s="31">
        <f>+BKK!H44+DMK!H44+CNX!H44+HDY!H44+HKT!H44+CEI!H44</f>
        <v>17907</v>
      </c>
      <c r="I44" s="256">
        <f t="shared" si="13"/>
        <v>10.776368697803896</v>
      </c>
      <c r="L44" s="4" t="s">
        <v>23</v>
      </c>
      <c r="M44" s="29">
        <f>+BKK!M44+DMK!M44+CNX!M44+HDY!M44+HKT!M44+CEI!M44</f>
        <v>917034</v>
      </c>
      <c r="N44" s="36">
        <f>+BKK!N44+DMK!N44+CNX!N44+HDY!N44+HKT!N44+CEI!N44</f>
        <v>903378</v>
      </c>
      <c r="O44" s="33">
        <f>SUM(M44:N44)</f>
        <v>1820412</v>
      </c>
      <c r="P44" s="34">
        <f>+BKK!P44+DMK!P44+CNX!P44+HDY!P44+HKT!P44+CEI!P44</f>
        <v>1013</v>
      </c>
      <c r="Q44" s="35">
        <f>O44+P44</f>
        <v>1821425</v>
      </c>
      <c r="R44" s="29">
        <f>+BKK!R44+DMK!R44+CNX!R44+HDY!R44+HKT!R44+CEI!R44</f>
        <v>1055017</v>
      </c>
      <c r="S44" s="36">
        <f>+BKK!S44+DMK!S44+CNX!S44+HDY!S44+HKT!S44+CEI!S44</f>
        <v>1042961</v>
      </c>
      <c r="T44" s="33">
        <f>+BKK!T44+DMK!T44+CNX!T44+HDY!T44+HKT!T44+CEI!T44</f>
        <v>2097978</v>
      </c>
      <c r="U44" s="34">
        <f>+BKK!U44+DMK!U44+CNX!U44+HDY!U44+HKT!U44+CEI!U44</f>
        <v>562</v>
      </c>
      <c r="V44" s="31">
        <f>+BKK!V44+DMK!V44+CNX!V44+HDY!V44+HKT!V44+CEI!V44</f>
        <v>2098540</v>
      </c>
      <c r="W44" s="256">
        <f t="shared" si="14"/>
        <v>15.214186694483711</v>
      </c>
    </row>
    <row r="45" spans="2:23" ht="13.5" thickBot="1">
      <c r="B45" s="4" t="s">
        <v>24</v>
      </c>
      <c r="C45" s="29">
        <f>+BKK!C45+DMK!C45+CNX!C45+HDY!C45+HKT!C45+CEI!C45</f>
        <v>7612</v>
      </c>
      <c r="D45" s="38">
        <f>+BKK!D45+DMK!D45+CNX!D45+HDY!D45+HKT!D45+CEI!D45</f>
        <v>7617</v>
      </c>
      <c r="E45" s="81">
        <f>C45+D45</f>
        <v>15229</v>
      </c>
      <c r="F45" s="29">
        <f>+BKK!F45+DMK!F45+CNX!F45+HDY!F45+HKT!F45+CEI!F45</f>
        <v>8526</v>
      </c>
      <c r="G45" s="38">
        <f>+BKK!G45+DMK!G45+CNX!G45+HDY!G45+HKT!G45+CEI!G45</f>
        <v>8557</v>
      </c>
      <c r="H45" s="31">
        <f>+BKK!H45+DMK!H45+CNX!H45+HDY!H45+HKT!H45+CEI!H45</f>
        <v>17083</v>
      </c>
      <c r="I45" s="263">
        <f t="shared" si="13"/>
        <v>12.174141440672393</v>
      </c>
      <c r="L45" s="4" t="s">
        <v>24</v>
      </c>
      <c r="M45" s="29">
        <f>+BKK!M45+DMK!M45+CNX!M45+HDY!M45+HKT!M45+CEI!M45</f>
        <v>851638</v>
      </c>
      <c r="N45" s="36">
        <f>+BKK!N45+DMK!N45+CNX!N45+HDY!N45+HKT!N45+CEI!N45</f>
        <v>854695</v>
      </c>
      <c r="O45" s="51">
        <f>SUM(M45:N45)</f>
        <v>1706333</v>
      </c>
      <c r="P45" s="52">
        <f>+BKK!P45+DMK!P45+CNX!P45+HDY!P45+HKT!P45+CEI!P45</f>
        <v>392</v>
      </c>
      <c r="Q45" s="35">
        <f>O45+P45</f>
        <v>1706725</v>
      </c>
      <c r="R45" s="29">
        <f>+BKK!R45+DMK!R45+CNX!R45+HDY!R45+HKT!R45+CEI!R45</f>
        <v>994841</v>
      </c>
      <c r="S45" s="36">
        <f>+BKK!S45+DMK!S45+CNX!S45+HDY!S45+HKT!S45+CEI!S45</f>
        <v>994993</v>
      </c>
      <c r="T45" s="51">
        <f>+BKK!T45+DMK!T45+CNX!T45+HDY!T45+HKT!T45+CEI!T45</f>
        <v>1989834</v>
      </c>
      <c r="U45" s="52">
        <f>+BKK!U45+DMK!U45+CNX!U45+HDY!U45+HKT!U45+CEI!U45</f>
        <v>1271</v>
      </c>
      <c r="V45" s="31">
        <f>+BKK!V45+DMK!V45+CNX!V45+HDY!V45+HKT!V45+CEI!V45</f>
        <v>1991105</v>
      </c>
      <c r="W45" s="256">
        <f t="shared" si="14"/>
        <v>16.662321112071353</v>
      </c>
    </row>
    <row r="46" spans="2:23" ht="14.25" thickBot="1" thickTop="1">
      <c r="B46" s="44" t="s">
        <v>25</v>
      </c>
      <c r="C46" s="45">
        <f aca="true" t="shared" si="18" ref="C46:H46">+C43+C44+C45</f>
        <v>24328</v>
      </c>
      <c r="D46" s="45">
        <f t="shared" si="18"/>
        <v>24340</v>
      </c>
      <c r="E46" s="49">
        <f t="shared" si="18"/>
        <v>48668</v>
      </c>
      <c r="F46" s="40">
        <f t="shared" si="18"/>
        <v>26819</v>
      </c>
      <c r="G46" s="53">
        <f t="shared" si="18"/>
        <v>26919</v>
      </c>
      <c r="H46" s="53">
        <f t="shared" si="18"/>
        <v>53738</v>
      </c>
      <c r="I46" s="257">
        <f t="shared" si="13"/>
        <v>10.417522807594315</v>
      </c>
      <c r="L46" s="44" t="s">
        <v>25</v>
      </c>
      <c r="M46" s="45">
        <f aca="true" t="shared" si="19" ref="M46:V46">+M43+M44+M45</f>
        <v>2807028</v>
      </c>
      <c r="N46" s="45">
        <f t="shared" si="19"/>
        <v>2795865</v>
      </c>
      <c r="O46" s="47">
        <f t="shared" si="19"/>
        <v>5602893</v>
      </c>
      <c r="P46" s="47">
        <f t="shared" si="19"/>
        <v>1981</v>
      </c>
      <c r="Q46" s="47">
        <f t="shared" si="19"/>
        <v>5604874</v>
      </c>
      <c r="R46" s="45">
        <f t="shared" si="19"/>
        <v>3252073</v>
      </c>
      <c r="S46" s="45">
        <f t="shared" si="19"/>
        <v>3232084</v>
      </c>
      <c r="T46" s="47">
        <f t="shared" si="19"/>
        <v>6484157</v>
      </c>
      <c r="U46" s="47">
        <f t="shared" si="19"/>
        <v>2860</v>
      </c>
      <c r="V46" s="47">
        <f t="shared" si="19"/>
        <v>6487017</v>
      </c>
      <c r="W46" s="257">
        <f t="shared" si="14"/>
        <v>15.738855146431474</v>
      </c>
    </row>
    <row r="47" spans="2:23" ht="13.5" thickTop="1">
      <c r="B47" s="4" t="s">
        <v>26</v>
      </c>
      <c r="C47" s="29">
        <f>+BKK!C47+DMK!C47+CNX!C47+HDY!C47+HKT!C47+CEI!C47</f>
        <v>7960</v>
      </c>
      <c r="D47" s="30">
        <f>+BKK!D47+DMK!D47+CNX!D47+HDY!D47+HKT!D47+CEI!D47</f>
        <v>7949</v>
      </c>
      <c r="E47" s="89">
        <f>C47+D47</f>
        <v>15909</v>
      </c>
      <c r="F47" s="29">
        <f>+BKK!F47+DMK!F47+CNX!F47+HDY!F47+HKT!F47+CEI!F47</f>
        <v>9204</v>
      </c>
      <c r="G47" s="30">
        <f>+BKK!G47+DMK!G47+CNX!G47+HDY!G47+HKT!G47+CEI!G47</f>
        <v>9235</v>
      </c>
      <c r="H47" s="31">
        <f>+BKK!H47+DMK!H47+CNX!H47+HDY!H47+HKT!H47+CEI!H47</f>
        <v>18439</v>
      </c>
      <c r="I47" s="256">
        <f t="shared" si="13"/>
        <v>15.90294801684582</v>
      </c>
      <c r="L47" s="4" t="s">
        <v>27</v>
      </c>
      <c r="M47" s="29">
        <f>+BKK!M47+DMK!M47+CNX!M47+HDY!M47+HKT!M47+CEI!M47</f>
        <v>1049432</v>
      </c>
      <c r="N47" s="36">
        <f>+BKK!N47+DMK!N47+CNX!N47+HDY!N47+HKT!N47+CEI!N47</f>
        <v>1053233</v>
      </c>
      <c r="O47" s="51">
        <f>SUM(M47:N47)</f>
        <v>2102665</v>
      </c>
      <c r="P47" s="59">
        <f>+BKK!P47+DMK!P47+CNX!P47+HDY!P47+HKT!P47+CEI!P47</f>
        <v>1248</v>
      </c>
      <c r="Q47" s="35">
        <f>O47+P47</f>
        <v>2103913</v>
      </c>
      <c r="R47" s="29">
        <f>+BKK!R47+DMK!R47+CNX!R47+HDY!R47+HKT!R47+CEI!R47</f>
        <v>1123713</v>
      </c>
      <c r="S47" s="36">
        <f>+BKK!S47+DMK!S47+CNX!S47+HDY!S47+HKT!S47+CEI!S47</f>
        <v>1135510</v>
      </c>
      <c r="T47" s="51">
        <f>+BKK!T47+DMK!T47+CNX!T47+HDY!T47+HKT!T47+CEI!T47</f>
        <v>2259223</v>
      </c>
      <c r="U47" s="59">
        <f>+BKK!U47+DMK!U47+CNX!U47+HDY!U47+HKT!U47+CEI!U47</f>
        <v>1582</v>
      </c>
      <c r="V47" s="31">
        <f>+BKK!V47+DMK!V47+CNX!V47+HDY!V47+HKT!V47+CEI!V47</f>
        <v>2260805</v>
      </c>
      <c r="W47" s="256">
        <f t="shared" si="14"/>
        <v>7.45715245830032</v>
      </c>
    </row>
    <row r="48" spans="2:23" ht="12.75">
      <c r="B48" s="4" t="s">
        <v>28</v>
      </c>
      <c r="C48" s="29">
        <f>+BKK!C48+DMK!C48+CNX!C48+HDY!C48+HKT!C48+CEI!C48</f>
        <v>8417</v>
      </c>
      <c r="D48" s="30">
        <f>+BKK!D48+DMK!D48+CNX!D48+HDY!D48+HKT!D48+CEI!D48</f>
        <v>8419</v>
      </c>
      <c r="E48" s="81">
        <f>C48+D48</f>
        <v>16836</v>
      </c>
      <c r="F48" s="29">
        <f>+BKK!F48+DMK!F48+CNX!F48+HDY!F48+HKT!F48+CEI!F48</f>
        <v>9191</v>
      </c>
      <c r="G48" s="30">
        <f>+BKK!G48+DMK!G48+CNX!G48+HDY!G48+HKT!G48+CEI!G48</f>
        <v>9214</v>
      </c>
      <c r="H48" s="31">
        <f>+BKK!H48+DMK!H48+CNX!H48+HDY!H48+HKT!H48+CEI!H48</f>
        <v>18405</v>
      </c>
      <c r="I48" s="256">
        <f>IF(E48=0,0,((H48/E48)-1)*100)</f>
        <v>9.319315751960078</v>
      </c>
      <c r="L48" s="4" t="s">
        <v>28</v>
      </c>
      <c r="M48" s="29">
        <f>+BKK!M48+DMK!M48+CNX!M48+HDY!M48+HKT!M48+CEI!M48</f>
        <v>1069329</v>
      </c>
      <c r="N48" s="36">
        <f>+BKK!N48+DMK!N48+CNX!N48+HDY!N48+HKT!N48+CEI!N48</f>
        <v>1052449</v>
      </c>
      <c r="O48" s="51">
        <f>SUM(M48:N48)</f>
        <v>2121778</v>
      </c>
      <c r="P48" s="34">
        <f>+BKK!P48+DMK!P48+CNX!P48+HDY!P48+HKT!P48+CEI!P48</f>
        <v>2124</v>
      </c>
      <c r="Q48" s="35">
        <f>O48+P48</f>
        <v>2123902</v>
      </c>
      <c r="R48" s="29">
        <f>+BKK!R48+DMK!R48+CNX!R48+HDY!R48+HKT!R48+CEI!R48</f>
        <v>1241804</v>
      </c>
      <c r="S48" s="36">
        <f>+BKK!S48+DMK!S48+CNX!S48+HDY!S48+HKT!S48+CEI!S48</f>
        <v>1222704</v>
      </c>
      <c r="T48" s="51">
        <f>+BKK!T48+DMK!T48+CNX!T48+HDY!T48+HKT!T48+CEI!T48</f>
        <v>2464508</v>
      </c>
      <c r="U48" s="34">
        <f>+BKK!U48+DMK!U48+CNX!U48+HDY!U48+HKT!U48+CEI!U48</f>
        <v>3025</v>
      </c>
      <c r="V48" s="31">
        <f>+BKK!V48+DMK!V48+CNX!V48+HDY!V48+HKT!V48+CEI!V48</f>
        <v>2467533</v>
      </c>
      <c r="W48" s="256">
        <f>IF(Q48=0,0,((V48/Q48)-1)*100)</f>
        <v>16.179230491802343</v>
      </c>
    </row>
    <row r="49" spans="2:23" ht="13.5" thickBot="1">
      <c r="B49" s="4" t="s">
        <v>29</v>
      </c>
      <c r="C49" s="29">
        <f>+BKK!C49+DMK!C49+CNX!C49+HDY!C49+HKT!C49+CEI!C49</f>
        <v>7632</v>
      </c>
      <c r="D49" s="60">
        <f>+BKK!D49+DMK!D49+CNX!D49+HDY!D49+HKT!D49+CEI!D49</f>
        <v>7625</v>
      </c>
      <c r="E49" s="81">
        <f>C49+D49</f>
        <v>15257</v>
      </c>
      <c r="F49" s="29">
        <f>+BKK!F49+DMK!F49+CNX!F49+HDY!F49+HKT!F49+CEI!F49</f>
        <v>8696</v>
      </c>
      <c r="G49" s="60">
        <f>+BKK!G49+DMK!G49+CNX!G49+HDY!G49+HKT!G49+CEI!G49</f>
        <v>8753</v>
      </c>
      <c r="H49" s="31">
        <f>+BKK!H49+DMK!H49+CNX!H49+HDY!H49+HKT!H49+CEI!H49</f>
        <v>17449</v>
      </c>
      <c r="I49" s="256">
        <f t="shared" si="13"/>
        <v>14.36717572261912</v>
      </c>
      <c r="L49" s="4" t="s">
        <v>29</v>
      </c>
      <c r="M49" s="29">
        <f>+BKK!M49+DMK!M49+CNX!M49+HDY!M49+HKT!M49+CEI!M49</f>
        <v>941759</v>
      </c>
      <c r="N49" s="36">
        <f>+BKK!N49+DMK!N49+CNX!N49+HDY!N49+HKT!N49+CEI!N49</f>
        <v>936162</v>
      </c>
      <c r="O49" s="51">
        <f>SUM(M49:N49)</f>
        <v>1877921</v>
      </c>
      <c r="P49" s="52">
        <f>+BKK!P49+DMK!P49+CNX!P49+HDY!P49+HKT!P49+CEI!P49</f>
        <v>742</v>
      </c>
      <c r="Q49" s="35">
        <f>O49+P49</f>
        <v>1878663</v>
      </c>
      <c r="R49" s="29">
        <f>+BKK!R49+DMK!R49+CNX!R49+HDY!R49+HKT!R49+CEI!R49</f>
        <v>1028744</v>
      </c>
      <c r="S49" s="36">
        <f>+BKK!S49+DMK!S49+CNX!S49+HDY!S49+HKT!S49+CEI!S49</f>
        <v>1027763</v>
      </c>
      <c r="T49" s="51">
        <f>+BKK!T49+DMK!T49+CNX!T49+HDY!T49+HKT!T49+CEI!T49</f>
        <v>2056507</v>
      </c>
      <c r="U49" s="52">
        <f>+BKK!U49+DMK!U49+CNX!U49+HDY!U49+HKT!U49+CEI!U49</f>
        <v>472</v>
      </c>
      <c r="V49" s="31">
        <f>+BKK!V49+DMK!V49+CNX!V49+HDY!V49+HKT!V49+CEI!V49</f>
        <v>2056979</v>
      </c>
      <c r="W49" s="256">
        <f t="shared" si="14"/>
        <v>9.491643791355875</v>
      </c>
    </row>
    <row r="50" spans="2:23" ht="14.25" thickBot="1" thickTop="1">
      <c r="B50" s="39" t="s">
        <v>30</v>
      </c>
      <c r="C50" s="40">
        <f aca="true" t="shared" si="20" ref="C50:H50">+C47+C48+C49</f>
        <v>24009</v>
      </c>
      <c r="D50" s="41">
        <f t="shared" si="20"/>
        <v>23993</v>
      </c>
      <c r="E50" s="40">
        <f t="shared" si="20"/>
        <v>48002</v>
      </c>
      <c r="F50" s="40">
        <f t="shared" si="20"/>
        <v>27091</v>
      </c>
      <c r="G50" s="41">
        <f t="shared" si="20"/>
        <v>27202</v>
      </c>
      <c r="H50" s="40">
        <f t="shared" si="20"/>
        <v>54293</v>
      </c>
      <c r="I50" s="257">
        <f t="shared" si="13"/>
        <v>13.105703929002965</v>
      </c>
      <c r="L50" s="39" t="s">
        <v>30</v>
      </c>
      <c r="M50" s="40">
        <f aca="true" t="shared" si="21" ref="M50:V50">+M47+M48+M49</f>
        <v>3060520</v>
      </c>
      <c r="N50" s="41">
        <f t="shared" si="21"/>
        <v>3041844</v>
      </c>
      <c r="O50" s="40">
        <f t="shared" si="21"/>
        <v>6102364</v>
      </c>
      <c r="P50" s="40">
        <f t="shared" si="21"/>
        <v>4114</v>
      </c>
      <c r="Q50" s="40">
        <f t="shared" si="21"/>
        <v>6106478</v>
      </c>
      <c r="R50" s="40">
        <f t="shared" si="21"/>
        <v>3394261</v>
      </c>
      <c r="S50" s="41">
        <f t="shared" si="21"/>
        <v>3385977</v>
      </c>
      <c r="T50" s="40">
        <f t="shared" si="21"/>
        <v>6780238</v>
      </c>
      <c r="U50" s="40">
        <f t="shared" si="21"/>
        <v>5079</v>
      </c>
      <c r="V50" s="40">
        <f t="shared" si="21"/>
        <v>6785317</v>
      </c>
      <c r="W50" s="257">
        <f t="shared" si="14"/>
        <v>11.116702623017716</v>
      </c>
    </row>
    <row r="51" spans="2:23" ht="14.25" thickBot="1" thickTop="1">
      <c r="B51" s="39" t="s">
        <v>66</v>
      </c>
      <c r="C51" s="76">
        <f aca="true" t="shared" si="22" ref="C51:H51">+C42+C46+C50</f>
        <v>73223</v>
      </c>
      <c r="D51" s="77">
        <f t="shared" si="22"/>
        <v>73129</v>
      </c>
      <c r="E51" s="78">
        <f t="shared" si="22"/>
        <v>146352</v>
      </c>
      <c r="F51" s="76">
        <f t="shared" si="22"/>
        <v>80886</v>
      </c>
      <c r="G51" s="77">
        <f t="shared" si="22"/>
        <v>81112</v>
      </c>
      <c r="H51" s="78">
        <f t="shared" si="22"/>
        <v>161998</v>
      </c>
      <c r="I51" s="257">
        <f t="shared" si="13"/>
        <v>10.69066360555373</v>
      </c>
      <c r="L51" s="39" t="s">
        <v>66</v>
      </c>
      <c r="M51" s="40">
        <f aca="true" t="shared" si="23" ref="M51:V51">+M42+M46+M50</f>
        <v>9194276</v>
      </c>
      <c r="N51" s="41">
        <f t="shared" si="23"/>
        <v>9105791</v>
      </c>
      <c r="O51" s="40">
        <f t="shared" si="23"/>
        <v>18300067</v>
      </c>
      <c r="P51" s="40">
        <f t="shared" si="23"/>
        <v>9680</v>
      </c>
      <c r="Q51" s="40">
        <f t="shared" si="23"/>
        <v>18309747</v>
      </c>
      <c r="R51" s="40">
        <f t="shared" si="23"/>
        <v>10410507</v>
      </c>
      <c r="S51" s="41">
        <f t="shared" si="23"/>
        <v>10326381</v>
      </c>
      <c r="T51" s="40">
        <f t="shared" si="23"/>
        <v>20736888</v>
      </c>
      <c r="U51" s="40">
        <f t="shared" si="23"/>
        <v>10559</v>
      </c>
      <c r="V51" s="42">
        <f t="shared" si="23"/>
        <v>20747447</v>
      </c>
      <c r="W51" s="257">
        <f t="shared" si="14"/>
        <v>13.313673859065345</v>
      </c>
    </row>
    <row r="52" spans="2:23" ht="14.25" thickBot="1" thickTop="1">
      <c r="B52" s="39" t="s">
        <v>9</v>
      </c>
      <c r="C52" s="40">
        <f aca="true" t="shared" si="24" ref="C52:H52">+C42+C46+C50+C38</f>
        <v>96616</v>
      </c>
      <c r="D52" s="41">
        <f t="shared" si="24"/>
        <v>96436</v>
      </c>
      <c r="E52" s="40">
        <f t="shared" si="24"/>
        <v>193052</v>
      </c>
      <c r="F52" s="40">
        <f t="shared" si="24"/>
        <v>105735</v>
      </c>
      <c r="G52" s="41">
        <f t="shared" si="24"/>
        <v>106013</v>
      </c>
      <c r="H52" s="40">
        <f t="shared" si="24"/>
        <v>211748</v>
      </c>
      <c r="I52" s="257">
        <f t="shared" si="13"/>
        <v>9.684437353666375</v>
      </c>
      <c r="L52" s="39" t="s">
        <v>9</v>
      </c>
      <c r="M52" s="40">
        <f aca="true" t="shared" si="25" ref="M52:V52">+M42+M46+M50+M38</f>
        <v>12110151</v>
      </c>
      <c r="N52" s="41">
        <f t="shared" si="25"/>
        <v>12067460</v>
      </c>
      <c r="O52" s="40">
        <f t="shared" si="25"/>
        <v>24177611</v>
      </c>
      <c r="P52" s="40">
        <f t="shared" si="25"/>
        <v>12249</v>
      </c>
      <c r="Q52" s="40">
        <f t="shared" si="25"/>
        <v>24189860</v>
      </c>
      <c r="R52" s="40">
        <f t="shared" si="25"/>
        <v>13612406</v>
      </c>
      <c r="S52" s="41">
        <f t="shared" si="25"/>
        <v>13576896</v>
      </c>
      <c r="T52" s="40">
        <f t="shared" si="25"/>
        <v>27189302</v>
      </c>
      <c r="U52" s="40">
        <f t="shared" si="25"/>
        <v>14093</v>
      </c>
      <c r="V52" s="40">
        <f t="shared" si="25"/>
        <v>27203395</v>
      </c>
      <c r="W52" s="257">
        <f t="shared" si="14"/>
        <v>12.457843906496358</v>
      </c>
    </row>
    <row r="53" spans="2:12" ht="13.5" thickTop="1">
      <c r="B53" s="63" t="s">
        <v>64</v>
      </c>
      <c r="L53" s="63" t="s">
        <v>64</v>
      </c>
    </row>
    <row r="54" spans="2:23" ht="12.75">
      <c r="B54" s="336" t="s">
        <v>36</v>
      </c>
      <c r="C54" s="336"/>
      <c r="D54" s="336"/>
      <c r="E54" s="336"/>
      <c r="F54" s="336"/>
      <c r="G54" s="336"/>
      <c r="H54" s="336"/>
      <c r="I54" s="336"/>
      <c r="L54" s="336" t="s">
        <v>37</v>
      </c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</row>
    <row r="55" spans="2:23" ht="15.75">
      <c r="B55" s="337" t="s">
        <v>38</v>
      </c>
      <c r="C55" s="337"/>
      <c r="D55" s="337"/>
      <c r="E55" s="337"/>
      <c r="F55" s="337"/>
      <c r="G55" s="337"/>
      <c r="H55" s="337"/>
      <c r="I55" s="337"/>
      <c r="L55" s="337" t="s">
        <v>39</v>
      </c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ht="13.5" thickBot="1"/>
    <row r="57" spans="2:23" ht="17.25" thickBot="1" thickTop="1">
      <c r="B57" s="3"/>
      <c r="C57" s="341" t="s">
        <v>67</v>
      </c>
      <c r="D57" s="342"/>
      <c r="E57" s="343"/>
      <c r="F57" s="344" t="s">
        <v>68</v>
      </c>
      <c r="G57" s="345"/>
      <c r="H57" s="346"/>
      <c r="I57" s="239" t="s">
        <v>4</v>
      </c>
      <c r="L57" s="3"/>
      <c r="M57" s="347" t="s">
        <v>67</v>
      </c>
      <c r="N57" s="348"/>
      <c r="O57" s="348"/>
      <c r="P57" s="348"/>
      <c r="Q57" s="349"/>
      <c r="R57" s="338" t="s">
        <v>68</v>
      </c>
      <c r="S57" s="339"/>
      <c r="T57" s="339"/>
      <c r="U57" s="339"/>
      <c r="V57" s="340"/>
      <c r="W57" s="239" t="s">
        <v>4</v>
      </c>
    </row>
    <row r="58" spans="2:23" ht="13.5" thickTop="1">
      <c r="B58" s="4" t="s">
        <v>5</v>
      </c>
      <c r="C58" s="5"/>
      <c r="D58" s="6"/>
      <c r="E58" s="7"/>
      <c r="F58" s="5"/>
      <c r="G58" s="6"/>
      <c r="H58" s="7"/>
      <c r="I58" s="240" t="s">
        <v>6</v>
      </c>
      <c r="L58" s="4" t="s">
        <v>5</v>
      </c>
      <c r="M58" s="5"/>
      <c r="N58" s="8"/>
      <c r="O58" s="9"/>
      <c r="P58" s="10"/>
      <c r="Q58" s="11"/>
      <c r="R58" s="5"/>
      <c r="S58" s="8"/>
      <c r="T58" s="9"/>
      <c r="U58" s="10"/>
      <c r="V58" s="11"/>
      <c r="W58" s="240" t="s">
        <v>6</v>
      </c>
    </row>
    <row r="59" spans="2:23" ht="13.5" thickBot="1">
      <c r="B59" s="12" t="s">
        <v>40</v>
      </c>
      <c r="C59" s="13" t="s">
        <v>7</v>
      </c>
      <c r="D59" s="230" t="s">
        <v>8</v>
      </c>
      <c r="E59" s="14" t="s">
        <v>9</v>
      </c>
      <c r="F59" s="13" t="s">
        <v>7</v>
      </c>
      <c r="G59" s="230" t="s">
        <v>8</v>
      </c>
      <c r="H59" s="14" t="s">
        <v>9</v>
      </c>
      <c r="I59" s="241"/>
      <c r="L59" s="12"/>
      <c r="M59" s="15" t="s">
        <v>10</v>
      </c>
      <c r="N59" s="16" t="s">
        <v>11</v>
      </c>
      <c r="O59" s="17" t="s">
        <v>12</v>
      </c>
      <c r="P59" s="18" t="s">
        <v>13</v>
      </c>
      <c r="Q59" s="19" t="s">
        <v>9</v>
      </c>
      <c r="R59" s="15" t="s">
        <v>10</v>
      </c>
      <c r="S59" s="16" t="s">
        <v>11</v>
      </c>
      <c r="T59" s="17" t="s">
        <v>12</v>
      </c>
      <c r="U59" s="18" t="s">
        <v>13</v>
      </c>
      <c r="V59" s="19" t="s">
        <v>9</v>
      </c>
      <c r="W59" s="241"/>
    </row>
    <row r="60" spans="2:23" ht="5.25" customHeight="1" thickTop="1">
      <c r="B60" s="4"/>
      <c r="C60" s="20"/>
      <c r="D60" s="21"/>
      <c r="E60" s="22"/>
      <c r="F60" s="20"/>
      <c r="G60" s="21"/>
      <c r="H60" s="22"/>
      <c r="I60" s="244"/>
      <c r="L60" s="4"/>
      <c r="M60" s="23"/>
      <c r="N60" s="24"/>
      <c r="O60" s="25"/>
      <c r="P60" s="26"/>
      <c r="Q60" s="27"/>
      <c r="R60" s="23"/>
      <c r="S60" s="24"/>
      <c r="T60" s="25"/>
      <c r="U60" s="26"/>
      <c r="V60" s="28"/>
      <c r="W60" s="207"/>
    </row>
    <row r="61" spans="2:23" ht="12.75">
      <c r="B61" s="4" t="s">
        <v>14</v>
      </c>
      <c r="C61" s="29">
        <f aca="true" t="shared" si="26" ref="C61:H63">+C9+C35</f>
        <v>16937</v>
      </c>
      <c r="D61" s="30">
        <f t="shared" si="26"/>
        <v>16933</v>
      </c>
      <c r="E61" s="35">
        <f t="shared" si="26"/>
        <v>33870</v>
      </c>
      <c r="F61" s="29">
        <f t="shared" si="26"/>
        <v>19581</v>
      </c>
      <c r="G61" s="30">
        <f t="shared" si="26"/>
        <v>19631</v>
      </c>
      <c r="H61" s="31">
        <f t="shared" si="26"/>
        <v>39212</v>
      </c>
      <c r="I61" s="256">
        <f aca="true" t="shared" si="27" ref="I61:I78">IF(E61=0,0,((H61/E61)-1)*100)</f>
        <v>15.772069678181278</v>
      </c>
      <c r="L61" s="4" t="s">
        <v>14</v>
      </c>
      <c r="M61" s="29">
        <f aca="true" t="shared" si="28" ref="M61:V61">+M9+M35</f>
        <v>2492207</v>
      </c>
      <c r="N61" s="36">
        <f t="shared" si="28"/>
        <v>2443690</v>
      </c>
      <c r="O61" s="33">
        <f t="shared" si="28"/>
        <v>4935897</v>
      </c>
      <c r="P61" s="34">
        <f t="shared" si="28"/>
        <v>152184</v>
      </c>
      <c r="Q61" s="35">
        <f t="shared" si="28"/>
        <v>5088081</v>
      </c>
      <c r="R61" s="29">
        <f t="shared" si="28"/>
        <v>2666331</v>
      </c>
      <c r="S61" s="36">
        <f t="shared" si="28"/>
        <v>2708637</v>
      </c>
      <c r="T61" s="33">
        <f t="shared" si="28"/>
        <v>5374968</v>
      </c>
      <c r="U61" s="34">
        <f t="shared" si="28"/>
        <v>151025</v>
      </c>
      <c r="V61" s="31">
        <f t="shared" si="28"/>
        <v>5525993</v>
      </c>
      <c r="W61" s="256">
        <f aca="true" t="shared" si="29" ref="W61:W78">IF(Q61=0,0,((V61/Q61)-1)*100)</f>
        <v>8.606623990459262</v>
      </c>
    </row>
    <row r="62" spans="2:23" ht="12.75">
      <c r="B62" s="4" t="s">
        <v>15</v>
      </c>
      <c r="C62" s="29">
        <f t="shared" si="26"/>
        <v>17476</v>
      </c>
      <c r="D62" s="30">
        <f t="shared" si="26"/>
        <v>17490</v>
      </c>
      <c r="E62" s="35">
        <f t="shared" si="26"/>
        <v>34966</v>
      </c>
      <c r="F62" s="29">
        <f t="shared" si="26"/>
        <v>17686</v>
      </c>
      <c r="G62" s="30">
        <f t="shared" si="26"/>
        <v>17689</v>
      </c>
      <c r="H62" s="31">
        <f t="shared" si="26"/>
        <v>35375</v>
      </c>
      <c r="I62" s="256">
        <f t="shared" si="27"/>
        <v>1.1697077160670366</v>
      </c>
      <c r="L62" s="4" t="s">
        <v>15</v>
      </c>
      <c r="M62" s="29">
        <f aca="true" t="shared" si="30" ref="M62:V62">+M10+M36</f>
        <v>2584553</v>
      </c>
      <c r="N62" s="36">
        <f t="shared" si="30"/>
        <v>2478400</v>
      </c>
      <c r="O62" s="33">
        <f t="shared" si="30"/>
        <v>5062953</v>
      </c>
      <c r="P62" s="34">
        <f t="shared" si="30"/>
        <v>131572</v>
      </c>
      <c r="Q62" s="35">
        <f t="shared" si="30"/>
        <v>5194525</v>
      </c>
      <c r="R62" s="29">
        <f t="shared" si="30"/>
        <v>2361151</v>
      </c>
      <c r="S62" s="36">
        <f t="shared" si="30"/>
        <v>2247045</v>
      </c>
      <c r="T62" s="33">
        <f t="shared" si="30"/>
        <v>4608196</v>
      </c>
      <c r="U62" s="34">
        <f t="shared" si="30"/>
        <v>120726</v>
      </c>
      <c r="V62" s="31">
        <f t="shared" si="30"/>
        <v>4728922</v>
      </c>
      <c r="W62" s="256">
        <f t="shared" si="29"/>
        <v>-8.963341210216525</v>
      </c>
    </row>
    <row r="63" spans="2:23" ht="13.5" thickBot="1">
      <c r="B63" s="12" t="s">
        <v>16</v>
      </c>
      <c r="C63" s="37">
        <f t="shared" si="26"/>
        <v>18869</v>
      </c>
      <c r="D63" s="38">
        <f t="shared" si="26"/>
        <v>18852</v>
      </c>
      <c r="E63" s="64">
        <f t="shared" si="26"/>
        <v>37721</v>
      </c>
      <c r="F63" s="37">
        <f t="shared" si="26"/>
        <v>20016</v>
      </c>
      <c r="G63" s="38">
        <f t="shared" si="26"/>
        <v>19989</v>
      </c>
      <c r="H63" s="31">
        <f t="shared" si="26"/>
        <v>40005</v>
      </c>
      <c r="I63" s="256">
        <f t="shared" si="27"/>
        <v>6.054982635667128</v>
      </c>
      <c r="L63" s="12" t="s">
        <v>16</v>
      </c>
      <c r="M63" s="29">
        <f aca="true" t="shared" si="31" ref="M63:V63">+M11+M37</f>
        <v>2921201</v>
      </c>
      <c r="N63" s="36">
        <f t="shared" si="31"/>
        <v>2770401</v>
      </c>
      <c r="O63" s="33">
        <f t="shared" si="31"/>
        <v>5691602</v>
      </c>
      <c r="P63" s="34">
        <f t="shared" si="31"/>
        <v>132944</v>
      </c>
      <c r="Q63" s="35">
        <f t="shared" si="31"/>
        <v>5824546</v>
      </c>
      <c r="R63" s="29">
        <f t="shared" si="31"/>
        <v>3002279</v>
      </c>
      <c r="S63" s="36">
        <f t="shared" si="31"/>
        <v>2793916</v>
      </c>
      <c r="T63" s="33">
        <f t="shared" si="31"/>
        <v>5796195</v>
      </c>
      <c r="U63" s="34">
        <f t="shared" si="31"/>
        <v>126503</v>
      </c>
      <c r="V63" s="31">
        <f t="shared" si="31"/>
        <v>5922698</v>
      </c>
      <c r="W63" s="256">
        <f t="shared" si="29"/>
        <v>1.6851442155319862</v>
      </c>
    </row>
    <row r="64" spans="2:23" ht="14.25" thickBot="1" thickTop="1">
      <c r="B64" s="39" t="s">
        <v>17</v>
      </c>
      <c r="C64" s="40">
        <f>C63+C61+C62</f>
        <v>53282</v>
      </c>
      <c r="D64" s="41">
        <f>D63+D61+D62</f>
        <v>53275</v>
      </c>
      <c r="E64" s="43">
        <f>+E61+E62+E63</f>
        <v>106557</v>
      </c>
      <c r="F64" s="40">
        <f>F63+F61+F62</f>
        <v>57283</v>
      </c>
      <c r="G64" s="41">
        <f>G63+G61+G62</f>
        <v>57309</v>
      </c>
      <c r="H64" s="42">
        <f>+H61+H62+H63</f>
        <v>114592</v>
      </c>
      <c r="I64" s="257">
        <f t="shared" si="27"/>
        <v>7.540565143538203</v>
      </c>
      <c r="L64" s="39" t="s">
        <v>17</v>
      </c>
      <c r="M64" s="40">
        <f aca="true" t="shared" si="32" ref="M64:V64">+M61+M62+M63</f>
        <v>7997961</v>
      </c>
      <c r="N64" s="41">
        <f t="shared" si="32"/>
        <v>7692491</v>
      </c>
      <c r="O64" s="40">
        <f t="shared" si="32"/>
        <v>15690452</v>
      </c>
      <c r="P64" s="40">
        <f t="shared" si="32"/>
        <v>416700</v>
      </c>
      <c r="Q64" s="40">
        <f t="shared" si="32"/>
        <v>16107152</v>
      </c>
      <c r="R64" s="40">
        <f t="shared" si="32"/>
        <v>8029761</v>
      </c>
      <c r="S64" s="41">
        <f t="shared" si="32"/>
        <v>7749598</v>
      </c>
      <c r="T64" s="40">
        <f t="shared" si="32"/>
        <v>15779359</v>
      </c>
      <c r="U64" s="40">
        <f t="shared" si="32"/>
        <v>398254</v>
      </c>
      <c r="V64" s="42">
        <f t="shared" si="32"/>
        <v>16177613</v>
      </c>
      <c r="W64" s="257">
        <f t="shared" si="29"/>
        <v>0.4374516363910841</v>
      </c>
    </row>
    <row r="65" spans="2:23" ht="13.5" thickTop="1">
      <c r="B65" s="4" t="s">
        <v>18</v>
      </c>
      <c r="C65" s="29">
        <f aca="true" t="shared" si="33" ref="C65:H67">+C13+C39</f>
        <v>19034</v>
      </c>
      <c r="D65" s="30">
        <f t="shared" si="33"/>
        <v>19034</v>
      </c>
      <c r="E65" s="35">
        <f t="shared" si="33"/>
        <v>38068</v>
      </c>
      <c r="F65" s="29">
        <f t="shared" si="33"/>
        <v>21244</v>
      </c>
      <c r="G65" s="30">
        <f t="shared" si="33"/>
        <v>21240</v>
      </c>
      <c r="H65" s="31">
        <f t="shared" si="33"/>
        <v>42484</v>
      </c>
      <c r="I65" s="256">
        <f t="shared" si="27"/>
        <v>11.600294210360417</v>
      </c>
      <c r="L65" s="4" t="s">
        <v>18</v>
      </c>
      <c r="M65" s="29">
        <f aca="true" t="shared" si="34" ref="M65:V65">+M13+M39</f>
        <v>3036518</v>
      </c>
      <c r="N65" s="36">
        <f t="shared" si="34"/>
        <v>2990884</v>
      </c>
      <c r="O65" s="33">
        <f t="shared" si="34"/>
        <v>6027402</v>
      </c>
      <c r="P65" s="34">
        <f t="shared" si="34"/>
        <v>129391</v>
      </c>
      <c r="Q65" s="35">
        <f t="shared" si="34"/>
        <v>6156793</v>
      </c>
      <c r="R65" s="29">
        <f t="shared" si="34"/>
        <v>3311014</v>
      </c>
      <c r="S65" s="36">
        <f t="shared" si="34"/>
        <v>3275601</v>
      </c>
      <c r="T65" s="33">
        <f t="shared" si="34"/>
        <v>6586615</v>
      </c>
      <c r="U65" s="34">
        <f t="shared" si="34"/>
        <v>131191</v>
      </c>
      <c r="V65" s="31">
        <f t="shared" si="34"/>
        <v>6717806</v>
      </c>
      <c r="W65" s="256">
        <f t="shared" si="29"/>
        <v>9.11209780806339</v>
      </c>
    </row>
    <row r="66" spans="2:23" ht="12.75">
      <c r="B66" s="4" t="s">
        <v>19</v>
      </c>
      <c r="C66" s="29">
        <f t="shared" si="33"/>
        <v>17987</v>
      </c>
      <c r="D66" s="30">
        <f t="shared" si="33"/>
        <v>18002</v>
      </c>
      <c r="E66" s="35">
        <f t="shared" si="33"/>
        <v>35989</v>
      </c>
      <c r="F66" s="29">
        <f t="shared" si="33"/>
        <v>19528</v>
      </c>
      <c r="G66" s="30">
        <f t="shared" si="33"/>
        <v>19502</v>
      </c>
      <c r="H66" s="31">
        <f t="shared" si="33"/>
        <v>39030</v>
      </c>
      <c r="I66" s="256">
        <f t="shared" si="27"/>
        <v>8.449804106810422</v>
      </c>
      <c r="L66" s="4" t="s">
        <v>19</v>
      </c>
      <c r="M66" s="29">
        <f aca="true" t="shared" si="35" ref="M66:V66">+M14+M40</f>
        <v>2849146</v>
      </c>
      <c r="N66" s="36">
        <f t="shared" si="35"/>
        <v>2900782</v>
      </c>
      <c r="O66" s="33">
        <f t="shared" si="35"/>
        <v>5749928</v>
      </c>
      <c r="P66" s="34">
        <f t="shared" si="35"/>
        <v>104870</v>
      </c>
      <c r="Q66" s="35">
        <f t="shared" si="35"/>
        <v>5854798</v>
      </c>
      <c r="R66" s="29">
        <f t="shared" si="35"/>
        <v>3064925</v>
      </c>
      <c r="S66" s="36">
        <f t="shared" si="35"/>
        <v>3119747</v>
      </c>
      <c r="T66" s="33">
        <f t="shared" si="35"/>
        <v>6184672</v>
      </c>
      <c r="U66" s="34">
        <f t="shared" si="35"/>
        <v>111115</v>
      </c>
      <c r="V66" s="31">
        <f t="shared" si="35"/>
        <v>6295787</v>
      </c>
      <c r="W66" s="256">
        <f t="shared" si="29"/>
        <v>7.532095898099311</v>
      </c>
    </row>
    <row r="67" spans="2:23" ht="13.5" thickBot="1">
      <c r="B67" s="4" t="s">
        <v>20</v>
      </c>
      <c r="C67" s="68">
        <f t="shared" si="33"/>
        <v>19724</v>
      </c>
      <c r="D67" s="36">
        <f t="shared" si="33"/>
        <v>19726</v>
      </c>
      <c r="E67" s="69">
        <f t="shared" si="33"/>
        <v>39450</v>
      </c>
      <c r="F67" s="29">
        <f t="shared" si="33"/>
        <v>21192</v>
      </c>
      <c r="G67" s="30">
        <f t="shared" si="33"/>
        <v>21187</v>
      </c>
      <c r="H67" s="31">
        <f t="shared" si="33"/>
        <v>42379</v>
      </c>
      <c r="I67" s="256">
        <f t="shared" si="27"/>
        <v>7.424588086185047</v>
      </c>
      <c r="L67" s="4" t="s">
        <v>20</v>
      </c>
      <c r="M67" s="68">
        <f aca="true" t="shared" si="36" ref="M67:V67">+M15+M41</f>
        <v>2890034</v>
      </c>
      <c r="N67" s="92">
        <f t="shared" si="36"/>
        <v>3007764</v>
      </c>
      <c r="O67" s="33">
        <f t="shared" si="36"/>
        <v>5897798</v>
      </c>
      <c r="P67" s="34">
        <f t="shared" si="36"/>
        <v>129420</v>
      </c>
      <c r="Q67" s="35">
        <f t="shared" si="36"/>
        <v>6027218</v>
      </c>
      <c r="R67" s="29">
        <f t="shared" si="36"/>
        <v>3192776</v>
      </c>
      <c r="S67" s="36">
        <f t="shared" si="36"/>
        <v>3294197</v>
      </c>
      <c r="T67" s="33">
        <f t="shared" si="36"/>
        <v>6486973</v>
      </c>
      <c r="U67" s="34">
        <f t="shared" si="36"/>
        <v>121834</v>
      </c>
      <c r="V67" s="31">
        <f t="shared" si="36"/>
        <v>6608807</v>
      </c>
      <c r="W67" s="256">
        <f t="shared" si="29"/>
        <v>9.649377208523081</v>
      </c>
    </row>
    <row r="68" spans="2:23" ht="14.25" thickBot="1" thickTop="1">
      <c r="B68" s="44" t="s">
        <v>21</v>
      </c>
      <c r="C68" s="76">
        <f aca="true" t="shared" si="37" ref="C68:H68">C66+C65+C67</f>
        <v>56745</v>
      </c>
      <c r="D68" s="77">
        <f t="shared" si="37"/>
        <v>56762</v>
      </c>
      <c r="E68" s="78">
        <f t="shared" si="37"/>
        <v>113507</v>
      </c>
      <c r="F68" s="76">
        <f t="shared" si="37"/>
        <v>61964</v>
      </c>
      <c r="G68" s="77">
        <f t="shared" si="37"/>
        <v>61929</v>
      </c>
      <c r="H68" s="78">
        <f t="shared" si="37"/>
        <v>123893</v>
      </c>
      <c r="I68" s="257">
        <f>IF(E68=0,0,((H68/E68)-1)*100)</f>
        <v>9.150096469821234</v>
      </c>
      <c r="L68" s="44" t="s">
        <v>21</v>
      </c>
      <c r="M68" s="40">
        <f aca="true" t="shared" si="38" ref="M68:V68">M66+M65+M67</f>
        <v>8775698</v>
      </c>
      <c r="N68" s="41">
        <f t="shared" si="38"/>
        <v>8899430</v>
      </c>
      <c r="O68" s="40">
        <f t="shared" si="38"/>
        <v>17675128</v>
      </c>
      <c r="P68" s="40">
        <f t="shared" si="38"/>
        <v>363681</v>
      </c>
      <c r="Q68" s="40">
        <f t="shared" si="38"/>
        <v>18038809</v>
      </c>
      <c r="R68" s="40">
        <f t="shared" si="38"/>
        <v>9568715</v>
      </c>
      <c r="S68" s="41">
        <f t="shared" si="38"/>
        <v>9689545</v>
      </c>
      <c r="T68" s="40">
        <f t="shared" si="38"/>
        <v>19258260</v>
      </c>
      <c r="U68" s="40">
        <f t="shared" si="38"/>
        <v>364140</v>
      </c>
      <c r="V68" s="42">
        <f t="shared" si="38"/>
        <v>19622400</v>
      </c>
      <c r="W68" s="257">
        <f>IF(Q68=0,0,((V68/Q68)-1)*100)</f>
        <v>8.778800196842273</v>
      </c>
    </row>
    <row r="69" spans="2:23" ht="13.5" thickTop="1">
      <c r="B69" s="4" t="s">
        <v>22</v>
      </c>
      <c r="C69" s="29">
        <f aca="true" t="shared" si="39" ref="C69:H69">+C17+C43</f>
        <v>19194</v>
      </c>
      <c r="D69" s="30">
        <f t="shared" si="39"/>
        <v>19199</v>
      </c>
      <c r="E69" s="35">
        <f t="shared" si="39"/>
        <v>38393</v>
      </c>
      <c r="F69" s="29">
        <f t="shared" si="39"/>
        <v>20650</v>
      </c>
      <c r="G69" s="30">
        <f t="shared" si="39"/>
        <v>20645</v>
      </c>
      <c r="H69" s="35">
        <f t="shared" si="39"/>
        <v>41295</v>
      </c>
      <c r="I69" s="256">
        <f t="shared" si="27"/>
        <v>7.558669549136554</v>
      </c>
      <c r="L69" s="4" t="s">
        <v>22</v>
      </c>
      <c r="M69" s="29">
        <f aca="true" t="shared" si="40" ref="M69:V69">+M17+M43</f>
        <v>2714255</v>
      </c>
      <c r="N69" s="36">
        <f t="shared" si="40"/>
        <v>2748683</v>
      </c>
      <c r="O69" s="33">
        <f t="shared" si="40"/>
        <v>5462938</v>
      </c>
      <c r="P69" s="34">
        <f t="shared" si="40"/>
        <v>133568</v>
      </c>
      <c r="Q69" s="35">
        <f t="shared" si="40"/>
        <v>5596506</v>
      </c>
      <c r="R69" s="29">
        <f t="shared" si="40"/>
        <v>3089256</v>
      </c>
      <c r="S69" s="36">
        <f t="shared" si="40"/>
        <v>3140347</v>
      </c>
      <c r="T69" s="33">
        <f t="shared" si="40"/>
        <v>6229603</v>
      </c>
      <c r="U69" s="34">
        <f t="shared" si="40"/>
        <v>105155</v>
      </c>
      <c r="V69" s="31">
        <f t="shared" si="40"/>
        <v>6334758</v>
      </c>
      <c r="W69" s="256">
        <f t="shared" si="29"/>
        <v>13.191301858695414</v>
      </c>
    </row>
    <row r="70" spans="2:23" ht="12.75">
      <c r="B70" s="4" t="s">
        <v>23</v>
      </c>
      <c r="C70" s="29">
        <f aca="true" t="shared" si="41" ref="C70:E71">+C18+C44</f>
        <v>18304</v>
      </c>
      <c r="D70" s="30">
        <f t="shared" si="41"/>
        <v>18292</v>
      </c>
      <c r="E70" s="35">
        <f t="shared" si="41"/>
        <v>36596</v>
      </c>
      <c r="F70" s="29">
        <f>+BKK!F70+DMK!F70+CNX!F70+HDY!F70+HKT!F70+CEI!F70</f>
        <v>19997</v>
      </c>
      <c r="G70" s="30">
        <f>+BKK!G70+DMK!G70+CNX!G70+HDY!G70+HKT!G70+CEI!G70</f>
        <v>19988</v>
      </c>
      <c r="H70" s="31">
        <f>+BKK!H70+DMK!H70+CNX!H70+HDY!H70+HKT!H70+CEI!H70</f>
        <v>39985</v>
      </c>
      <c r="I70" s="256">
        <f t="shared" si="27"/>
        <v>9.260574926221455</v>
      </c>
      <c r="L70" s="4" t="s">
        <v>23</v>
      </c>
      <c r="M70" s="29">
        <f aca="true" t="shared" si="42" ref="M70:Q71">+M18+M44</f>
        <v>2412920</v>
      </c>
      <c r="N70" s="36">
        <f t="shared" si="42"/>
        <v>2476936</v>
      </c>
      <c r="O70" s="33">
        <f t="shared" si="42"/>
        <v>4889856</v>
      </c>
      <c r="P70" s="34">
        <f t="shared" si="42"/>
        <v>136423</v>
      </c>
      <c r="Q70" s="35">
        <f t="shared" si="42"/>
        <v>5026279</v>
      </c>
      <c r="R70" s="29">
        <f>+BKK!R70+DMK!R70+CNX!R70+HDY!R70+HKT!R70+CEI!R70</f>
        <v>2724101</v>
      </c>
      <c r="S70" s="36">
        <f>+BKK!S70+DMK!S70+CNX!S70+HDY!S70+HKT!S70+CEI!S70</f>
        <v>2773719</v>
      </c>
      <c r="T70" s="33">
        <f>+BKK!T70+DMK!T70+CNX!T70+HDY!T70+HKT!T70+CEI!T70</f>
        <v>5497820</v>
      </c>
      <c r="U70" s="34">
        <f>+BKK!U70+DMK!U70+CNX!U70+HDY!U70+HKT!U70+CEI!U70</f>
        <v>111269</v>
      </c>
      <c r="V70" s="31">
        <f>+BKK!V70+DMK!V70+CNX!V70+HDY!V70+HKT!V70+CEI!V70</f>
        <v>5609089</v>
      </c>
      <c r="W70" s="256">
        <f t="shared" si="29"/>
        <v>11.595257644870083</v>
      </c>
    </row>
    <row r="71" spans="2:23" ht="13.5" thickBot="1">
      <c r="B71" s="4" t="s">
        <v>24</v>
      </c>
      <c r="C71" s="29">
        <f t="shared" si="41"/>
        <v>17444</v>
      </c>
      <c r="D71" s="30">
        <f t="shared" si="41"/>
        <v>17441</v>
      </c>
      <c r="E71" s="35">
        <f t="shared" si="41"/>
        <v>34885</v>
      </c>
      <c r="F71" s="29">
        <f>+BKK!F71+DMK!F71+CNX!F71+HDY!F71+HKT!F71+CEI!F71</f>
        <v>19053</v>
      </c>
      <c r="G71" s="30">
        <f>+BKK!G71+DMK!G71+CNX!G71+HDY!G71+HKT!G71+CEI!G71</f>
        <v>19062</v>
      </c>
      <c r="H71" s="31">
        <f>+BKK!H71+DMK!H71+CNX!H71+HDY!H71+HKT!H71+CEI!H71</f>
        <v>38115</v>
      </c>
      <c r="I71" s="256">
        <f t="shared" si="27"/>
        <v>9.258993836892637</v>
      </c>
      <c r="L71" s="4" t="s">
        <v>24</v>
      </c>
      <c r="M71" s="29">
        <f t="shared" si="42"/>
        <v>2379894</v>
      </c>
      <c r="N71" s="36">
        <f t="shared" si="42"/>
        <v>2313973</v>
      </c>
      <c r="O71" s="33">
        <f t="shared" si="42"/>
        <v>4693867</v>
      </c>
      <c r="P71" s="34">
        <f t="shared" si="42"/>
        <v>142157</v>
      </c>
      <c r="Q71" s="35">
        <f t="shared" si="42"/>
        <v>4836024</v>
      </c>
      <c r="R71" s="29">
        <f>+BKK!R71+DMK!R71+CNX!R71+HDY!R71+HKT!R71+CEI!R71</f>
        <v>2718126</v>
      </c>
      <c r="S71" s="36">
        <f>+BKK!S71+DMK!S71+CNX!S71+HDY!S71+HKT!S71+CEI!S71</f>
        <v>2639019</v>
      </c>
      <c r="T71" s="51">
        <f>+BKK!T71+DMK!T71+CNX!T71+HDY!T71+HKT!T71+CEI!T71</f>
        <v>5357145</v>
      </c>
      <c r="U71" s="52">
        <f>+BKK!U71+DMK!U71+CNX!U71+HDY!U71+HKT!U71+CEI!U71</f>
        <v>115961</v>
      </c>
      <c r="V71" s="31">
        <f>+BKK!V71+DMK!V71+CNX!V71+HDY!V71+HKT!V71+CEI!V71</f>
        <v>5473106</v>
      </c>
      <c r="W71" s="256">
        <f t="shared" si="29"/>
        <v>13.173673248933415</v>
      </c>
    </row>
    <row r="72" spans="2:23" ht="14.25" thickBot="1" thickTop="1">
      <c r="B72" s="44" t="s">
        <v>25</v>
      </c>
      <c r="C72" s="45">
        <f aca="true" t="shared" si="43" ref="C72:H72">+C69+C70+C71</f>
        <v>54942</v>
      </c>
      <c r="D72" s="45">
        <f t="shared" si="43"/>
        <v>54932</v>
      </c>
      <c r="E72" s="49">
        <f t="shared" si="43"/>
        <v>109874</v>
      </c>
      <c r="F72" s="40">
        <f t="shared" si="43"/>
        <v>59700</v>
      </c>
      <c r="G72" s="53">
        <f t="shared" si="43"/>
        <v>59695</v>
      </c>
      <c r="H72" s="53">
        <f t="shared" si="43"/>
        <v>119395</v>
      </c>
      <c r="I72" s="257">
        <f t="shared" si="27"/>
        <v>8.665380344758544</v>
      </c>
      <c r="L72" s="44" t="s">
        <v>25</v>
      </c>
      <c r="M72" s="45">
        <f aca="true" t="shared" si="44" ref="M72:V72">+M69+M70+M71</f>
        <v>7507069</v>
      </c>
      <c r="N72" s="45">
        <f t="shared" si="44"/>
        <v>7539592</v>
      </c>
      <c r="O72" s="47">
        <f t="shared" si="44"/>
        <v>15046661</v>
      </c>
      <c r="P72" s="47">
        <f t="shared" si="44"/>
        <v>412148</v>
      </c>
      <c r="Q72" s="47">
        <f t="shared" si="44"/>
        <v>15458809</v>
      </c>
      <c r="R72" s="45">
        <f t="shared" si="44"/>
        <v>8531483</v>
      </c>
      <c r="S72" s="45">
        <f t="shared" si="44"/>
        <v>8553085</v>
      </c>
      <c r="T72" s="47">
        <f t="shared" si="44"/>
        <v>17084568</v>
      </c>
      <c r="U72" s="47">
        <f t="shared" si="44"/>
        <v>332385</v>
      </c>
      <c r="V72" s="47">
        <f t="shared" si="44"/>
        <v>17416953</v>
      </c>
      <c r="W72" s="257">
        <f t="shared" si="29"/>
        <v>12.666849043804085</v>
      </c>
    </row>
    <row r="73" spans="2:23" ht="13.5" thickTop="1">
      <c r="B73" s="4" t="s">
        <v>27</v>
      </c>
      <c r="C73" s="29">
        <f aca="true" t="shared" si="45" ref="C73:E75">+C21+C47</f>
        <v>18648</v>
      </c>
      <c r="D73" s="30">
        <f t="shared" si="45"/>
        <v>18646</v>
      </c>
      <c r="E73" s="67">
        <f t="shared" si="45"/>
        <v>37294</v>
      </c>
      <c r="F73" s="29">
        <f>+BKK!F73+DMK!F73+CNX!F73+HDY!F73+HKT!F73+CEI!F73</f>
        <v>20552</v>
      </c>
      <c r="G73" s="30">
        <f>+BKK!G73+DMK!G73+CNX!G73+HDY!G73+HKT!G73+CEI!G73</f>
        <v>20553</v>
      </c>
      <c r="H73" s="31">
        <f>+BKK!H73+DMK!H73+CNX!H73+HDY!H73+HKT!H73+CEI!H73</f>
        <v>41105</v>
      </c>
      <c r="I73" s="256">
        <f t="shared" si="27"/>
        <v>10.218801952056623</v>
      </c>
      <c r="L73" s="4" t="s">
        <v>27</v>
      </c>
      <c r="M73" s="29">
        <f aca="true" t="shared" si="46" ref="M73:Q75">+M21+M47</f>
        <v>2837283</v>
      </c>
      <c r="N73" s="36">
        <f t="shared" si="46"/>
        <v>2777248</v>
      </c>
      <c r="O73" s="33">
        <f t="shared" si="46"/>
        <v>5614531</v>
      </c>
      <c r="P73" s="34">
        <f t="shared" si="46"/>
        <v>159024</v>
      </c>
      <c r="Q73" s="35">
        <f t="shared" si="46"/>
        <v>5773555</v>
      </c>
      <c r="R73" s="29">
        <f>+BKK!R73+DMK!R73+CNX!R73+HDY!R73+HKT!R73+CEI!R73</f>
        <v>3038432</v>
      </c>
      <c r="S73" s="36">
        <f>+BKK!S73+DMK!S73+CNX!S73+HDY!S73+HKT!S73+CEI!S73</f>
        <v>3006136</v>
      </c>
      <c r="T73" s="51">
        <f>+BKK!T73+DMK!T73+CNX!T73+HDY!T73+HKT!T73+CEI!T73</f>
        <v>6044568</v>
      </c>
      <c r="U73" s="59">
        <f>+BKK!U73+DMK!U73+CNX!U73+HDY!U73+HKT!U73+CEI!U73</f>
        <v>128782</v>
      </c>
      <c r="V73" s="31">
        <f>+BKK!V73+DMK!V73+CNX!V73+HDY!V73+HKT!V73+CEI!V73</f>
        <v>6173350</v>
      </c>
      <c r="W73" s="256">
        <f t="shared" si="29"/>
        <v>6.924589789133395</v>
      </c>
    </row>
    <row r="74" spans="2:23" ht="12.75">
      <c r="B74" s="4" t="s">
        <v>28</v>
      </c>
      <c r="C74" s="29">
        <f t="shared" si="45"/>
        <v>19189</v>
      </c>
      <c r="D74" s="30">
        <f t="shared" si="45"/>
        <v>19189</v>
      </c>
      <c r="E74" s="35">
        <f t="shared" si="45"/>
        <v>38378</v>
      </c>
      <c r="F74" s="29">
        <f>+F22+F48</f>
        <v>20811</v>
      </c>
      <c r="G74" s="30">
        <f>+G22+G48</f>
        <v>20792</v>
      </c>
      <c r="H74" s="31">
        <f>+H22+H48</f>
        <v>41603</v>
      </c>
      <c r="I74" s="256">
        <f>IF(E74=0,0,((H74/E74)-1)*100)</f>
        <v>8.403251863046535</v>
      </c>
      <c r="L74" s="4" t="s">
        <v>28</v>
      </c>
      <c r="M74" s="29">
        <f t="shared" si="46"/>
        <v>2778590</v>
      </c>
      <c r="N74" s="36">
        <f t="shared" si="46"/>
        <v>2828011</v>
      </c>
      <c r="O74" s="33">
        <f t="shared" si="46"/>
        <v>5606601</v>
      </c>
      <c r="P74" s="34">
        <f t="shared" si="46"/>
        <v>150241</v>
      </c>
      <c r="Q74" s="35">
        <f t="shared" si="46"/>
        <v>5756842</v>
      </c>
      <c r="R74" s="29">
        <f>+R22+R48</f>
        <v>3174125</v>
      </c>
      <c r="S74" s="36">
        <f>+S22+S48</f>
        <v>3211775</v>
      </c>
      <c r="T74" s="33">
        <f>+T22+T48</f>
        <v>6385900</v>
      </c>
      <c r="U74" s="34">
        <f>+U22+U48</f>
        <v>115971</v>
      </c>
      <c r="V74" s="31">
        <f>+V22+V48</f>
        <v>6501871</v>
      </c>
      <c r="W74" s="256">
        <f>IF(Q74=0,0,((V74/Q74)-1)*100)</f>
        <v>12.94162667657024</v>
      </c>
    </row>
    <row r="75" spans="2:23" ht="13.5" thickBot="1">
      <c r="B75" s="4" t="s">
        <v>29</v>
      </c>
      <c r="C75" s="29">
        <f t="shared" si="45"/>
        <v>17916</v>
      </c>
      <c r="D75" s="30">
        <f t="shared" si="45"/>
        <v>17914</v>
      </c>
      <c r="E75" s="35">
        <f t="shared" si="45"/>
        <v>35830</v>
      </c>
      <c r="F75" s="29">
        <f>+BKK!F75+DMK!F75+CNX!F75+HDY!F75+HKT!F75+CEI!F75</f>
        <v>19874</v>
      </c>
      <c r="G75" s="30">
        <f>+BKK!G75+DMK!G75+CNX!G75+HDY!G75+HKT!G75+CEI!G75</f>
        <v>19873</v>
      </c>
      <c r="H75" s="31">
        <f>+BKK!H75+DMK!H75+CNX!H75+HDY!H75+HKT!H75+CEI!H75</f>
        <v>39747</v>
      </c>
      <c r="I75" s="256">
        <f t="shared" si="27"/>
        <v>10.932179737650017</v>
      </c>
      <c r="L75" s="4" t="s">
        <v>29</v>
      </c>
      <c r="M75" s="29">
        <f t="shared" si="46"/>
        <v>2498419</v>
      </c>
      <c r="N75" s="36">
        <f t="shared" si="46"/>
        <v>2510895</v>
      </c>
      <c r="O75" s="33">
        <f t="shared" si="46"/>
        <v>5009314</v>
      </c>
      <c r="P75" s="34">
        <f t="shared" si="46"/>
        <v>156185</v>
      </c>
      <c r="Q75" s="35">
        <f t="shared" si="46"/>
        <v>5165499</v>
      </c>
      <c r="R75" s="29">
        <f>+BKK!R75+DMK!R75+CNX!R75+HDY!R75+HKT!R75+CEI!R75</f>
        <v>2748657</v>
      </c>
      <c r="S75" s="36">
        <f>+BKK!S75+DMK!S75+CNX!S75+HDY!S75+HKT!S75+CEI!S75</f>
        <v>2758918</v>
      </c>
      <c r="T75" s="33">
        <f>+BKK!T75+DMK!T75+CNX!T75+HDY!T75+HKT!T75+CEI!T75</f>
        <v>5507575</v>
      </c>
      <c r="U75" s="34">
        <f>+BKK!U75+DMK!U75+CNX!U75+HDY!U75+HKT!U75+CEI!U75</f>
        <v>121542</v>
      </c>
      <c r="V75" s="31">
        <f>+BKK!V75+DMK!V75+CNX!V75+HDY!V75+HKT!V75+CEI!V75</f>
        <v>5629117</v>
      </c>
      <c r="W75" s="256">
        <f t="shared" si="29"/>
        <v>8.975280026189147</v>
      </c>
    </row>
    <row r="76" spans="2:23" ht="14.25" thickBot="1" thickTop="1">
      <c r="B76" s="39" t="s">
        <v>30</v>
      </c>
      <c r="C76" s="40">
        <f aca="true" t="shared" si="47" ref="C76:H76">+C73+C74+C75</f>
        <v>55753</v>
      </c>
      <c r="D76" s="41">
        <f t="shared" si="47"/>
        <v>55749</v>
      </c>
      <c r="E76" s="40">
        <f t="shared" si="47"/>
        <v>111502</v>
      </c>
      <c r="F76" s="40">
        <f t="shared" si="47"/>
        <v>61237</v>
      </c>
      <c r="G76" s="41">
        <f t="shared" si="47"/>
        <v>61218</v>
      </c>
      <c r="H76" s="40">
        <f t="shared" si="47"/>
        <v>122455</v>
      </c>
      <c r="I76" s="257">
        <f t="shared" si="27"/>
        <v>9.82314218579039</v>
      </c>
      <c r="L76" s="39" t="s">
        <v>30</v>
      </c>
      <c r="M76" s="40">
        <f aca="true" t="shared" si="48" ref="M76:V76">+M73+M74+M75</f>
        <v>8114292</v>
      </c>
      <c r="N76" s="41">
        <f t="shared" si="48"/>
        <v>8116154</v>
      </c>
      <c r="O76" s="40">
        <f t="shared" si="48"/>
        <v>16230446</v>
      </c>
      <c r="P76" s="40">
        <f t="shared" si="48"/>
        <v>465450</v>
      </c>
      <c r="Q76" s="40">
        <f t="shared" si="48"/>
        <v>16695896</v>
      </c>
      <c r="R76" s="40">
        <f t="shared" si="48"/>
        <v>8961214</v>
      </c>
      <c r="S76" s="41">
        <f t="shared" si="48"/>
        <v>8976829</v>
      </c>
      <c r="T76" s="40">
        <f t="shared" si="48"/>
        <v>17938043</v>
      </c>
      <c r="U76" s="40">
        <f t="shared" si="48"/>
        <v>366295</v>
      </c>
      <c r="V76" s="40">
        <f t="shared" si="48"/>
        <v>18304338</v>
      </c>
      <c r="W76" s="257">
        <f t="shared" si="29"/>
        <v>9.63375670284481</v>
      </c>
    </row>
    <row r="77" spans="2:23" ht="14.25" thickBot="1" thickTop="1">
      <c r="B77" s="39" t="s">
        <v>66</v>
      </c>
      <c r="C77" s="76">
        <f aca="true" t="shared" si="49" ref="C77:H77">+C68+C72+C76</f>
        <v>167440</v>
      </c>
      <c r="D77" s="77">
        <f t="shared" si="49"/>
        <v>167443</v>
      </c>
      <c r="E77" s="78">
        <f t="shared" si="49"/>
        <v>334883</v>
      </c>
      <c r="F77" s="76">
        <f t="shared" si="49"/>
        <v>182901</v>
      </c>
      <c r="G77" s="77">
        <f t="shared" si="49"/>
        <v>182842</v>
      </c>
      <c r="H77" s="78">
        <f t="shared" si="49"/>
        <v>365743</v>
      </c>
      <c r="I77" s="257">
        <f t="shared" si="27"/>
        <v>9.21515872707781</v>
      </c>
      <c r="L77" s="39" t="s">
        <v>66</v>
      </c>
      <c r="M77" s="40">
        <f aca="true" t="shared" si="50" ref="M77:V77">+M68+M72+M76</f>
        <v>24397059</v>
      </c>
      <c r="N77" s="41">
        <f t="shared" si="50"/>
        <v>24555176</v>
      </c>
      <c r="O77" s="40">
        <f t="shared" si="50"/>
        <v>48952235</v>
      </c>
      <c r="P77" s="40">
        <f t="shared" si="50"/>
        <v>1241279</v>
      </c>
      <c r="Q77" s="40">
        <f t="shared" si="50"/>
        <v>50193514</v>
      </c>
      <c r="R77" s="40">
        <f t="shared" si="50"/>
        <v>27061412</v>
      </c>
      <c r="S77" s="41">
        <f t="shared" si="50"/>
        <v>27219459</v>
      </c>
      <c r="T77" s="40">
        <f t="shared" si="50"/>
        <v>54280871</v>
      </c>
      <c r="U77" s="40">
        <f t="shared" si="50"/>
        <v>1062820</v>
      </c>
      <c r="V77" s="42">
        <f t="shared" si="50"/>
        <v>55343691</v>
      </c>
      <c r="W77" s="257">
        <f t="shared" si="29"/>
        <v>10.260642440774316</v>
      </c>
    </row>
    <row r="78" spans="2:23" ht="14.25" thickBot="1" thickTop="1">
      <c r="B78" s="39" t="s">
        <v>9</v>
      </c>
      <c r="C78" s="40">
        <f aca="true" t="shared" si="51" ref="C78:H78">+C68+C72+C76+C64</f>
        <v>220722</v>
      </c>
      <c r="D78" s="41">
        <f t="shared" si="51"/>
        <v>220718</v>
      </c>
      <c r="E78" s="40">
        <f t="shared" si="51"/>
        <v>441440</v>
      </c>
      <c r="F78" s="40">
        <f t="shared" si="51"/>
        <v>240184</v>
      </c>
      <c r="G78" s="41">
        <f t="shared" si="51"/>
        <v>240151</v>
      </c>
      <c r="H78" s="40">
        <f t="shared" si="51"/>
        <v>480335</v>
      </c>
      <c r="I78" s="257">
        <f t="shared" si="27"/>
        <v>8.81093693367161</v>
      </c>
      <c r="L78" s="39" t="s">
        <v>9</v>
      </c>
      <c r="M78" s="40">
        <f aca="true" t="shared" si="52" ref="M78:V78">+M68+M72+M76+M64</f>
        <v>32395020</v>
      </c>
      <c r="N78" s="41">
        <f t="shared" si="52"/>
        <v>32247667</v>
      </c>
      <c r="O78" s="40">
        <f t="shared" si="52"/>
        <v>64642687</v>
      </c>
      <c r="P78" s="40">
        <f t="shared" si="52"/>
        <v>1657979</v>
      </c>
      <c r="Q78" s="40">
        <f t="shared" si="52"/>
        <v>66300666</v>
      </c>
      <c r="R78" s="40">
        <f t="shared" si="52"/>
        <v>35091173</v>
      </c>
      <c r="S78" s="41">
        <f t="shared" si="52"/>
        <v>34969057</v>
      </c>
      <c r="T78" s="40">
        <f t="shared" si="52"/>
        <v>70060230</v>
      </c>
      <c r="U78" s="40">
        <f t="shared" si="52"/>
        <v>1461074</v>
      </c>
      <c r="V78" s="40">
        <f t="shared" si="52"/>
        <v>71521304</v>
      </c>
      <c r="W78" s="257">
        <f t="shared" si="29"/>
        <v>7.874186361868518</v>
      </c>
    </row>
    <row r="79" spans="2:12" ht="13.5" thickTop="1">
      <c r="B79" s="63" t="s">
        <v>64</v>
      </c>
      <c r="L79" s="63" t="s">
        <v>64</v>
      </c>
    </row>
    <row r="80" spans="12:23" ht="12.75">
      <c r="L80" s="336" t="s">
        <v>41</v>
      </c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</row>
    <row r="81" spans="12:23" ht="15.75">
      <c r="L81" s="337" t="s">
        <v>42</v>
      </c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ht="13.5" thickBot="1">
      <c r="W82" s="242" t="s">
        <v>43</v>
      </c>
    </row>
    <row r="83" spans="12:23" ht="17.25" thickBot="1" thickTop="1">
      <c r="L83" s="3"/>
      <c r="M83" s="347" t="s">
        <v>67</v>
      </c>
      <c r="N83" s="348"/>
      <c r="O83" s="348"/>
      <c r="P83" s="348"/>
      <c r="Q83" s="349"/>
      <c r="R83" s="338" t="s">
        <v>68</v>
      </c>
      <c r="S83" s="339"/>
      <c r="T83" s="339"/>
      <c r="U83" s="339"/>
      <c r="V83" s="340"/>
      <c r="W83" s="239" t="s">
        <v>4</v>
      </c>
    </row>
    <row r="84" spans="12:23" ht="13.5" thickTop="1">
      <c r="L84" s="4" t="s">
        <v>5</v>
      </c>
      <c r="M84" s="5"/>
      <c r="N84" s="8"/>
      <c r="O84" s="9"/>
      <c r="P84" s="10"/>
      <c r="Q84" s="11"/>
      <c r="R84" s="5"/>
      <c r="S84" s="8"/>
      <c r="T84" s="9"/>
      <c r="U84" s="10"/>
      <c r="V84" s="11"/>
      <c r="W84" s="240" t="s">
        <v>6</v>
      </c>
    </row>
    <row r="85" spans="12:23" ht="13.5" thickBot="1">
      <c r="L85" s="12"/>
      <c r="M85" s="15" t="s">
        <v>44</v>
      </c>
      <c r="N85" s="16" t="s">
        <v>45</v>
      </c>
      <c r="O85" s="17" t="s">
        <v>46</v>
      </c>
      <c r="P85" s="18" t="s">
        <v>13</v>
      </c>
      <c r="Q85" s="19" t="s">
        <v>9</v>
      </c>
      <c r="R85" s="15" t="s">
        <v>44</v>
      </c>
      <c r="S85" s="16" t="s">
        <v>45</v>
      </c>
      <c r="T85" s="17" t="s">
        <v>46</v>
      </c>
      <c r="U85" s="18" t="s">
        <v>13</v>
      </c>
      <c r="V85" s="19" t="s">
        <v>9</v>
      </c>
      <c r="W85" s="241"/>
    </row>
    <row r="86" spans="12:23" ht="4.5" customHeight="1" thickTop="1">
      <c r="L86" s="4"/>
      <c r="M86" s="23"/>
      <c r="N86" s="24"/>
      <c r="O86" s="25"/>
      <c r="P86" s="26"/>
      <c r="Q86" s="27"/>
      <c r="R86" s="23"/>
      <c r="S86" s="24"/>
      <c r="T86" s="25"/>
      <c r="U86" s="214"/>
      <c r="V86" s="131"/>
      <c r="W86" s="207"/>
    </row>
    <row r="87" spans="1:26" ht="12.75">
      <c r="A87" s="70"/>
      <c r="B87" s="70"/>
      <c r="C87" s="70"/>
      <c r="D87" s="70"/>
      <c r="E87" s="70"/>
      <c r="F87" s="70"/>
      <c r="G87" s="70"/>
      <c r="H87" s="70"/>
      <c r="I87" s="247"/>
      <c r="J87" s="70"/>
      <c r="L87" s="4" t="s">
        <v>14</v>
      </c>
      <c r="M87" s="29">
        <f>+BKK!M87+DMK!M87+CNX!M87+HDY!M87+HKT!M87+CEI!M87</f>
        <v>47435</v>
      </c>
      <c r="N87" s="30">
        <f>+BKK!N87+DMK!N87+CNX!N87+HDY!N87+HKT!N87+CEI!N87</f>
        <v>64050</v>
      </c>
      <c r="O87" s="33">
        <f>M87+N87</f>
        <v>111485</v>
      </c>
      <c r="P87" s="127">
        <f>+BKK!P87+DMK!P87+CNX!P87+HDY!P87+HKT!P87+CEI!P87</f>
        <v>2924</v>
      </c>
      <c r="Q87" s="251">
        <f>O87+P87</f>
        <v>114409</v>
      </c>
      <c r="R87" s="29">
        <f>+BKK!R87+DMK!R87+CNX!R87+HDY!R87+HKT!R87+CEI!R87</f>
        <v>47449</v>
      </c>
      <c r="S87" s="30">
        <f>+BKK!S87+DMK!S87+CNX!S87+HDY!S87+HKT!S87+CEI!S87</f>
        <v>57749</v>
      </c>
      <c r="T87" s="33">
        <f>R87+S87</f>
        <v>105198</v>
      </c>
      <c r="U87" s="127">
        <f>+BKK!U87+DMK!U87+CNX!U87+HDY!U87+HKT!U87+CEI!U87</f>
        <v>3050</v>
      </c>
      <c r="V87" s="33">
        <f>T87+U87</f>
        <v>108248</v>
      </c>
      <c r="W87" s="256">
        <f aca="true" t="shared" si="53" ref="W87:W104">IF(Q87=0,0,((V87/Q87)-1)*100)</f>
        <v>-5.385065860203309</v>
      </c>
      <c r="Y87" s="99"/>
      <c r="Z87" s="99"/>
    </row>
    <row r="88" spans="1:23" ht="12.75">
      <c r="A88" s="70"/>
      <c r="B88" s="70"/>
      <c r="C88" s="70"/>
      <c r="D88" s="70"/>
      <c r="E88" s="70"/>
      <c r="F88" s="70"/>
      <c r="G88" s="70"/>
      <c r="H88" s="70"/>
      <c r="I88" s="247"/>
      <c r="J88" s="70"/>
      <c r="L88" s="4" t="s">
        <v>15</v>
      </c>
      <c r="M88" s="29">
        <f>+BKK!M88+DMK!M88+CNX!M88+HDY!M88+HKT!M88+CEI!M88</f>
        <v>46204</v>
      </c>
      <c r="N88" s="30">
        <f>+BKK!N88+DMK!N88+CNX!N88+HDY!N88+HKT!N88+CEI!N88</f>
        <v>64796</v>
      </c>
      <c r="O88" s="33">
        <f>M88+N88</f>
        <v>111000</v>
      </c>
      <c r="P88" s="127">
        <f>+BKK!P88+DMK!P88+CNX!P88+HDY!P88+HKT!P88+CEI!P88</f>
        <v>2779</v>
      </c>
      <c r="Q88" s="251">
        <f>O88+P88</f>
        <v>113779</v>
      </c>
      <c r="R88" s="29">
        <f>+BKK!R88+DMK!R88+CNX!R88+HDY!R88+HKT!R88+CEI!R88</f>
        <v>47775</v>
      </c>
      <c r="S88" s="30">
        <f>+BKK!S88+DMK!S88+CNX!S88+HDY!S88+HKT!S88+CEI!S88</f>
        <v>52349</v>
      </c>
      <c r="T88" s="33">
        <f>R88+S88</f>
        <v>100124</v>
      </c>
      <c r="U88" s="127">
        <f>+BKK!U88+DMK!U88+CNX!U88+HDY!U88+HKT!U88+CEI!U88</f>
        <v>2817</v>
      </c>
      <c r="V88" s="33">
        <f>T88+U88</f>
        <v>102941</v>
      </c>
      <c r="W88" s="256">
        <f t="shared" si="53"/>
        <v>-9.525483612969</v>
      </c>
    </row>
    <row r="89" spans="1:23" ht="13.5" thickBot="1">
      <c r="A89" s="70"/>
      <c r="B89" s="70"/>
      <c r="C89" s="70"/>
      <c r="D89" s="70"/>
      <c r="E89" s="70"/>
      <c r="F89" s="70"/>
      <c r="G89" s="70"/>
      <c r="H89" s="70"/>
      <c r="I89" s="247"/>
      <c r="J89" s="70"/>
      <c r="L89" s="12" t="s">
        <v>16</v>
      </c>
      <c r="M89" s="37">
        <f>+BKK!M89+DMK!M89+CNX!M89+HDY!M89+HKT!M89+CEI!M89</f>
        <v>45516</v>
      </c>
      <c r="N89" s="38">
        <f>+BKK!N89+DMK!N89+CNX!N89+HDY!N89+HKT!N89+CEI!N89</f>
        <v>66150</v>
      </c>
      <c r="O89" s="33">
        <f>M89+N89</f>
        <v>111666</v>
      </c>
      <c r="P89" s="127">
        <f>+BKK!P89+DMK!P89+CNX!P89+HDY!P89+HKT!P89+CEI!P89</f>
        <v>2619</v>
      </c>
      <c r="Q89" s="251">
        <f>O89+P89</f>
        <v>114285</v>
      </c>
      <c r="R89" s="37">
        <f>+BKK!R89+DMK!R89+CNX!R89+HDY!R89+HKT!R89+CEI!R89</f>
        <v>53054</v>
      </c>
      <c r="S89" s="38">
        <f>+BKK!S89+DMK!S89+CNX!S89+HDY!S89+HKT!S89+CEI!S89</f>
        <v>60279</v>
      </c>
      <c r="T89" s="33">
        <f>R89+S89</f>
        <v>113333</v>
      </c>
      <c r="U89" s="127">
        <f>+BKK!U89+DMK!U89+CNX!U89+HDY!U89+HKT!U89+CEI!U89</f>
        <v>2826</v>
      </c>
      <c r="V89" s="33">
        <f>T89+U89</f>
        <v>116159</v>
      </c>
      <c r="W89" s="256">
        <f t="shared" si="53"/>
        <v>1.6397602485015428</v>
      </c>
    </row>
    <row r="90" spans="1:23" ht="14.25" thickBot="1" thickTop="1">
      <c r="A90" s="70"/>
      <c r="B90" s="70"/>
      <c r="C90" s="70"/>
      <c r="D90" s="70"/>
      <c r="E90" s="70"/>
      <c r="F90" s="70"/>
      <c r="G90" s="70"/>
      <c r="H90" s="70"/>
      <c r="I90" s="247"/>
      <c r="J90" s="70"/>
      <c r="L90" s="39" t="s">
        <v>17</v>
      </c>
      <c r="M90" s="40">
        <f aca="true" t="shared" si="54" ref="M90:V90">M89+M88+M87</f>
        <v>139155</v>
      </c>
      <c r="N90" s="41">
        <f t="shared" si="54"/>
        <v>194996</v>
      </c>
      <c r="O90" s="40">
        <f t="shared" si="54"/>
        <v>334151</v>
      </c>
      <c r="P90" s="42">
        <f t="shared" si="54"/>
        <v>8322</v>
      </c>
      <c r="Q90" s="252">
        <f t="shared" si="54"/>
        <v>342473</v>
      </c>
      <c r="R90" s="40">
        <f t="shared" si="54"/>
        <v>148278</v>
      </c>
      <c r="S90" s="41">
        <f t="shared" si="54"/>
        <v>170377</v>
      </c>
      <c r="T90" s="40">
        <f t="shared" si="54"/>
        <v>318655</v>
      </c>
      <c r="U90" s="42">
        <f t="shared" si="54"/>
        <v>8693</v>
      </c>
      <c r="V90" s="43">
        <f t="shared" si="54"/>
        <v>327348</v>
      </c>
      <c r="W90" s="257">
        <f t="shared" si="53"/>
        <v>-4.416406548837426</v>
      </c>
    </row>
    <row r="91" spans="1:23" ht="13.5" thickTop="1">
      <c r="A91" s="70"/>
      <c r="B91" s="70"/>
      <c r="C91" s="70"/>
      <c r="D91" s="70"/>
      <c r="E91" s="70"/>
      <c r="F91" s="70"/>
      <c r="G91" s="70"/>
      <c r="H91" s="70"/>
      <c r="I91" s="247"/>
      <c r="J91" s="70"/>
      <c r="L91" s="4" t="s">
        <v>18</v>
      </c>
      <c r="M91" s="156">
        <f>+BKK!M91+DMK!M91+CNX!M91+HDY!M91+HKT!M91+CEI!M91</f>
        <v>44064</v>
      </c>
      <c r="N91" s="212">
        <f>+BKK!N91+DMK!N91+CNX!N91+HDY!N91+HKT!N91+CEI!N91</f>
        <v>59505</v>
      </c>
      <c r="O91" s="33">
        <f>M91+N91</f>
        <v>103569</v>
      </c>
      <c r="P91" s="127">
        <f>+BKK!P91+DMK!P91+CNX!P91+HDY!P91+HKT!P91+CEI!P91</f>
        <v>2343</v>
      </c>
      <c r="Q91" s="251">
        <f>O91+P91</f>
        <v>105912</v>
      </c>
      <c r="R91" s="156">
        <f>+BKK!R91+DMK!R91+CNX!R91+HDY!R91+HKT!R91+CEI!R91</f>
        <v>46666</v>
      </c>
      <c r="S91" s="212">
        <f>+BKK!S91+DMK!S91+CNX!S91+HDY!S91+HKT!S91+CEI!S91</f>
        <v>59537</v>
      </c>
      <c r="T91" s="33">
        <f>R91+S91</f>
        <v>106203</v>
      </c>
      <c r="U91" s="127">
        <f>+BKK!U91+DMK!U91+CNX!U91+HDY!U91+HKT!U91+CEI!U91</f>
        <v>2502</v>
      </c>
      <c r="V91" s="33">
        <f>T91+U91</f>
        <v>108705</v>
      </c>
      <c r="W91" s="256">
        <f t="shared" si="53"/>
        <v>2.637094946748242</v>
      </c>
    </row>
    <row r="92" spans="1:26" ht="12.75">
      <c r="A92" s="70"/>
      <c r="B92" s="70"/>
      <c r="C92" s="70"/>
      <c r="D92" s="70"/>
      <c r="E92" s="70"/>
      <c r="F92" s="70"/>
      <c r="G92" s="70"/>
      <c r="H92" s="70"/>
      <c r="I92" s="247"/>
      <c r="J92" s="70"/>
      <c r="L92" s="4" t="s">
        <v>19</v>
      </c>
      <c r="M92" s="29">
        <f>+BKK!M92+DMK!M92+CNX!M92+HDY!M92+HKT!M92+CEI!M92</f>
        <v>39490</v>
      </c>
      <c r="N92" s="30">
        <f>+BKK!N92+DMK!N92+CNX!N92+HDY!N92+HKT!N92+CEI!N92</f>
        <v>55732</v>
      </c>
      <c r="O92" s="33">
        <f>M92+N92</f>
        <v>95222</v>
      </c>
      <c r="P92" s="127">
        <f>+BKK!P92+DMK!P92+CNX!P92+HDY!P92+HKT!P92+CEI!P92</f>
        <v>2102</v>
      </c>
      <c r="Q92" s="251">
        <f>O92+P92</f>
        <v>97324</v>
      </c>
      <c r="R92" s="29">
        <f>+BKK!R92+DMK!R92+CNX!R92+HDY!R92+HKT!R92+CEI!R92</f>
        <v>50135</v>
      </c>
      <c r="S92" s="30">
        <f>+BKK!S92+DMK!S92+CNX!S92+HDY!S92+HKT!S92+CEI!S92</f>
        <v>60383</v>
      </c>
      <c r="T92" s="33">
        <f>R92+S92</f>
        <v>110518</v>
      </c>
      <c r="U92" s="127">
        <f>+BKK!U92+DMK!U92+CNX!U92+HDY!U92+HKT!U92+CEI!U92</f>
        <v>3017</v>
      </c>
      <c r="V92" s="33">
        <f>T92+U92</f>
        <v>113535</v>
      </c>
      <c r="W92" s="256">
        <f>IF(Q92=0,0,((V92/Q92)-1)*100)</f>
        <v>16.656734207389757</v>
      </c>
      <c r="Y92" s="99"/>
      <c r="Z92" s="99"/>
    </row>
    <row r="93" spans="1:23" ht="13.5" thickBot="1">
      <c r="A93" s="70"/>
      <c r="B93" s="70"/>
      <c r="C93" s="70"/>
      <c r="D93" s="70"/>
      <c r="E93" s="70"/>
      <c r="F93" s="70"/>
      <c r="G93" s="70"/>
      <c r="H93" s="70"/>
      <c r="I93" s="247"/>
      <c r="J93" s="70"/>
      <c r="L93" s="4" t="s">
        <v>20</v>
      </c>
      <c r="M93" s="68">
        <f>+BKK!M93+DMK!M93+CNX!M93+HDY!M93+HKT!M93+CEI!M93</f>
        <v>51196</v>
      </c>
      <c r="N93" s="213">
        <f>+BKK!N93+DMK!N93+CNX!N93+HDY!N93+HKT!N93+CEI!N93</f>
        <v>67516</v>
      </c>
      <c r="O93" s="33">
        <f>M93+N93</f>
        <v>118712</v>
      </c>
      <c r="P93" s="127">
        <f>+BKK!P93+DMK!P93+CNX!P93+HDY!P93+HKT!P93+CEI!P93</f>
        <v>2500</v>
      </c>
      <c r="Q93" s="69">
        <f>O93+P93</f>
        <v>121212</v>
      </c>
      <c r="R93" s="68">
        <f>+BKK!R93+DMK!R93+CNX!R93+HDY!R93+HKT!R93+CEI!R93</f>
        <v>55573</v>
      </c>
      <c r="S93" s="213">
        <f>+BKK!S93+DMK!S93+CNX!S93+HDY!S93+HKT!S93+CEI!S93</f>
        <v>68527</v>
      </c>
      <c r="T93" s="33">
        <f>R93+S93</f>
        <v>124100</v>
      </c>
      <c r="U93" s="127">
        <f>+BKK!U93+DMK!U93+CNX!U93+HDY!U93+HKT!U93+CEI!U93</f>
        <v>3050</v>
      </c>
      <c r="V93" s="66">
        <f>T93+U93</f>
        <v>127150</v>
      </c>
      <c r="W93" s="256">
        <f t="shared" si="53"/>
        <v>4.89885489885491</v>
      </c>
    </row>
    <row r="94" spans="1:26" ht="14.25" thickBot="1" thickTop="1">
      <c r="A94" s="70"/>
      <c r="B94" s="232"/>
      <c r="C94" s="233"/>
      <c r="D94" s="233"/>
      <c r="E94" s="233"/>
      <c r="F94" s="233"/>
      <c r="G94" s="233"/>
      <c r="H94" s="233"/>
      <c r="I94" s="276"/>
      <c r="J94" s="70"/>
      <c r="L94" s="44" t="s">
        <v>21</v>
      </c>
      <c r="M94" s="40">
        <f aca="true" t="shared" si="55" ref="M94:V94">M92+M91+M93</f>
        <v>134750</v>
      </c>
      <c r="N94" s="41">
        <f t="shared" si="55"/>
        <v>182753</v>
      </c>
      <c r="O94" s="40">
        <f t="shared" si="55"/>
        <v>317503</v>
      </c>
      <c r="P94" s="40">
        <f t="shared" si="55"/>
        <v>6945</v>
      </c>
      <c r="Q94" s="40">
        <f t="shared" si="55"/>
        <v>324448</v>
      </c>
      <c r="R94" s="40">
        <f t="shared" si="55"/>
        <v>152374</v>
      </c>
      <c r="S94" s="41">
        <f t="shared" si="55"/>
        <v>188447</v>
      </c>
      <c r="T94" s="40">
        <f t="shared" si="55"/>
        <v>340821</v>
      </c>
      <c r="U94" s="40">
        <f t="shared" si="55"/>
        <v>8569</v>
      </c>
      <c r="V94" s="42">
        <f t="shared" si="55"/>
        <v>349390</v>
      </c>
      <c r="W94" s="257">
        <f t="shared" si="53"/>
        <v>7.68751849294802</v>
      </c>
      <c r="Y94" s="99"/>
      <c r="Z94" s="99"/>
    </row>
    <row r="95" spans="1:26" ht="13.5" thickTop="1">
      <c r="A95" s="70"/>
      <c r="B95" s="70"/>
      <c r="C95" s="70"/>
      <c r="D95" s="70"/>
      <c r="E95" s="70"/>
      <c r="F95" s="70"/>
      <c r="G95" s="70"/>
      <c r="H95" s="70"/>
      <c r="I95" s="247"/>
      <c r="J95" s="70"/>
      <c r="L95" s="4" t="s">
        <v>22</v>
      </c>
      <c r="M95" s="29">
        <f>+BKK!M95+DMK!M95+CNX!M95+HDY!M95+HKT!M95+CEI!M95</f>
        <v>45092</v>
      </c>
      <c r="N95" s="36">
        <f>+BKK!N95+DMK!N95+CNX!N95+HDY!N95+HKT!N95+CEI!N95</f>
        <v>59613</v>
      </c>
      <c r="O95" s="33">
        <f>M95+N95</f>
        <v>104705</v>
      </c>
      <c r="P95" s="34">
        <f>+BKK!P95+DMK!P95+CNX!P95+HDY!P95+HKT!P95+CEI!P95</f>
        <v>2264</v>
      </c>
      <c r="Q95" s="35">
        <f>O95+P95</f>
        <v>106969</v>
      </c>
      <c r="R95" s="29">
        <f>+BKK!R95+DMK!R95+CNX!R95+HDY!R95+HKT!R95+CEI!R95</f>
        <v>49905</v>
      </c>
      <c r="S95" s="36">
        <f>+BKK!S95+DMK!S95+CNX!S95+HDY!S95+HKT!S95+CEI!S95</f>
        <v>61337</v>
      </c>
      <c r="T95" s="33">
        <f>+BKK!T95+DMK!T95+CNX!T95+HDY!T95+HKT!T95+CEI!T95</f>
        <v>111242</v>
      </c>
      <c r="U95" s="34">
        <f>+BKK!U95+DMK!U95+CNX!U95+HDY!U95+HKT!U95+CEI!U95</f>
        <v>2861</v>
      </c>
      <c r="V95" s="31">
        <f>+BKK!V95+DMK!V95+CNX!V95+HDY!V95+HKT!V95+CEI!V95</f>
        <v>114103</v>
      </c>
      <c r="W95" s="256">
        <f t="shared" si="53"/>
        <v>6.669221924108859</v>
      </c>
      <c r="Y95" s="99"/>
      <c r="Z95" s="99"/>
    </row>
    <row r="96" spans="1:23" ht="12.75">
      <c r="A96" s="70"/>
      <c r="B96" s="70"/>
      <c r="C96" s="70"/>
      <c r="D96" s="70"/>
      <c r="E96" s="70"/>
      <c r="F96" s="70"/>
      <c r="G96" s="70"/>
      <c r="H96" s="70"/>
      <c r="I96" s="247"/>
      <c r="J96" s="70"/>
      <c r="L96" s="4" t="s">
        <v>23</v>
      </c>
      <c r="M96" s="29">
        <f>+BKK!M96+DMK!M96+CNX!M96+HDY!M96+HKT!M96+CEI!M96</f>
        <v>44813</v>
      </c>
      <c r="N96" s="36">
        <f>+BKK!N96+DMK!N96+CNX!N96+HDY!N96+HKT!N96+CEI!N96</f>
        <v>60610</v>
      </c>
      <c r="O96" s="33">
        <f>M96+N96</f>
        <v>105423</v>
      </c>
      <c r="P96" s="34">
        <f>+BKK!P96+DMK!P96+CNX!P96+HDY!P96+HKT!P96+CEI!P96</f>
        <v>2225</v>
      </c>
      <c r="Q96" s="35">
        <f>O96+P96</f>
        <v>107648</v>
      </c>
      <c r="R96" s="29">
        <f>+BKK!R96+DMK!R96+CNX!R96+HDY!R96+HKT!R96+CEI!R96</f>
        <v>49708</v>
      </c>
      <c r="S96" s="36">
        <f>+BKK!S96+DMK!S96+CNX!S96+HDY!S96+HKT!S96+CEI!S96</f>
        <v>65420</v>
      </c>
      <c r="T96" s="33">
        <f>+BKK!T96+DMK!T96+CNX!T96+HDY!T96+HKT!T96+CEI!T96</f>
        <v>115128</v>
      </c>
      <c r="U96" s="34">
        <f>+BKK!U96+DMK!U96+CNX!U96+HDY!U96+HKT!U96+CEI!U96</f>
        <v>2721</v>
      </c>
      <c r="V96" s="31">
        <f>+BKK!V96+DMK!V96+CNX!V96+HDY!V96+HKT!V96+CEI!V96</f>
        <v>117849</v>
      </c>
      <c r="W96" s="256">
        <f t="shared" si="53"/>
        <v>9.476255945303214</v>
      </c>
    </row>
    <row r="97" spans="1:23" ht="13.5" thickBot="1">
      <c r="A97" s="70"/>
      <c r="B97" s="70"/>
      <c r="C97" s="70"/>
      <c r="D97" s="70"/>
      <c r="E97" s="70"/>
      <c r="F97" s="70"/>
      <c r="G97" s="70"/>
      <c r="H97" s="70"/>
      <c r="I97" s="247"/>
      <c r="J97" s="70"/>
      <c r="L97" s="4" t="s">
        <v>24</v>
      </c>
      <c r="M97" s="29">
        <f>+BKK!M97+DMK!M97+CNX!M97+HDY!M97+HKT!M97+CEI!M97</f>
        <v>46655</v>
      </c>
      <c r="N97" s="36">
        <f>+BKK!N97+DMK!N97+CNX!N97+HDY!N97+HKT!N97+CEI!N97</f>
        <v>61730</v>
      </c>
      <c r="O97" s="51">
        <f>M97+N97</f>
        <v>108385</v>
      </c>
      <c r="P97" s="52">
        <f>+BKK!P97+DMK!P97+CNX!P97+HDY!P97+HKT!P97+CEI!P97</f>
        <v>1878</v>
      </c>
      <c r="Q97" s="35">
        <f>O97+P97</f>
        <v>110263</v>
      </c>
      <c r="R97" s="29">
        <f>+BKK!R97+DMK!R97+CNX!R97+HDY!R97+HKT!R97+CEI!R97</f>
        <v>48074</v>
      </c>
      <c r="S97" s="36">
        <f>+BKK!S97+DMK!S97+CNX!S97+HDY!S97+HKT!S97+CEI!S97</f>
        <v>61370</v>
      </c>
      <c r="T97" s="51">
        <f>+BKK!T97+DMK!T97+CNX!T97+HDY!T97+HKT!T97+CEI!T97</f>
        <v>109444</v>
      </c>
      <c r="U97" s="52">
        <f>+BKK!U97+DMK!U97+CNX!U97+HDY!U97+HKT!U97+CEI!U97</f>
        <v>3087</v>
      </c>
      <c r="V97" s="31">
        <f>+BKK!V97+DMK!V97+CNX!V97+HDY!V97+HKT!V97+CEI!V97</f>
        <v>112531</v>
      </c>
      <c r="W97" s="256">
        <f t="shared" si="53"/>
        <v>2.056900320143651</v>
      </c>
    </row>
    <row r="98" spans="1:23" ht="14.25" thickBot="1" thickTop="1">
      <c r="A98" s="70"/>
      <c r="B98" s="70"/>
      <c r="C98" s="70"/>
      <c r="D98" s="70"/>
      <c r="E98" s="70"/>
      <c r="F98" s="70"/>
      <c r="G98" s="70"/>
      <c r="H98" s="70"/>
      <c r="I98" s="247"/>
      <c r="J98" s="70"/>
      <c r="L98" s="44" t="s">
        <v>25</v>
      </c>
      <c r="M98" s="45">
        <f aca="true" t="shared" si="56" ref="M98:V98">+M95+M96+M97</f>
        <v>136560</v>
      </c>
      <c r="N98" s="45">
        <f t="shared" si="56"/>
        <v>181953</v>
      </c>
      <c r="O98" s="47">
        <f t="shared" si="56"/>
        <v>318513</v>
      </c>
      <c r="P98" s="47">
        <f t="shared" si="56"/>
        <v>6367</v>
      </c>
      <c r="Q98" s="47">
        <f t="shared" si="56"/>
        <v>324880</v>
      </c>
      <c r="R98" s="45">
        <f t="shared" si="56"/>
        <v>147687</v>
      </c>
      <c r="S98" s="45">
        <f t="shared" si="56"/>
        <v>188127</v>
      </c>
      <c r="T98" s="47">
        <f t="shared" si="56"/>
        <v>335814</v>
      </c>
      <c r="U98" s="47">
        <f t="shared" si="56"/>
        <v>8669</v>
      </c>
      <c r="V98" s="47">
        <f t="shared" si="56"/>
        <v>344483</v>
      </c>
      <c r="W98" s="262">
        <f t="shared" si="53"/>
        <v>6.033920216695399</v>
      </c>
    </row>
    <row r="99" spans="1:23" ht="13.5" thickTop="1">
      <c r="A99" s="70"/>
      <c r="B99" s="70"/>
      <c r="C99" s="70"/>
      <c r="D99" s="70"/>
      <c r="E99" s="70"/>
      <c r="F99" s="70"/>
      <c r="G99" s="70"/>
      <c r="H99" s="70"/>
      <c r="I99" s="247"/>
      <c r="J99" s="70"/>
      <c r="L99" s="4" t="s">
        <v>27</v>
      </c>
      <c r="M99" s="29">
        <f>+BKK!M99+DMK!M99+CNX!M99+HDY!M99+HKT!M99+CEI!M99</f>
        <v>48074</v>
      </c>
      <c r="N99" s="36">
        <f>+BKK!N99+DMK!N99+CNX!N99+HDY!N99+HKT!N99+CEI!N99</f>
        <v>60423</v>
      </c>
      <c r="O99" s="51">
        <f>M99+N99</f>
        <v>108497</v>
      </c>
      <c r="P99" s="59">
        <f>+BKK!P99+DMK!P99+CNX!P99+HDY!P99+HKT!P99+CEI!P99</f>
        <v>2439</v>
      </c>
      <c r="Q99" s="35">
        <f>O99+P99</f>
        <v>110936</v>
      </c>
      <c r="R99" s="29">
        <f>+BKK!R99+DMK!R99+CNX!R99+HDY!R99+HKT!R99+CEI!R99</f>
        <v>49063</v>
      </c>
      <c r="S99" s="36">
        <f>+BKK!S99+DMK!S99+CNX!S99+HDY!S99+HKT!S99+CEI!S99</f>
        <v>58664</v>
      </c>
      <c r="T99" s="51">
        <f>+BKK!T99+DMK!T99+CNX!T99+HDY!T99+HKT!T99+CEI!T99</f>
        <v>107727</v>
      </c>
      <c r="U99" s="59">
        <f>+BKK!U99+DMK!U99+CNX!U99+HDY!U99+HKT!U99+CEI!U99</f>
        <v>2893</v>
      </c>
      <c r="V99" s="31">
        <f>+BKK!V99+DMK!V99+CNX!V99+HDY!V99+HKT!V99+CEI!V99</f>
        <v>110620</v>
      </c>
      <c r="W99" s="256">
        <f t="shared" si="53"/>
        <v>-0.2848489219009154</v>
      </c>
    </row>
    <row r="100" spans="1:23" ht="12.75">
      <c r="A100" s="70"/>
      <c r="B100" s="70"/>
      <c r="C100" s="70"/>
      <c r="D100" s="70"/>
      <c r="E100" s="70"/>
      <c r="F100" s="70"/>
      <c r="G100" s="70"/>
      <c r="H100" s="70"/>
      <c r="I100" s="247"/>
      <c r="J100" s="70"/>
      <c r="L100" s="4" t="s">
        <v>28</v>
      </c>
      <c r="M100" s="29">
        <f>+BKK!M100+DMK!M100+CNX!M100+HDY!M100+HKT!M100+CEI!M100</f>
        <v>45549</v>
      </c>
      <c r="N100" s="36">
        <f>+BKK!N100+DMK!N100+CNX!N100+HDY!N100+HKT!N100+CEI!N100</f>
        <v>58836</v>
      </c>
      <c r="O100" s="51">
        <f>M100+N100</f>
        <v>104385</v>
      </c>
      <c r="P100" s="34">
        <f>+BKK!P100+DMK!P100+CNX!P100+HDY!P100+HKT!P100+CEI!P100</f>
        <v>2395</v>
      </c>
      <c r="Q100" s="35">
        <f>O100+P100</f>
        <v>106780</v>
      </c>
      <c r="R100" s="29">
        <f>+BKK!R100+DMK!R100+CNX!R100+HDY!R100+HKT!R100+CEI!R100</f>
        <v>46617</v>
      </c>
      <c r="S100" s="36">
        <f>+BKK!S100+DMK!S100+CNX!S100+HDY!S100+HKT!S100+CEI!S100</f>
        <v>55023</v>
      </c>
      <c r="T100" s="51">
        <f>+BKK!T100+DMK!T100+CNX!T100+HDY!T100+HKT!T100+CEI!T100</f>
        <v>101640</v>
      </c>
      <c r="U100" s="34">
        <f>+BKK!U100+DMK!U100+CNX!U100+HDY!U100+HKT!U100+CEI!U100</f>
        <v>2932</v>
      </c>
      <c r="V100" s="31">
        <f>+BKK!V100+DMK!V100+CNX!V100+HDY!V100+HKT!V100+CEI!V100</f>
        <v>104572</v>
      </c>
      <c r="W100" s="256">
        <f>IF(Q100=0,0,((V100/Q100)-1)*100)</f>
        <v>-2.06780295935568</v>
      </c>
    </row>
    <row r="101" spans="1:23" ht="13.5" thickBot="1">
      <c r="A101" s="8"/>
      <c r="B101" s="70"/>
      <c r="C101" s="70"/>
      <c r="D101" s="70"/>
      <c r="E101" s="70"/>
      <c r="F101" s="70"/>
      <c r="G101" s="70"/>
      <c r="H101" s="70"/>
      <c r="I101" s="247"/>
      <c r="J101" s="8"/>
      <c r="L101" s="4" t="s">
        <v>29</v>
      </c>
      <c r="M101" s="29">
        <f>+BKK!M101+DMK!M101+CNX!M101+HDY!M101+HKT!M101+CEI!M101</f>
        <v>46551</v>
      </c>
      <c r="N101" s="36">
        <f>+BKK!N101+DMK!N101+CNX!N101+HDY!N101+HKT!N101+CEI!N101</f>
        <v>60028</v>
      </c>
      <c r="O101" s="51">
        <f>M101+N101</f>
        <v>106579</v>
      </c>
      <c r="P101" s="34">
        <f>+BKK!P101+DMK!P101+CNX!P101+HDY!P101+HKT!P101+CEI!P101</f>
        <v>2318</v>
      </c>
      <c r="Q101" s="35">
        <f>O101+P101</f>
        <v>108897</v>
      </c>
      <c r="R101" s="29">
        <f>+BKK!R101+DMK!R101+CNX!R101+HDY!R101+HKT!R101+CEI!R101</f>
        <v>49279</v>
      </c>
      <c r="S101" s="36">
        <f>+BKK!S101+DMK!S101+CNX!S101+HDY!S101+HKT!S101+CEI!S101</f>
        <v>57604</v>
      </c>
      <c r="T101" s="51">
        <f>+BKK!T101+DMK!T101+CNX!T101+HDY!T101+HKT!T101+CEI!T101</f>
        <v>106883</v>
      </c>
      <c r="U101" s="34">
        <f>+BKK!U101+DMK!U101+CNX!U101+HDY!U101+HKT!U101+CEI!U101</f>
        <v>2839</v>
      </c>
      <c r="V101" s="31">
        <f>+BKK!V101+DMK!V101+CNX!V101+HDY!V101+HKT!V101+CEI!V101</f>
        <v>109722</v>
      </c>
      <c r="W101" s="256">
        <f t="shared" si="53"/>
        <v>0.757596628006274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47"/>
      <c r="J102" s="70"/>
      <c r="L102" s="39" t="s">
        <v>30</v>
      </c>
      <c r="M102" s="40">
        <f aca="true" t="shared" si="57" ref="M102:V102">+M99+M100+M101</f>
        <v>140174</v>
      </c>
      <c r="N102" s="41">
        <f t="shared" si="57"/>
        <v>179287</v>
      </c>
      <c r="O102" s="40">
        <f t="shared" si="57"/>
        <v>319461</v>
      </c>
      <c r="P102" s="40">
        <f t="shared" si="57"/>
        <v>7152</v>
      </c>
      <c r="Q102" s="40">
        <f t="shared" si="57"/>
        <v>326613</v>
      </c>
      <c r="R102" s="40">
        <f t="shared" si="57"/>
        <v>144959</v>
      </c>
      <c r="S102" s="41">
        <f t="shared" si="57"/>
        <v>171291</v>
      </c>
      <c r="T102" s="40">
        <f t="shared" si="57"/>
        <v>316250</v>
      </c>
      <c r="U102" s="40">
        <f t="shared" si="57"/>
        <v>8664</v>
      </c>
      <c r="V102" s="40">
        <f t="shared" si="57"/>
        <v>324914</v>
      </c>
      <c r="W102" s="257">
        <f t="shared" si="53"/>
        <v>-0.5201875001913603</v>
      </c>
    </row>
    <row r="103" spans="1:26" ht="14.25" thickBot="1" thickTop="1">
      <c r="A103" s="220"/>
      <c r="B103" s="232"/>
      <c r="C103" s="233"/>
      <c r="D103" s="233"/>
      <c r="E103" s="233"/>
      <c r="F103" s="233"/>
      <c r="G103" s="233"/>
      <c r="H103" s="233"/>
      <c r="I103" s="276"/>
      <c r="J103" s="70"/>
      <c r="L103" s="39" t="s">
        <v>66</v>
      </c>
      <c r="M103" s="40">
        <f aca="true" t="shared" si="58" ref="M103:V103">+M94+M98+M102</f>
        <v>411484</v>
      </c>
      <c r="N103" s="41">
        <f t="shared" si="58"/>
        <v>543993</v>
      </c>
      <c r="O103" s="40">
        <f t="shared" si="58"/>
        <v>955477</v>
      </c>
      <c r="P103" s="40">
        <f t="shared" si="58"/>
        <v>20464</v>
      </c>
      <c r="Q103" s="40">
        <f t="shared" si="58"/>
        <v>975941</v>
      </c>
      <c r="R103" s="40">
        <f t="shared" si="58"/>
        <v>445020</v>
      </c>
      <c r="S103" s="41">
        <f t="shared" si="58"/>
        <v>547865</v>
      </c>
      <c r="T103" s="40">
        <f t="shared" si="58"/>
        <v>992885</v>
      </c>
      <c r="U103" s="40">
        <f t="shared" si="58"/>
        <v>25902</v>
      </c>
      <c r="V103" s="42">
        <f t="shared" si="58"/>
        <v>1018787</v>
      </c>
      <c r="W103" s="257">
        <f t="shared" si="53"/>
        <v>4.390224409057519</v>
      </c>
      <c r="Y103" s="99"/>
      <c r="Z103" s="99"/>
    </row>
    <row r="104" spans="1:26" ht="14.25" thickBot="1" thickTop="1">
      <c r="A104" s="70"/>
      <c r="B104" s="70"/>
      <c r="C104" s="70"/>
      <c r="D104" s="70"/>
      <c r="E104" s="70"/>
      <c r="F104" s="70"/>
      <c r="G104" s="70"/>
      <c r="H104" s="70"/>
      <c r="I104" s="247"/>
      <c r="J104" s="70"/>
      <c r="L104" s="39" t="s">
        <v>9</v>
      </c>
      <c r="M104" s="40">
        <f aca="true" t="shared" si="59" ref="M104:V104">+M94+M98+M102+M90</f>
        <v>550639</v>
      </c>
      <c r="N104" s="41">
        <f t="shared" si="59"/>
        <v>738989</v>
      </c>
      <c r="O104" s="40">
        <f t="shared" si="59"/>
        <v>1289628</v>
      </c>
      <c r="P104" s="40">
        <f t="shared" si="59"/>
        <v>28786</v>
      </c>
      <c r="Q104" s="40">
        <f t="shared" si="59"/>
        <v>1318414</v>
      </c>
      <c r="R104" s="40">
        <f t="shared" si="59"/>
        <v>593298</v>
      </c>
      <c r="S104" s="41">
        <f t="shared" si="59"/>
        <v>718242</v>
      </c>
      <c r="T104" s="40">
        <f t="shared" si="59"/>
        <v>1311540</v>
      </c>
      <c r="U104" s="40">
        <f t="shared" si="59"/>
        <v>34595</v>
      </c>
      <c r="V104" s="40">
        <f t="shared" si="59"/>
        <v>1346135</v>
      </c>
      <c r="W104" s="257">
        <f t="shared" si="53"/>
        <v>2.102602065815451</v>
      </c>
      <c r="Y104" s="99"/>
      <c r="Z104" s="99"/>
    </row>
    <row r="105" spans="1:12" ht="13.5" thickTop="1">
      <c r="A105" s="70"/>
      <c r="B105" s="70"/>
      <c r="C105" s="70"/>
      <c r="D105" s="70"/>
      <c r="E105" s="70"/>
      <c r="F105" s="70"/>
      <c r="G105" s="70"/>
      <c r="H105" s="70"/>
      <c r="I105" s="247"/>
      <c r="J105" s="70"/>
      <c r="L105" s="63" t="s">
        <v>64</v>
      </c>
    </row>
    <row r="106" spans="2:23" ht="12.75">
      <c r="B106" s="70"/>
      <c r="C106" s="70"/>
      <c r="D106" s="70"/>
      <c r="E106" s="70"/>
      <c r="F106" s="70"/>
      <c r="G106" s="70"/>
      <c r="H106" s="70"/>
      <c r="I106" s="247"/>
      <c r="L106" s="336" t="s">
        <v>47</v>
      </c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</row>
    <row r="107" spans="2:23" ht="15.75">
      <c r="B107" s="70"/>
      <c r="C107" s="70"/>
      <c r="D107" s="70"/>
      <c r="E107" s="70"/>
      <c r="F107" s="70"/>
      <c r="G107" s="70"/>
      <c r="H107" s="70"/>
      <c r="I107" s="247"/>
      <c r="L107" s="337" t="s">
        <v>48</v>
      </c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2:23" ht="13.5" thickBot="1">
      <c r="B108" s="70"/>
      <c r="C108" s="70"/>
      <c r="D108" s="70"/>
      <c r="E108" s="70"/>
      <c r="F108" s="70"/>
      <c r="G108" s="70"/>
      <c r="H108" s="70"/>
      <c r="I108" s="247"/>
      <c r="W108" s="242" t="s">
        <v>43</v>
      </c>
    </row>
    <row r="109" spans="2:23" ht="17.25" thickBot="1" thickTop="1">
      <c r="B109" s="70"/>
      <c r="C109" s="70"/>
      <c r="D109" s="70"/>
      <c r="E109" s="70"/>
      <c r="F109" s="70"/>
      <c r="G109" s="70"/>
      <c r="H109" s="70"/>
      <c r="I109" s="247"/>
      <c r="L109" s="3"/>
      <c r="M109" s="347" t="s">
        <v>67</v>
      </c>
      <c r="N109" s="348"/>
      <c r="O109" s="348"/>
      <c r="P109" s="348"/>
      <c r="Q109" s="349"/>
      <c r="R109" s="338" t="s">
        <v>68</v>
      </c>
      <c r="S109" s="339"/>
      <c r="T109" s="339"/>
      <c r="U109" s="339"/>
      <c r="V109" s="340"/>
      <c r="W109" s="239" t="s">
        <v>4</v>
      </c>
    </row>
    <row r="110" spans="2:23" ht="13.5" thickTop="1">
      <c r="B110" s="70"/>
      <c r="C110" s="70"/>
      <c r="D110" s="70"/>
      <c r="E110" s="70"/>
      <c r="F110" s="70"/>
      <c r="G110" s="70"/>
      <c r="H110" s="70"/>
      <c r="I110" s="247"/>
      <c r="L110" s="4" t="s">
        <v>5</v>
      </c>
      <c r="M110" s="5"/>
      <c r="N110" s="8"/>
      <c r="O110" s="9"/>
      <c r="P110" s="10"/>
      <c r="Q110" s="11"/>
      <c r="R110" s="5"/>
      <c r="S110" s="8"/>
      <c r="T110" s="9"/>
      <c r="U110" s="10"/>
      <c r="V110" s="11"/>
      <c r="W110" s="240" t="s">
        <v>6</v>
      </c>
    </row>
    <row r="111" spans="2:23" ht="13.5" thickBot="1">
      <c r="B111" s="70"/>
      <c r="C111" s="70"/>
      <c r="D111" s="70"/>
      <c r="E111" s="70"/>
      <c r="F111" s="70"/>
      <c r="G111" s="70"/>
      <c r="H111" s="70"/>
      <c r="I111" s="247"/>
      <c r="L111" s="12"/>
      <c r="M111" s="15" t="s">
        <v>44</v>
      </c>
      <c r="N111" s="16" t="s">
        <v>45</v>
      </c>
      <c r="O111" s="17" t="s">
        <v>46</v>
      </c>
      <c r="P111" s="18" t="s">
        <v>13</v>
      </c>
      <c r="Q111" s="19" t="s">
        <v>9</v>
      </c>
      <c r="R111" s="15" t="s">
        <v>44</v>
      </c>
      <c r="S111" s="16" t="s">
        <v>45</v>
      </c>
      <c r="T111" s="17" t="s">
        <v>46</v>
      </c>
      <c r="U111" s="18" t="s">
        <v>13</v>
      </c>
      <c r="V111" s="19" t="s">
        <v>9</v>
      </c>
      <c r="W111" s="241"/>
    </row>
    <row r="112" spans="2:23" ht="4.5" customHeight="1" thickTop="1">
      <c r="B112" s="70"/>
      <c r="C112" s="70"/>
      <c r="D112" s="70"/>
      <c r="E112" s="70"/>
      <c r="F112" s="70"/>
      <c r="G112" s="70"/>
      <c r="H112" s="70"/>
      <c r="I112" s="247"/>
      <c r="L112" s="4"/>
      <c r="M112" s="23"/>
      <c r="N112" s="24"/>
      <c r="O112" s="25"/>
      <c r="P112" s="26"/>
      <c r="Q112" s="27"/>
      <c r="R112" s="23"/>
      <c r="S112" s="24"/>
      <c r="T112" s="25"/>
      <c r="U112" s="26"/>
      <c r="V112" s="28"/>
      <c r="W112" s="207"/>
    </row>
    <row r="113" spans="2:23" ht="12.75">
      <c r="B113" s="70"/>
      <c r="C113" s="70"/>
      <c r="D113" s="70"/>
      <c r="E113" s="70"/>
      <c r="F113" s="70"/>
      <c r="G113" s="70"/>
      <c r="H113" s="70"/>
      <c r="I113" s="247"/>
      <c r="L113" s="4" t="s">
        <v>14</v>
      </c>
      <c r="M113" s="29">
        <f>+BKK!M113+DMK!M113+CNX!M113+HDY!M113+HKT!M113+CEI!M113</f>
        <v>4419</v>
      </c>
      <c r="N113" s="36">
        <f>+BKK!N113+DMK!N113+CNX!N113+HDY!N113+HKT!N113+CEI!N113</f>
        <v>5282</v>
      </c>
      <c r="O113" s="33">
        <f>M113+N113</f>
        <v>9701</v>
      </c>
      <c r="P113" s="34">
        <f>+BKK!P113+DMK!P113+CNX!P113+HDY!P113+HKT!P113+CEI!P113</f>
        <v>2</v>
      </c>
      <c r="Q113" s="35">
        <f>O113+P113</f>
        <v>9703</v>
      </c>
      <c r="R113" s="29">
        <f>+BKK!R113+DMK!R113+CNX!R113+HDY!R113+HKT!R113+CEI!R113</f>
        <v>4975</v>
      </c>
      <c r="S113" s="36">
        <f>+BKK!S113+DMK!S113+CNX!S113+HDY!S113+HKT!S113+CEI!S113</f>
        <v>5989</v>
      </c>
      <c r="T113" s="33">
        <f>R113+S113</f>
        <v>10964</v>
      </c>
      <c r="U113" s="34">
        <f>+BKK!U113+DMK!U113+CNX!U113+HDY!U113+HKT!U113+CEI!U113</f>
        <v>12</v>
      </c>
      <c r="V113" s="31">
        <f>T113+U113</f>
        <v>10976</v>
      </c>
      <c r="W113" s="256">
        <f aca="true" t="shared" si="60" ref="W113:W130">IF(Q113=0,0,((V113/Q113)-1)*100)</f>
        <v>13.11965371534578</v>
      </c>
    </row>
    <row r="114" spans="2:23" ht="12.75">
      <c r="B114" s="70"/>
      <c r="C114" s="70"/>
      <c r="D114" s="70"/>
      <c r="E114" s="70"/>
      <c r="F114" s="70"/>
      <c r="G114" s="70"/>
      <c r="H114" s="70"/>
      <c r="I114" s="247"/>
      <c r="L114" s="4" t="s">
        <v>15</v>
      </c>
      <c r="M114" s="29">
        <f>+BKK!M114+DMK!M114+CNX!M114+HDY!M114+HKT!M114+CEI!M114</f>
        <v>4807</v>
      </c>
      <c r="N114" s="36">
        <f>+BKK!N114+DMK!N114+CNX!N114+HDY!N114+HKT!N114+CEI!N114</f>
        <v>5718</v>
      </c>
      <c r="O114" s="33">
        <f>M114+N114</f>
        <v>10525</v>
      </c>
      <c r="P114" s="34">
        <f>+BKK!P114+DMK!P114+CNX!P114+HDY!P114+HKT!P114+CEI!P114</f>
        <v>10</v>
      </c>
      <c r="Q114" s="35">
        <f>O114+P114</f>
        <v>10535</v>
      </c>
      <c r="R114" s="29">
        <f>+BKK!R114+DMK!R114+CNX!R114+HDY!R114+HKT!R114+CEI!R114</f>
        <v>5022</v>
      </c>
      <c r="S114" s="36">
        <f>+BKK!S114+DMK!S114+CNX!S114+HDY!S114+HKT!S114+CEI!S114</f>
        <v>6620</v>
      </c>
      <c r="T114" s="33">
        <f>R114+S114</f>
        <v>11642</v>
      </c>
      <c r="U114" s="34">
        <f>+BKK!U114+DMK!U114+CNX!U114+HDY!U114+HKT!U114+CEI!U114</f>
        <v>3</v>
      </c>
      <c r="V114" s="31">
        <f>T114+U114</f>
        <v>11645</v>
      </c>
      <c r="W114" s="256">
        <f t="shared" si="60"/>
        <v>10.536307546274326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47"/>
      <c r="L115" s="12" t="s">
        <v>16</v>
      </c>
      <c r="M115" s="29">
        <f>+BKK!M115+DMK!M115+CNX!M115+HDY!M115+HKT!M115+CEI!M115</f>
        <v>5169</v>
      </c>
      <c r="N115" s="36">
        <f>+BKK!N115+DMK!N115+CNX!N115+HDY!N115+HKT!N115+CEI!N115</f>
        <v>6104</v>
      </c>
      <c r="O115" s="33">
        <f>M115+N115</f>
        <v>11273</v>
      </c>
      <c r="P115" s="34">
        <f>+BKK!P115+DMK!P115+CNX!P115+HDY!P115+HKT!P115+CEI!P115</f>
        <v>1</v>
      </c>
      <c r="Q115" s="35">
        <f>O115+P115</f>
        <v>11274</v>
      </c>
      <c r="R115" s="29">
        <f>+BKK!R115+DMK!R115+CNX!R115+HDY!R115+HKT!R115+CEI!R115</f>
        <v>5162</v>
      </c>
      <c r="S115" s="36">
        <f>+BKK!S115+DMK!S115+CNX!S115+HDY!S115+HKT!S115+CEI!S115</f>
        <v>6857</v>
      </c>
      <c r="T115" s="33">
        <f>R115+S115</f>
        <v>12019</v>
      </c>
      <c r="U115" s="34">
        <f>+BKK!U115+DMK!U115+CNX!U115+HDY!U115+HKT!U115+CEI!U115</f>
        <v>3</v>
      </c>
      <c r="V115" s="31">
        <f>T115+U115</f>
        <v>12022</v>
      </c>
      <c r="W115" s="256">
        <f t="shared" si="60"/>
        <v>6.634734788007801</v>
      </c>
    </row>
    <row r="116" spans="2:23" ht="14.25" thickBot="1" thickTop="1">
      <c r="B116" s="70"/>
      <c r="C116" s="70"/>
      <c r="D116" s="70"/>
      <c r="E116" s="70"/>
      <c r="F116" s="70"/>
      <c r="G116" s="70"/>
      <c r="H116" s="70"/>
      <c r="I116" s="247"/>
      <c r="L116" s="39" t="s">
        <v>17</v>
      </c>
      <c r="M116" s="40">
        <f>+M113+M114+M115</f>
        <v>14395</v>
      </c>
      <c r="N116" s="41">
        <f>+N113+N114+N115</f>
        <v>17104</v>
      </c>
      <c r="O116" s="40">
        <f>+O113+O114+O115</f>
        <v>31499</v>
      </c>
      <c r="P116" s="40">
        <f>+P113+P114+P115</f>
        <v>13</v>
      </c>
      <c r="Q116" s="40">
        <f>Q115+Q113+Q114</f>
        <v>31512</v>
      </c>
      <c r="R116" s="40">
        <f>+R113+R114+R115</f>
        <v>15159</v>
      </c>
      <c r="S116" s="41">
        <f>+S113+S114+S115</f>
        <v>19466</v>
      </c>
      <c r="T116" s="40">
        <f>+T113+T114+T115</f>
        <v>34625</v>
      </c>
      <c r="U116" s="40">
        <f>+U113+U114+U115</f>
        <v>18</v>
      </c>
      <c r="V116" s="42">
        <f>+V113+V114+V115</f>
        <v>34643</v>
      </c>
      <c r="W116" s="257">
        <f t="shared" si="60"/>
        <v>9.935897435897445</v>
      </c>
    </row>
    <row r="117" spans="2:23" ht="13.5" thickTop="1">
      <c r="B117" s="70"/>
      <c r="C117" s="70"/>
      <c r="D117" s="70"/>
      <c r="E117" s="70"/>
      <c r="F117" s="70"/>
      <c r="G117" s="70"/>
      <c r="H117" s="70"/>
      <c r="I117" s="247"/>
      <c r="L117" s="4" t="s">
        <v>18</v>
      </c>
      <c r="M117" s="29">
        <f>+BKK!M117+DMK!M117+CNX!M117+HDY!M117+HKT!M117+CEI!M117</f>
        <v>4467</v>
      </c>
      <c r="N117" s="36">
        <f>+BKK!N117+DMK!N117+CNX!N117+HDY!N117+HKT!N117+CEI!N117</f>
        <v>5463</v>
      </c>
      <c r="O117" s="33">
        <f>M117+N117</f>
        <v>9930</v>
      </c>
      <c r="P117" s="34">
        <f>+BKK!P117+DMK!P117+CNX!P117+HDY!P117+HKT!P117+CEI!P117</f>
        <v>1</v>
      </c>
      <c r="Q117" s="35">
        <f>O117+P117</f>
        <v>9931</v>
      </c>
      <c r="R117" s="29">
        <f>+BKK!R117+DMK!R117+CNX!R117+HDY!R117+HKT!R117+CEI!R117</f>
        <v>4789</v>
      </c>
      <c r="S117" s="36">
        <f>+BKK!S117+DMK!S117+CNX!S117+HDY!S117+HKT!S117+CEI!S117</f>
        <v>6291</v>
      </c>
      <c r="T117" s="33">
        <f>R117+S117</f>
        <v>11080</v>
      </c>
      <c r="U117" s="34">
        <f>+BKK!U117+DMK!U117+CNX!U117+HDY!U117+HKT!U117+CEI!U117</f>
        <v>0</v>
      </c>
      <c r="V117" s="31">
        <f>T117+U117</f>
        <v>11080</v>
      </c>
      <c r="W117" s="256">
        <f t="shared" si="60"/>
        <v>11.56983183969389</v>
      </c>
    </row>
    <row r="118" spans="2:26" ht="12.75">
      <c r="B118" s="70"/>
      <c r="C118" s="70"/>
      <c r="D118" s="70"/>
      <c r="E118" s="70"/>
      <c r="F118" s="70"/>
      <c r="G118" s="70"/>
      <c r="H118" s="70"/>
      <c r="I118" s="247"/>
      <c r="L118" s="4" t="s">
        <v>19</v>
      </c>
      <c r="M118" s="29">
        <f>+BKK!M118+DMK!M118+CNX!M118+HDY!M118+HKT!M118+CEI!M118</f>
        <v>4116</v>
      </c>
      <c r="N118" s="36">
        <f>+BKK!N118+DMK!N118+CNX!N118+HDY!N118+HKT!N118+CEI!N118</f>
        <v>4971</v>
      </c>
      <c r="O118" s="33">
        <f>M118+N118</f>
        <v>9087</v>
      </c>
      <c r="P118" s="34">
        <f>+BKK!P118+DMK!P118+CNX!P118+HDY!P118+HKT!P118+CEI!P118</f>
        <v>7</v>
      </c>
      <c r="Q118" s="35">
        <f>O118+P118</f>
        <v>9094</v>
      </c>
      <c r="R118" s="29">
        <f>+BKK!R118+DMK!R118+CNX!R118+HDY!R118+HKT!R118+CEI!R118</f>
        <v>4708</v>
      </c>
      <c r="S118" s="36">
        <f>+BKK!S118+DMK!S118+CNX!S118+HDY!S118+HKT!S118+CEI!S118</f>
        <v>6129</v>
      </c>
      <c r="T118" s="33">
        <f>R118+S118</f>
        <v>10837</v>
      </c>
      <c r="U118" s="34">
        <f>+BKK!U118+DMK!U118+CNX!U118+HDY!U118+HKT!U118+CEI!U118</f>
        <v>0</v>
      </c>
      <c r="V118" s="31">
        <f>T118+U118</f>
        <v>10837</v>
      </c>
      <c r="W118" s="256">
        <f>IF(Q118=0,0,((V118/Q118)-1)*100)</f>
        <v>19.166483395645486</v>
      </c>
      <c r="Y118" s="99"/>
      <c r="Z118" s="99"/>
    </row>
    <row r="119" spans="2:26" ht="13.5" thickBot="1">
      <c r="B119" s="70"/>
      <c r="C119" s="70"/>
      <c r="D119" s="70"/>
      <c r="E119" s="70"/>
      <c r="F119" s="70"/>
      <c r="G119" s="70"/>
      <c r="H119" s="70"/>
      <c r="I119" s="247"/>
      <c r="L119" s="4" t="s">
        <v>20</v>
      </c>
      <c r="M119" s="29">
        <f>+BKK!M119+DMK!M119+CNX!M119+HDY!M119+HKT!M119+CEI!M119</f>
        <v>4864</v>
      </c>
      <c r="N119" s="36">
        <f>+BKK!N119+DMK!N119+CNX!N119+HDY!N119+HKT!N119+CEI!N119</f>
        <v>5757</v>
      </c>
      <c r="O119" s="33">
        <f>M119+N119</f>
        <v>10621</v>
      </c>
      <c r="P119" s="34">
        <f>+BKK!P119+DMK!P119+CNX!P119+HDY!P119+HKT!P119+CEI!P119</f>
        <v>7</v>
      </c>
      <c r="Q119" s="35">
        <f>O119+P119</f>
        <v>10628</v>
      </c>
      <c r="R119" s="29">
        <f>+BKK!R119+DMK!R119+CNX!R119+HDY!R119+HKT!R119+CEI!R119</f>
        <v>4789</v>
      </c>
      <c r="S119" s="36">
        <f>+BKK!S119+DMK!S119+CNX!S119+HDY!S119+HKT!S119+CEI!S119</f>
        <v>6107</v>
      </c>
      <c r="T119" s="33">
        <f>R119+S119</f>
        <v>10896</v>
      </c>
      <c r="U119" s="34">
        <f>+BKK!U119+DMK!U119+CNX!U119+HDY!U119+HKT!U119+CEI!U119</f>
        <v>0</v>
      </c>
      <c r="V119" s="31">
        <f>T119+U119</f>
        <v>10896</v>
      </c>
      <c r="W119" s="256">
        <f t="shared" si="60"/>
        <v>2.5216409484380975</v>
      </c>
      <c r="Y119" s="99"/>
      <c r="Z119" s="99"/>
    </row>
    <row r="120" spans="1:26" ht="14.25" thickBot="1" thickTop="1">
      <c r="A120" s="70"/>
      <c r="B120" s="232"/>
      <c r="C120" s="233"/>
      <c r="D120" s="233"/>
      <c r="E120" s="233"/>
      <c r="F120" s="233"/>
      <c r="G120" s="233"/>
      <c r="H120" s="233"/>
      <c r="I120" s="276"/>
      <c r="J120" s="70"/>
      <c r="L120" s="44" t="s">
        <v>21</v>
      </c>
      <c r="M120" s="40">
        <f aca="true" t="shared" si="61" ref="M120:V120">M118+M117+M119</f>
        <v>13447</v>
      </c>
      <c r="N120" s="41">
        <f t="shared" si="61"/>
        <v>16191</v>
      </c>
      <c r="O120" s="40">
        <f t="shared" si="61"/>
        <v>29638</v>
      </c>
      <c r="P120" s="40">
        <f t="shared" si="61"/>
        <v>15</v>
      </c>
      <c r="Q120" s="40">
        <f t="shared" si="61"/>
        <v>29653</v>
      </c>
      <c r="R120" s="40">
        <f t="shared" si="61"/>
        <v>14286</v>
      </c>
      <c r="S120" s="41">
        <f t="shared" si="61"/>
        <v>18527</v>
      </c>
      <c r="T120" s="40">
        <f t="shared" si="61"/>
        <v>32813</v>
      </c>
      <c r="U120" s="40">
        <f t="shared" si="61"/>
        <v>0</v>
      </c>
      <c r="V120" s="42">
        <f t="shared" si="61"/>
        <v>32813</v>
      </c>
      <c r="W120" s="257">
        <f t="shared" si="60"/>
        <v>10.65659461100057</v>
      </c>
      <c r="Y120" s="99"/>
      <c r="Z120" s="99"/>
    </row>
    <row r="121" spans="2:26" ht="13.5" thickTop="1">
      <c r="B121" s="70"/>
      <c r="C121" s="70"/>
      <c r="D121" s="70"/>
      <c r="E121" s="70"/>
      <c r="F121" s="70"/>
      <c r="G121" s="70"/>
      <c r="H121" s="70"/>
      <c r="I121" s="247"/>
      <c r="L121" s="4" t="s">
        <v>22</v>
      </c>
      <c r="M121" s="29">
        <f>+BKK!M121+DMK!M121+CNX!M121+HDY!M121+HKT!M121+CEI!M121</f>
        <v>4176</v>
      </c>
      <c r="N121" s="36">
        <f>+BKK!N121+DMK!N121+CNX!N121+HDY!N121+HKT!N121+CEI!N121</f>
        <v>4941</v>
      </c>
      <c r="O121" s="33">
        <f>SUM(M121:N121)</f>
        <v>9117</v>
      </c>
      <c r="P121" s="34">
        <f>+BKK!P121+DMK!P121+CNX!P121+HDY!P121+HKT!P121+CEI!P121</f>
        <v>0</v>
      </c>
      <c r="Q121" s="35">
        <f>O121+P121</f>
        <v>9117</v>
      </c>
      <c r="R121" s="29">
        <f>+BKK!R121+DMK!R121+CNX!R121+HDY!R121+HKT!R121+CEI!R121</f>
        <v>3979</v>
      </c>
      <c r="S121" s="36">
        <f>+BKK!S121+DMK!S121+CNX!S121+HDY!S121+HKT!S121+CEI!S121</f>
        <v>5028</v>
      </c>
      <c r="T121" s="33">
        <f>+BKK!T121+DMK!T121+CNX!T121+HDY!T121+HKT!T121+CEI!T121</f>
        <v>9007</v>
      </c>
      <c r="U121" s="34">
        <f>+BKK!U121+DMK!U121+CNX!U121+HDY!U121+HKT!U121+CEI!U121</f>
        <v>0</v>
      </c>
      <c r="V121" s="31">
        <f>+BKK!V121+DMK!V121+CNX!V121+HDY!V121+HKT!V121+CEI!V121</f>
        <v>9007</v>
      </c>
      <c r="W121" s="256">
        <f t="shared" si="60"/>
        <v>-1.2065372381265815</v>
      </c>
      <c r="Y121" s="99"/>
      <c r="Z121" s="99"/>
    </row>
    <row r="122" spans="2:23" ht="12.75">
      <c r="B122" s="70"/>
      <c r="C122" s="70"/>
      <c r="D122" s="70"/>
      <c r="E122" s="70"/>
      <c r="F122" s="70"/>
      <c r="G122" s="70"/>
      <c r="H122" s="70"/>
      <c r="I122" s="247"/>
      <c r="L122" s="4" t="s">
        <v>23</v>
      </c>
      <c r="M122" s="29">
        <f>+BKK!M122+DMK!M122+CNX!M122+HDY!M122+HKT!M122+CEI!M122</f>
        <v>4219</v>
      </c>
      <c r="N122" s="36">
        <f>+BKK!N122+DMK!N122+CNX!N122+HDY!N122+HKT!N122+CEI!N122</f>
        <v>4982</v>
      </c>
      <c r="O122" s="33">
        <f>SUM(M122:N122)</f>
        <v>9201</v>
      </c>
      <c r="P122" s="34">
        <f>+BKK!P122+DMK!P122+CNX!P122+HDY!P122+HKT!P122+CEI!P122</f>
        <v>1</v>
      </c>
      <c r="Q122" s="35">
        <f>O122+P122</f>
        <v>9202</v>
      </c>
      <c r="R122" s="29">
        <f>+BKK!R122+DMK!R122+CNX!R122+HDY!R122+HKT!R122+CEI!R122</f>
        <v>3995</v>
      </c>
      <c r="S122" s="36">
        <f>+BKK!S122+DMK!S122+CNX!S122+HDY!S122+HKT!S122+CEI!S122</f>
        <v>5291</v>
      </c>
      <c r="T122" s="33">
        <f>+BKK!T122+DMK!T122+CNX!T122+HDY!T122+HKT!T122+CEI!T122</f>
        <v>9286</v>
      </c>
      <c r="U122" s="34">
        <f>+BKK!U122+DMK!U122+CNX!U122+HDY!U122+HKT!U122+CEI!U122</f>
        <v>0</v>
      </c>
      <c r="V122" s="31">
        <f>+BKK!V122+DMK!V122+CNX!V122+HDY!V122+HKT!V122+CEI!V122</f>
        <v>9286</v>
      </c>
      <c r="W122" s="256">
        <f t="shared" si="60"/>
        <v>0.9128450336883365</v>
      </c>
    </row>
    <row r="123" spans="2:23" ht="13.5" thickBot="1">
      <c r="B123" s="70"/>
      <c r="C123" s="70"/>
      <c r="D123" s="70"/>
      <c r="E123" s="70"/>
      <c r="F123" s="70"/>
      <c r="G123" s="70"/>
      <c r="H123" s="70"/>
      <c r="I123" s="247"/>
      <c r="L123" s="4" t="s">
        <v>24</v>
      </c>
      <c r="M123" s="29">
        <f>+BKK!M123+DMK!M123+CNX!M123+HDY!M123+HKT!M123+CEI!M123</f>
        <v>4256</v>
      </c>
      <c r="N123" s="36">
        <f>+BKK!N123+DMK!N123+CNX!N123+HDY!N123+HKT!N123+CEI!N123</f>
        <v>4941</v>
      </c>
      <c r="O123" s="51">
        <f>SUM(M123:N123)</f>
        <v>9197</v>
      </c>
      <c r="P123" s="52">
        <f>+BKK!P123+DMK!P123+CNX!P123+HDY!P123+HKT!P123+CEI!P123</f>
        <v>0</v>
      </c>
      <c r="Q123" s="35">
        <f>O123+P123</f>
        <v>9197</v>
      </c>
      <c r="R123" s="29">
        <f>+BKK!R123+DMK!R123+CNX!R123+HDY!R123+HKT!R123+CEI!R123</f>
        <v>3648</v>
      </c>
      <c r="S123" s="36">
        <f>+BKK!S123+DMK!S123+CNX!S123+HDY!S123+HKT!S123+CEI!S123</f>
        <v>5019</v>
      </c>
      <c r="T123" s="51">
        <f>+BKK!T123+DMK!T123+CNX!T123+HDY!T123+HKT!T123+CEI!T123</f>
        <v>8667</v>
      </c>
      <c r="U123" s="52">
        <f>+BKK!U123+DMK!U123+CNX!U123+HDY!U123+HKT!U123+CEI!U123</f>
        <v>1</v>
      </c>
      <c r="V123" s="31">
        <f>+BKK!V123+DMK!V123+CNX!V123+HDY!V123+HKT!V123+CEI!V123</f>
        <v>8668</v>
      </c>
      <c r="W123" s="256">
        <f t="shared" si="60"/>
        <v>-5.751875611612478</v>
      </c>
    </row>
    <row r="124" spans="2:23" ht="14.25" thickBot="1" thickTop="1">
      <c r="B124" s="70"/>
      <c r="C124" s="70"/>
      <c r="D124" s="70"/>
      <c r="E124" s="70"/>
      <c r="F124" s="70"/>
      <c r="G124" s="70"/>
      <c r="H124" s="70"/>
      <c r="I124" s="247"/>
      <c r="L124" s="44" t="s">
        <v>25</v>
      </c>
      <c r="M124" s="45">
        <f aca="true" t="shared" si="62" ref="M124:V124">+M121+M122+M123</f>
        <v>12651</v>
      </c>
      <c r="N124" s="45">
        <f t="shared" si="62"/>
        <v>14864</v>
      </c>
      <c r="O124" s="47">
        <f t="shared" si="62"/>
        <v>27515</v>
      </c>
      <c r="P124" s="47">
        <f t="shared" si="62"/>
        <v>1</v>
      </c>
      <c r="Q124" s="47">
        <f t="shared" si="62"/>
        <v>27516</v>
      </c>
      <c r="R124" s="45">
        <f t="shared" si="62"/>
        <v>11622</v>
      </c>
      <c r="S124" s="45">
        <f t="shared" si="62"/>
        <v>15338</v>
      </c>
      <c r="T124" s="47">
        <f t="shared" si="62"/>
        <v>26960</v>
      </c>
      <c r="U124" s="47">
        <f t="shared" si="62"/>
        <v>1</v>
      </c>
      <c r="V124" s="47">
        <f t="shared" si="62"/>
        <v>26961</v>
      </c>
      <c r="W124" s="262">
        <f t="shared" si="60"/>
        <v>-2.0170082860880956</v>
      </c>
    </row>
    <row r="125" spans="2:23" ht="13.5" thickTop="1">
      <c r="B125" s="70"/>
      <c r="C125" s="70"/>
      <c r="D125" s="70"/>
      <c r="E125" s="70"/>
      <c r="F125" s="70"/>
      <c r="G125" s="70"/>
      <c r="H125" s="70"/>
      <c r="I125" s="247"/>
      <c r="L125" s="4" t="s">
        <v>27</v>
      </c>
      <c r="M125" s="29">
        <f>+BKK!M125+DMK!M125+CNX!M125+HDY!M125+HKT!M125+CEI!M125</f>
        <v>4120</v>
      </c>
      <c r="N125" s="36">
        <f>+BKK!N125+DMK!N125+CNX!N125+HDY!N125+HKT!N125+CEI!N125</f>
        <v>5095</v>
      </c>
      <c r="O125" s="51">
        <f>M125+N125</f>
        <v>9215</v>
      </c>
      <c r="P125" s="59">
        <f>+BKK!P125+DMK!P125+CNX!P125+HDY!P125+HKT!P125+CEI!P125</f>
        <v>13</v>
      </c>
      <c r="Q125" s="35">
        <f>O125+P125</f>
        <v>9228</v>
      </c>
      <c r="R125" s="29">
        <f>+BKK!R125+DMK!R125+CNX!R125+HDY!R125+HKT!R125+CEI!R125</f>
        <v>3843</v>
      </c>
      <c r="S125" s="36">
        <f>+BKK!S125+DMK!S125+CNX!S125+HDY!S125+HKT!S125+CEI!S125</f>
        <v>5133</v>
      </c>
      <c r="T125" s="51">
        <f>+BKK!T125+DMK!T125+CNX!T125+HDY!T125+HKT!T125+CEI!T125</f>
        <v>8976</v>
      </c>
      <c r="U125" s="59">
        <f>+BKK!U125+DMK!U125+CNX!U125+HDY!U125+HKT!U125+CEI!U125</f>
        <v>6</v>
      </c>
      <c r="V125" s="31">
        <f>+BKK!V125+DMK!V125+CNX!V125+HDY!V125+HKT!V125+CEI!V125</f>
        <v>8982</v>
      </c>
      <c r="W125" s="256">
        <f t="shared" si="60"/>
        <v>-2.6657997399219813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47"/>
      <c r="L126" s="4" t="s">
        <v>28</v>
      </c>
      <c r="M126" s="29">
        <f>+BKK!M126+DMK!M126+CNX!M126+HDY!M126+HKT!M126+CEI!M126</f>
        <v>4128</v>
      </c>
      <c r="N126" s="36">
        <f>+BKK!N126+DMK!N126+CNX!N126+HDY!N126+HKT!N126+CEI!N126</f>
        <v>5043</v>
      </c>
      <c r="O126" s="51">
        <f>M126+N126</f>
        <v>9171</v>
      </c>
      <c r="P126" s="34">
        <f>+BKK!P126+DMK!P126+CNX!P126+HDY!P126+HKT!P126+CEI!P126</f>
        <v>2</v>
      </c>
      <c r="Q126" s="35">
        <f>O126+P126</f>
        <v>9173</v>
      </c>
      <c r="R126" s="29">
        <f>+BKK!R126+DMK!R126+CNX!R126+HDY!R126+HKT!R126+CEI!R126</f>
        <v>3945</v>
      </c>
      <c r="S126" s="36">
        <f>+BKK!S126+DMK!S126+CNX!S126+HDY!S126+HKT!S126+CEI!S126</f>
        <v>5132</v>
      </c>
      <c r="T126" s="51">
        <f>+BKK!T126+DMK!T126+CNX!T126+HDY!T126+HKT!T126+CEI!T126</f>
        <v>9077</v>
      </c>
      <c r="U126" s="34">
        <f>+BKK!U126+DMK!U126+CNX!U126+HDY!U126+HKT!U126+CEI!U126</f>
        <v>3</v>
      </c>
      <c r="V126" s="31">
        <f>+BKK!V126+DMK!V126+CNX!V126+HDY!V126+HKT!V126+CEI!V126</f>
        <v>9080</v>
      </c>
      <c r="W126" s="256">
        <f>IF(Q126=0,0,((V126/Q126)-1)*100)</f>
        <v>-1.0138449798321125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47"/>
      <c r="L127" s="4" t="s">
        <v>29</v>
      </c>
      <c r="M127" s="29">
        <f>+BKK!M127+DMK!M127+CNX!M127+HDY!M127+HKT!M127+CEI!M127</f>
        <v>4137</v>
      </c>
      <c r="N127" s="36">
        <f>+BKK!N127+DMK!N127+CNX!N127+HDY!N127+HKT!N127+CEI!N127</f>
        <v>4937</v>
      </c>
      <c r="O127" s="51">
        <f>M127+N127</f>
        <v>9074</v>
      </c>
      <c r="P127" s="34">
        <f>+BKK!P127+DMK!P127+CNX!P127+HDY!P127+HKT!P127+CEI!P127</f>
        <v>0</v>
      </c>
      <c r="Q127" s="35">
        <f>O127+P127</f>
        <v>9074</v>
      </c>
      <c r="R127" s="29">
        <f>+BKK!R127+DMK!R127+CNX!R127+HDY!R127+HKT!R127+CEI!R127</f>
        <v>3964</v>
      </c>
      <c r="S127" s="36">
        <f>+BKK!S127+DMK!S127+CNX!S127+HDY!S127+HKT!S127+CEI!S127</f>
        <v>5145</v>
      </c>
      <c r="T127" s="51">
        <f>+BKK!T127+DMK!T127+CNX!T127+HDY!T127+HKT!T127+CEI!T127</f>
        <v>9109</v>
      </c>
      <c r="U127" s="34">
        <f>+BKK!U127+DMK!U127+CNX!U127+HDY!U127+HKT!U127+CEI!U127</f>
        <v>2</v>
      </c>
      <c r="V127" s="31">
        <f>+BKK!V127+DMK!V127+CNX!V127+HDY!V127+HKT!V127+CEI!V127</f>
        <v>9111</v>
      </c>
      <c r="W127" s="256">
        <f t="shared" si="60"/>
        <v>0.40775843068106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47"/>
      <c r="L128" s="39" t="s">
        <v>30</v>
      </c>
      <c r="M128" s="40">
        <f aca="true" t="shared" si="63" ref="M128:V128">+M125+M126+M127</f>
        <v>12385</v>
      </c>
      <c r="N128" s="41">
        <f t="shared" si="63"/>
        <v>15075</v>
      </c>
      <c r="O128" s="40">
        <f t="shared" si="63"/>
        <v>27460</v>
      </c>
      <c r="P128" s="40">
        <f t="shared" si="63"/>
        <v>15</v>
      </c>
      <c r="Q128" s="40">
        <f t="shared" si="63"/>
        <v>27475</v>
      </c>
      <c r="R128" s="40">
        <f t="shared" si="63"/>
        <v>11752</v>
      </c>
      <c r="S128" s="41">
        <f t="shared" si="63"/>
        <v>15410</v>
      </c>
      <c r="T128" s="40">
        <f t="shared" si="63"/>
        <v>27162</v>
      </c>
      <c r="U128" s="40">
        <f t="shared" si="63"/>
        <v>11</v>
      </c>
      <c r="V128" s="40">
        <f t="shared" si="63"/>
        <v>27173</v>
      </c>
      <c r="W128" s="257">
        <f t="shared" si="60"/>
        <v>-1.0991810737033703</v>
      </c>
    </row>
    <row r="129" spans="1:26" ht="14.25" thickBot="1" thickTop="1">
      <c r="A129" s="220"/>
      <c r="B129" s="232"/>
      <c r="C129" s="233"/>
      <c r="D129" s="233"/>
      <c r="E129" s="233"/>
      <c r="F129" s="233"/>
      <c r="G129" s="233"/>
      <c r="H129" s="233"/>
      <c r="I129" s="276"/>
      <c r="J129" s="220"/>
      <c r="L129" s="39" t="s">
        <v>66</v>
      </c>
      <c r="M129" s="40">
        <f aca="true" t="shared" si="64" ref="M129:V129">+M120+M124+M128</f>
        <v>38483</v>
      </c>
      <c r="N129" s="41">
        <f t="shared" si="64"/>
        <v>46130</v>
      </c>
      <c r="O129" s="40">
        <f t="shared" si="64"/>
        <v>84613</v>
      </c>
      <c r="P129" s="40">
        <f t="shared" si="64"/>
        <v>31</v>
      </c>
      <c r="Q129" s="40">
        <f t="shared" si="64"/>
        <v>84644</v>
      </c>
      <c r="R129" s="40">
        <f t="shared" si="64"/>
        <v>37660</v>
      </c>
      <c r="S129" s="41">
        <f t="shared" si="64"/>
        <v>49275</v>
      </c>
      <c r="T129" s="40">
        <f t="shared" si="64"/>
        <v>86935</v>
      </c>
      <c r="U129" s="40">
        <f t="shared" si="64"/>
        <v>12</v>
      </c>
      <c r="V129" s="42">
        <f t="shared" si="64"/>
        <v>86947</v>
      </c>
      <c r="W129" s="257">
        <f t="shared" si="60"/>
        <v>2.7208071452199833</v>
      </c>
      <c r="Y129" s="99"/>
      <c r="Z129" s="99"/>
    </row>
    <row r="130" spans="2:23" ht="14.25" thickBot="1" thickTop="1">
      <c r="B130" s="70"/>
      <c r="C130" s="70"/>
      <c r="D130" s="70"/>
      <c r="E130" s="70"/>
      <c r="F130" s="70"/>
      <c r="G130" s="70"/>
      <c r="H130" s="70"/>
      <c r="I130" s="247"/>
      <c r="L130" s="39" t="s">
        <v>9</v>
      </c>
      <c r="M130" s="40">
        <f aca="true" t="shared" si="65" ref="M130:V130">+M120+M124+M128+M116</f>
        <v>52878</v>
      </c>
      <c r="N130" s="41">
        <f t="shared" si="65"/>
        <v>63234</v>
      </c>
      <c r="O130" s="40">
        <f t="shared" si="65"/>
        <v>116112</v>
      </c>
      <c r="P130" s="40">
        <f t="shared" si="65"/>
        <v>44</v>
      </c>
      <c r="Q130" s="40">
        <f t="shared" si="65"/>
        <v>116156</v>
      </c>
      <c r="R130" s="40">
        <f t="shared" si="65"/>
        <v>52819</v>
      </c>
      <c r="S130" s="41">
        <f t="shared" si="65"/>
        <v>68741</v>
      </c>
      <c r="T130" s="40">
        <f t="shared" si="65"/>
        <v>121560</v>
      </c>
      <c r="U130" s="40">
        <f t="shared" si="65"/>
        <v>30</v>
      </c>
      <c r="V130" s="40">
        <f t="shared" si="65"/>
        <v>121590</v>
      </c>
      <c r="W130" s="257">
        <f t="shared" si="60"/>
        <v>4.678191397775411</v>
      </c>
    </row>
    <row r="131" spans="2:23" ht="13.5" thickTop="1">
      <c r="B131" s="70"/>
      <c r="C131" s="70"/>
      <c r="D131" s="70"/>
      <c r="E131" s="70"/>
      <c r="F131" s="70"/>
      <c r="G131" s="70"/>
      <c r="H131" s="70"/>
      <c r="I131" s="247"/>
      <c r="L131" s="63" t="s">
        <v>64</v>
      </c>
      <c r="W131" s="243"/>
    </row>
    <row r="132" spans="2:23" ht="12.75">
      <c r="B132" s="70"/>
      <c r="C132" s="70"/>
      <c r="D132" s="70"/>
      <c r="E132" s="70"/>
      <c r="F132" s="70"/>
      <c r="G132" s="70"/>
      <c r="H132" s="70"/>
      <c r="I132" s="247"/>
      <c r="L132" s="336" t="s">
        <v>49</v>
      </c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</row>
    <row r="133" spans="2:23" ht="15.75">
      <c r="B133" s="70"/>
      <c r="C133" s="70"/>
      <c r="D133" s="70"/>
      <c r="E133" s="70"/>
      <c r="F133" s="70"/>
      <c r="G133" s="70"/>
      <c r="H133" s="70"/>
      <c r="I133" s="247"/>
      <c r="L133" s="337" t="s">
        <v>50</v>
      </c>
      <c r="M133" s="337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</row>
    <row r="134" spans="2:23" ht="13.5" thickBot="1">
      <c r="B134" s="70"/>
      <c r="C134" s="70"/>
      <c r="D134" s="70"/>
      <c r="E134" s="70"/>
      <c r="F134" s="70"/>
      <c r="G134" s="70"/>
      <c r="H134" s="70"/>
      <c r="I134" s="247"/>
      <c r="W134" s="242" t="s">
        <v>43</v>
      </c>
    </row>
    <row r="135" spans="2:23" ht="17.25" thickBot="1" thickTop="1">
      <c r="B135" s="70"/>
      <c r="C135" s="70"/>
      <c r="D135" s="70"/>
      <c r="E135" s="70"/>
      <c r="F135" s="70"/>
      <c r="G135" s="70"/>
      <c r="H135" s="70"/>
      <c r="I135" s="247"/>
      <c r="L135" s="3"/>
      <c r="M135" s="347" t="s">
        <v>67</v>
      </c>
      <c r="N135" s="348"/>
      <c r="O135" s="348"/>
      <c r="P135" s="348"/>
      <c r="Q135" s="349"/>
      <c r="R135" s="338" t="s">
        <v>68</v>
      </c>
      <c r="S135" s="339"/>
      <c r="T135" s="339"/>
      <c r="U135" s="339"/>
      <c r="V135" s="340"/>
      <c r="W135" s="239" t="s">
        <v>4</v>
      </c>
    </row>
    <row r="136" spans="2:23" ht="13.5" thickTop="1">
      <c r="B136" s="70"/>
      <c r="C136" s="70"/>
      <c r="D136" s="70"/>
      <c r="E136" s="70"/>
      <c r="F136" s="70"/>
      <c r="G136" s="70"/>
      <c r="H136" s="70"/>
      <c r="I136" s="247"/>
      <c r="L136" s="4" t="s">
        <v>5</v>
      </c>
      <c r="M136" s="5"/>
      <c r="N136" s="8"/>
      <c r="O136" s="9"/>
      <c r="P136" s="10"/>
      <c r="Q136" s="11"/>
      <c r="R136" s="5"/>
      <c r="S136" s="8"/>
      <c r="T136" s="9"/>
      <c r="U136" s="10"/>
      <c r="V136" s="11"/>
      <c r="W136" s="240" t="s">
        <v>6</v>
      </c>
    </row>
    <row r="137" spans="2:23" ht="13.5" thickBot="1">
      <c r="B137" s="70"/>
      <c r="C137" s="70"/>
      <c r="D137" s="70"/>
      <c r="E137" s="70"/>
      <c r="F137" s="70"/>
      <c r="G137" s="70"/>
      <c r="H137" s="70"/>
      <c r="I137" s="247"/>
      <c r="L137" s="12"/>
      <c r="M137" s="15" t="s">
        <v>44</v>
      </c>
      <c r="N137" s="16" t="s">
        <v>45</v>
      </c>
      <c r="O137" s="17" t="s">
        <v>46</v>
      </c>
      <c r="P137" s="18" t="s">
        <v>13</v>
      </c>
      <c r="Q137" s="19" t="s">
        <v>9</v>
      </c>
      <c r="R137" s="15" t="s">
        <v>44</v>
      </c>
      <c r="S137" s="16" t="s">
        <v>45</v>
      </c>
      <c r="T137" s="17" t="s">
        <v>46</v>
      </c>
      <c r="U137" s="18" t="s">
        <v>13</v>
      </c>
      <c r="V137" s="19" t="s">
        <v>9</v>
      </c>
      <c r="W137" s="241"/>
    </row>
    <row r="138" spans="2:23" ht="4.5" customHeight="1" thickTop="1">
      <c r="B138" s="70"/>
      <c r="C138" s="70"/>
      <c r="D138" s="70"/>
      <c r="E138" s="70"/>
      <c r="F138" s="70"/>
      <c r="G138" s="70"/>
      <c r="H138" s="70"/>
      <c r="I138" s="247"/>
      <c r="L138" s="4"/>
      <c r="M138" s="23"/>
      <c r="N138" s="24"/>
      <c r="O138" s="25"/>
      <c r="P138" s="26"/>
      <c r="Q138" s="27"/>
      <c r="R138" s="23"/>
      <c r="S138" s="24"/>
      <c r="T138" s="25"/>
      <c r="U138" s="26"/>
      <c r="V138" s="28"/>
      <c r="W138" s="207"/>
    </row>
    <row r="139" spans="2:23" ht="12.75">
      <c r="B139" s="70"/>
      <c r="C139" s="70"/>
      <c r="D139" s="70"/>
      <c r="E139" s="70"/>
      <c r="F139" s="70"/>
      <c r="G139" s="70"/>
      <c r="H139" s="70"/>
      <c r="I139" s="247"/>
      <c r="L139" s="4" t="s">
        <v>14</v>
      </c>
      <c r="M139" s="29">
        <f aca="true" t="shared" si="66" ref="M139:N141">+M87+M113</f>
        <v>51854</v>
      </c>
      <c r="N139" s="36">
        <f t="shared" si="66"/>
        <v>69332</v>
      </c>
      <c r="O139" s="33">
        <f>M139+N139</f>
        <v>121186</v>
      </c>
      <c r="P139" s="34">
        <f>+P87+P113</f>
        <v>2926</v>
      </c>
      <c r="Q139" s="35">
        <f>O139+P139</f>
        <v>124112</v>
      </c>
      <c r="R139" s="29">
        <f aca="true" t="shared" si="67" ref="R139:S141">+R87+R113</f>
        <v>52424</v>
      </c>
      <c r="S139" s="36">
        <f t="shared" si="67"/>
        <v>63738</v>
      </c>
      <c r="T139" s="33">
        <f>R139+S139</f>
        <v>116162</v>
      </c>
      <c r="U139" s="34">
        <f>+U87+U113</f>
        <v>3062</v>
      </c>
      <c r="V139" s="31">
        <f>T139+U139</f>
        <v>119224</v>
      </c>
      <c r="W139" s="256">
        <f aca="true" t="shared" si="68" ref="W139:W156">IF(Q139=0,0,((V139/Q139)-1)*100)</f>
        <v>-3.938378239009932</v>
      </c>
    </row>
    <row r="140" spans="2:23" ht="12.75">
      <c r="B140" s="70"/>
      <c r="C140" s="70"/>
      <c r="D140" s="70"/>
      <c r="E140" s="70"/>
      <c r="F140" s="70"/>
      <c r="G140" s="70"/>
      <c r="H140" s="70"/>
      <c r="I140" s="247"/>
      <c r="L140" s="4" t="s">
        <v>15</v>
      </c>
      <c r="M140" s="29">
        <f t="shared" si="66"/>
        <v>51011</v>
      </c>
      <c r="N140" s="36">
        <f t="shared" si="66"/>
        <v>70514</v>
      </c>
      <c r="O140" s="33">
        <f>M140+N140</f>
        <v>121525</v>
      </c>
      <c r="P140" s="34">
        <f>+P88+P114</f>
        <v>2789</v>
      </c>
      <c r="Q140" s="35">
        <f>O140+P140</f>
        <v>124314</v>
      </c>
      <c r="R140" s="29">
        <f t="shared" si="67"/>
        <v>52797</v>
      </c>
      <c r="S140" s="36">
        <f t="shared" si="67"/>
        <v>58969</v>
      </c>
      <c r="T140" s="33">
        <f>R140+S140</f>
        <v>111766</v>
      </c>
      <c r="U140" s="34">
        <f>+U88+U114</f>
        <v>2820</v>
      </c>
      <c r="V140" s="31">
        <f>T140+U140</f>
        <v>114586</v>
      </c>
      <c r="W140" s="256">
        <f t="shared" si="68"/>
        <v>-7.8253454960825035</v>
      </c>
    </row>
    <row r="141" spans="2:23" ht="13.5" thickBot="1">
      <c r="B141" s="70"/>
      <c r="C141" s="70"/>
      <c r="D141" s="70"/>
      <c r="E141" s="70"/>
      <c r="F141" s="70"/>
      <c r="G141" s="70"/>
      <c r="H141" s="70"/>
      <c r="I141" s="247"/>
      <c r="L141" s="12" t="s">
        <v>16</v>
      </c>
      <c r="M141" s="29">
        <f t="shared" si="66"/>
        <v>50685</v>
      </c>
      <c r="N141" s="36">
        <f t="shared" si="66"/>
        <v>72254</v>
      </c>
      <c r="O141" s="33">
        <f>M141+N141</f>
        <v>122939</v>
      </c>
      <c r="P141" s="34">
        <f>+P89+P115</f>
        <v>2620</v>
      </c>
      <c r="Q141" s="35">
        <f>O141+P141</f>
        <v>125559</v>
      </c>
      <c r="R141" s="29">
        <f t="shared" si="67"/>
        <v>58216</v>
      </c>
      <c r="S141" s="36">
        <f t="shared" si="67"/>
        <v>67136</v>
      </c>
      <c r="T141" s="33">
        <f>R141+S141</f>
        <v>125352</v>
      </c>
      <c r="U141" s="34">
        <f>+U89+U115</f>
        <v>2829</v>
      </c>
      <c r="V141" s="31">
        <f>T141+U141</f>
        <v>128181</v>
      </c>
      <c r="W141" s="256">
        <f t="shared" si="68"/>
        <v>2.088261295486582</v>
      </c>
    </row>
    <row r="142" spans="2:23" ht="14.25" thickBot="1" thickTop="1">
      <c r="B142" s="70"/>
      <c r="C142" s="70"/>
      <c r="D142" s="70"/>
      <c r="E142" s="70"/>
      <c r="F142" s="70"/>
      <c r="G142" s="70"/>
      <c r="H142" s="70"/>
      <c r="I142" s="247"/>
      <c r="L142" s="39" t="s">
        <v>17</v>
      </c>
      <c r="M142" s="40">
        <f aca="true" t="shared" si="69" ref="M142:V142">M141+M139+M140</f>
        <v>153550</v>
      </c>
      <c r="N142" s="41">
        <f t="shared" si="69"/>
        <v>212100</v>
      </c>
      <c r="O142" s="40">
        <f t="shared" si="69"/>
        <v>365650</v>
      </c>
      <c r="P142" s="40">
        <f t="shared" si="69"/>
        <v>8335</v>
      </c>
      <c r="Q142" s="40">
        <f t="shared" si="69"/>
        <v>373985</v>
      </c>
      <c r="R142" s="40">
        <f t="shared" si="69"/>
        <v>163437</v>
      </c>
      <c r="S142" s="41">
        <f t="shared" si="69"/>
        <v>189843</v>
      </c>
      <c r="T142" s="40">
        <f t="shared" si="69"/>
        <v>353280</v>
      </c>
      <c r="U142" s="40">
        <f t="shared" si="69"/>
        <v>8711</v>
      </c>
      <c r="V142" s="42">
        <f t="shared" si="69"/>
        <v>361991</v>
      </c>
      <c r="W142" s="257">
        <f t="shared" si="68"/>
        <v>-3.207080497880932</v>
      </c>
    </row>
    <row r="143" spans="2:23" ht="13.5" thickTop="1">
      <c r="B143" s="70"/>
      <c r="C143" s="70"/>
      <c r="D143" s="70"/>
      <c r="E143" s="70"/>
      <c r="F143" s="70"/>
      <c r="G143" s="70"/>
      <c r="H143" s="70"/>
      <c r="I143" s="247"/>
      <c r="L143" s="4" t="s">
        <v>18</v>
      </c>
      <c r="M143" s="29">
        <f aca="true" t="shared" si="70" ref="M143:N145">+M91+M117</f>
        <v>48531</v>
      </c>
      <c r="N143" s="36">
        <f t="shared" si="70"/>
        <v>64968</v>
      </c>
      <c r="O143" s="33">
        <f>M143+N143</f>
        <v>113499</v>
      </c>
      <c r="P143" s="34">
        <f>+P91+P117</f>
        <v>2344</v>
      </c>
      <c r="Q143" s="35">
        <f>O143+P143</f>
        <v>115843</v>
      </c>
      <c r="R143" s="29">
        <f aca="true" t="shared" si="71" ref="R143:S145">+R91+R117</f>
        <v>51455</v>
      </c>
      <c r="S143" s="36">
        <f t="shared" si="71"/>
        <v>65828</v>
      </c>
      <c r="T143" s="33">
        <f>R143+S143</f>
        <v>117283</v>
      </c>
      <c r="U143" s="34">
        <f>+U91+U117</f>
        <v>2502</v>
      </c>
      <c r="V143" s="31">
        <f>T143+U143</f>
        <v>119785</v>
      </c>
      <c r="W143" s="256">
        <f t="shared" si="68"/>
        <v>3.402881486149356</v>
      </c>
    </row>
    <row r="144" spans="2:26" ht="12.75">
      <c r="B144" s="70"/>
      <c r="C144" s="70"/>
      <c r="D144" s="70"/>
      <c r="E144" s="70"/>
      <c r="F144" s="70"/>
      <c r="G144" s="70"/>
      <c r="H144" s="70"/>
      <c r="I144" s="247"/>
      <c r="L144" s="4" t="s">
        <v>19</v>
      </c>
      <c r="M144" s="29">
        <f t="shared" si="70"/>
        <v>43606</v>
      </c>
      <c r="N144" s="36">
        <f t="shared" si="70"/>
        <v>60703</v>
      </c>
      <c r="O144" s="33">
        <f>M144+N144</f>
        <v>104309</v>
      </c>
      <c r="P144" s="34">
        <f>+P92+P118</f>
        <v>2109</v>
      </c>
      <c r="Q144" s="35">
        <f>O144+P144</f>
        <v>106418</v>
      </c>
      <c r="R144" s="29">
        <f t="shared" si="71"/>
        <v>54843</v>
      </c>
      <c r="S144" s="36">
        <f t="shared" si="71"/>
        <v>66512</v>
      </c>
      <c r="T144" s="33">
        <f>R144+S144</f>
        <v>121355</v>
      </c>
      <c r="U144" s="34">
        <f>+U92+U118</f>
        <v>3017</v>
      </c>
      <c r="V144" s="31">
        <f>T144+U144</f>
        <v>124372</v>
      </c>
      <c r="W144" s="256">
        <f t="shared" si="68"/>
        <v>16.87120599898513</v>
      </c>
      <c r="Y144" s="99"/>
      <c r="Z144" s="99"/>
    </row>
    <row r="145" spans="2:23" ht="13.5" thickBot="1">
      <c r="B145" s="70"/>
      <c r="C145" s="70"/>
      <c r="D145" s="70"/>
      <c r="E145" s="70"/>
      <c r="F145" s="70"/>
      <c r="G145" s="70"/>
      <c r="H145" s="70"/>
      <c r="I145" s="247"/>
      <c r="L145" s="4" t="s">
        <v>20</v>
      </c>
      <c r="M145" s="29">
        <f t="shared" si="70"/>
        <v>56060</v>
      </c>
      <c r="N145" s="36">
        <f t="shared" si="70"/>
        <v>73273</v>
      </c>
      <c r="O145" s="33">
        <f>M145+N145</f>
        <v>129333</v>
      </c>
      <c r="P145" s="34">
        <f>+P93+P119</f>
        <v>2507</v>
      </c>
      <c r="Q145" s="35">
        <f>O145+P145</f>
        <v>131840</v>
      </c>
      <c r="R145" s="29">
        <f t="shared" si="71"/>
        <v>60362</v>
      </c>
      <c r="S145" s="36">
        <f t="shared" si="71"/>
        <v>74634</v>
      </c>
      <c r="T145" s="33">
        <f>R145+S145</f>
        <v>134996</v>
      </c>
      <c r="U145" s="34">
        <f>+U93+U119</f>
        <v>3050</v>
      </c>
      <c r="V145" s="31">
        <f>T145+U145</f>
        <v>138046</v>
      </c>
      <c r="W145" s="256">
        <f t="shared" si="68"/>
        <v>4.707220873786411</v>
      </c>
    </row>
    <row r="146" spans="1:26" ht="14.25" thickBot="1" thickTop="1">
      <c r="A146" s="70"/>
      <c r="B146" s="232"/>
      <c r="C146" s="233"/>
      <c r="D146" s="233"/>
      <c r="E146" s="233"/>
      <c r="F146" s="233"/>
      <c r="G146" s="233"/>
      <c r="H146" s="233"/>
      <c r="I146" s="276"/>
      <c r="J146" s="70"/>
      <c r="L146" s="44" t="s">
        <v>21</v>
      </c>
      <c r="M146" s="40">
        <f aca="true" t="shared" si="72" ref="M146:V146">M144+M143+M145</f>
        <v>148197</v>
      </c>
      <c r="N146" s="41">
        <f t="shared" si="72"/>
        <v>198944</v>
      </c>
      <c r="O146" s="40">
        <f t="shared" si="72"/>
        <v>347141</v>
      </c>
      <c r="P146" s="40">
        <f t="shared" si="72"/>
        <v>6960</v>
      </c>
      <c r="Q146" s="40">
        <f t="shared" si="72"/>
        <v>354101</v>
      </c>
      <c r="R146" s="40">
        <f t="shared" si="72"/>
        <v>166660</v>
      </c>
      <c r="S146" s="41">
        <f t="shared" si="72"/>
        <v>206974</v>
      </c>
      <c r="T146" s="40">
        <f t="shared" si="72"/>
        <v>373634</v>
      </c>
      <c r="U146" s="40">
        <f t="shared" si="72"/>
        <v>8569</v>
      </c>
      <c r="V146" s="42">
        <f t="shared" si="72"/>
        <v>382203</v>
      </c>
      <c r="W146" s="257">
        <f t="shared" si="68"/>
        <v>7.9361538092239226</v>
      </c>
      <c r="Y146" s="99"/>
      <c r="Z146" s="99"/>
    </row>
    <row r="147" spans="2:26" ht="13.5" thickTop="1">
      <c r="B147" s="70"/>
      <c r="C147" s="70"/>
      <c r="D147" s="70"/>
      <c r="E147" s="70"/>
      <c r="F147" s="70"/>
      <c r="G147" s="70"/>
      <c r="H147" s="70"/>
      <c r="I147" s="247"/>
      <c r="L147" s="4" t="s">
        <v>22</v>
      </c>
      <c r="M147" s="29">
        <f aca="true" t="shared" si="73" ref="M147:N149">+M95+M121</f>
        <v>49268</v>
      </c>
      <c r="N147" s="36">
        <f t="shared" si="73"/>
        <v>64554</v>
      </c>
      <c r="O147" s="33">
        <f>M147+N147</f>
        <v>113822</v>
      </c>
      <c r="P147" s="34">
        <f>+P95+P121</f>
        <v>2264</v>
      </c>
      <c r="Q147" s="35">
        <f>O147+P147</f>
        <v>116086</v>
      </c>
      <c r="R147" s="29">
        <f>+R95+R121</f>
        <v>53884</v>
      </c>
      <c r="S147" s="36">
        <f>+S95+S121</f>
        <v>66365</v>
      </c>
      <c r="T147" s="33">
        <f>+T95+T121</f>
        <v>120249</v>
      </c>
      <c r="U147" s="34">
        <f>+U95+U121</f>
        <v>2861</v>
      </c>
      <c r="V147" s="31">
        <f>+V95+V121</f>
        <v>123110</v>
      </c>
      <c r="W147" s="256">
        <f t="shared" si="68"/>
        <v>6.050686559964169</v>
      </c>
      <c r="Y147" s="99"/>
      <c r="Z147" s="99"/>
    </row>
    <row r="148" spans="2:23" ht="12.75">
      <c r="B148" s="70"/>
      <c r="C148" s="70"/>
      <c r="D148" s="70"/>
      <c r="E148" s="70"/>
      <c r="F148" s="70"/>
      <c r="G148" s="70"/>
      <c r="H148" s="70"/>
      <c r="I148" s="247"/>
      <c r="L148" s="4" t="s">
        <v>23</v>
      </c>
      <c r="M148" s="29">
        <f t="shared" si="73"/>
        <v>49032</v>
      </c>
      <c r="N148" s="36">
        <f t="shared" si="73"/>
        <v>65592</v>
      </c>
      <c r="O148" s="33">
        <f>M148+N148</f>
        <v>114624</v>
      </c>
      <c r="P148" s="34">
        <f>+P96+P122</f>
        <v>2226</v>
      </c>
      <c r="Q148" s="35">
        <f>O148+P148</f>
        <v>116850</v>
      </c>
      <c r="R148" s="29">
        <f>+BKK!R148+DMK!R148+CNX!R148+HDY!R148+HKT!R148+CEI!R148</f>
        <v>53703</v>
      </c>
      <c r="S148" s="36">
        <f>+BKK!S148+DMK!S148+CNX!S148+HDY!S148+HKT!S148+CEI!S148</f>
        <v>70711</v>
      </c>
      <c r="T148" s="33">
        <f>+BKK!T148+DMK!T148+CNX!T148+HDY!T148+HKT!T148+CEI!T148</f>
        <v>124414</v>
      </c>
      <c r="U148" s="34">
        <f>+BKK!U148+DMK!U148+CNX!U148+HDY!U148+HKT!U148+CEI!U148</f>
        <v>2721</v>
      </c>
      <c r="V148" s="31">
        <f>+BKK!V148+DMK!V148+CNX!V148+HDY!V148+HKT!V148+CEI!V148</f>
        <v>127135</v>
      </c>
      <c r="W148" s="256">
        <f t="shared" si="68"/>
        <v>8.801882755669666</v>
      </c>
    </row>
    <row r="149" spans="2:23" ht="13.5" thickBot="1">
      <c r="B149" s="70"/>
      <c r="C149" s="70"/>
      <c r="D149" s="70"/>
      <c r="E149" s="70"/>
      <c r="F149" s="70"/>
      <c r="G149" s="70"/>
      <c r="H149" s="70"/>
      <c r="I149" s="247"/>
      <c r="L149" s="4" t="s">
        <v>24</v>
      </c>
      <c r="M149" s="29">
        <f t="shared" si="73"/>
        <v>50911</v>
      </c>
      <c r="N149" s="36">
        <f t="shared" si="73"/>
        <v>66671</v>
      </c>
      <c r="O149" s="33">
        <f>M149+N149</f>
        <v>117582</v>
      </c>
      <c r="P149" s="34">
        <f>+P97+P123</f>
        <v>1878</v>
      </c>
      <c r="Q149" s="35">
        <f>O149+P149</f>
        <v>119460</v>
      </c>
      <c r="R149" s="29">
        <f>+BKK!R149+DMK!R149+CNX!R149+HDY!R149+HKT!R149+CEI!R149</f>
        <v>51722</v>
      </c>
      <c r="S149" s="36">
        <f>+BKK!S149+DMK!S149+CNX!S149+HDY!S149+HKT!S149+CEI!S149</f>
        <v>66389</v>
      </c>
      <c r="T149" s="51">
        <f>+BKK!T149+DMK!T149+CNX!T149+HDY!T149+HKT!T149+CEI!T149</f>
        <v>118111</v>
      </c>
      <c r="U149" s="52">
        <f>+BKK!U149+DMK!U149+CNX!U149+HDY!U149+HKT!U149+CEI!U149</f>
        <v>3088</v>
      </c>
      <c r="V149" s="31">
        <f>+BKK!V149+DMK!V149+CNX!V149+HDY!V149+HKT!V149+CEI!V149</f>
        <v>121199</v>
      </c>
      <c r="W149" s="256">
        <f t="shared" si="68"/>
        <v>1.4557173949439228</v>
      </c>
    </row>
    <row r="150" spans="2:23" ht="14.25" thickBot="1" thickTop="1">
      <c r="B150" s="70"/>
      <c r="C150" s="70"/>
      <c r="D150" s="70"/>
      <c r="E150" s="70"/>
      <c r="F150" s="70"/>
      <c r="G150" s="70"/>
      <c r="H150" s="70"/>
      <c r="I150" s="247"/>
      <c r="J150" s="70"/>
      <c r="L150" s="44" t="s">
        <v>25</v>
      </c>
      <c r="M150" s="45">
        <f aca="true" t="shared" si="74" ref="M150:V150">+M147+M148+M149</f>
        <v>149211</v>
      </c>
      <c r="N150" s="45">
        <f t="shared" si="74"/>
        <v>196817</v>
      </c>
      <c r="O150" s="47">
        <f t="shared" si="74"/>
        <v>346028</v>
      </c>
      <c r="P150" s="47">
        <f t="shared" si="74"/>
        <v>6368</v>
      </c>
      <c r="Q150" s="47">
        <f t="shared" si="74"/>
        <v>352396</v>
      </c>
      <c r="R150" s="45">
        <f t="shared" si="74"/>
        <v>159309</v>
      </c>
      <c r="S150" s="45">
        <f t="shared" si="74"/>
        <v>203465</v>
      </c>
      <c r="T150" s="47">
        <f t="shared" si="74"/>
        <v>362774</v>
      </c>
      <c r="U150" s="47">
        <f t="shared" si="74"/>
        <v>8670</v>
      </c>
      <c r="V150" s="47">
        <f t="shared" si="74"/>
        <v>371444</v>
      </c>
      <c r="W150" s="262">
        <f t="shared" si="68"/>
        <v>5.405282693333646</v>
      </c>
    </row>
    <row r="151" spans="2:23" ht="13.5" thickTop="1">
      <c r="B151" s="70"/>
      <c r="C151" s="70"/>
      <c r="D151" s="70"/>
      <c r="E151" s="70"/>
      <c r="F151" s="70"/>
      <c r="G151" s="70"/>
      <c r="H151" s="70"/>
      <c r="I151" s="247"/>
      <c r="J151" s="70"/>
      <c r="L151" s="4" t="s">
        <v>27</v>
      </c>
      <c r="M151" s="29">
        <f aca="true" t="shared" si="75" ref="M151:N153">+M99+M125</f>
        <v>52194</v>
      </c>
      <c r="N151" s="36">
        <f t="shared" si="75"/>
        <v>65518</v>
      </c>
      <c r="O151" s="33">
        <f>M151+N151</f>
        <v>117712</v>
      </c>
      <c r="P151" s="34">
        <f>+P99+P125</f>
        <v>2452</v>
      </c>
      <c r="Q151" s="35">
        <f>O151+P151</f>
        <v>120164</v>
      </c>
      <c r="R151" s="29">
        <f>+BKK!R151+DMK!R151+CNX!R151+HDY!R151+HKT!R151+CEI!R151</f>
        <v>52906</v>
      </c>
      <c r="S151" s="36">
        <f>+BKK!S151+DMK!S151+CNX!S151+HDY!S151+HKT!S151+CEI!S151</f>
        <v>63797</v>
      </c>
      <c r="T151" s="51">
        <f>+BKK!T151+DMK!T151+CNX!T151+HDY!T151+HKT!T151+CEI!T151</f>
        <v>116703</v>
      </c>
      <c r="U151" s="59">
        <f>+BKK!U151+DMK!U151+CNX!U151+HDY!U151+HKT!U151+CEI!U151</f>
        <v>2899</v>
      </c>
      <c r="V151" s="31">
        <f>+BKK!V151+DMK!V151+CNX!V151+HDY!V151+HKT!V151+CEI!V151</f>
        <v>119602</v>
      </c>
      <c r="W151" s="256">
        <f t="shared" si="68"/>
        <v>-0.46769415132652536</v>
      </c>
    </row>
    <row r="152" spans="2:23" ht="12.75">
      <c r="B152" s="298"/>
      <c r="C152" s="146"/>
      <c r="D152" s="146"/>
      <c r="E152" s="234"/>
      <c r="F152" s="146"/>
      <c r="G152" s="146"/>
      <c r="H152" s="234"/>
      <c r="I152" s="295"/>
      <c r="J152" s="70"/>
      <c r="L152" s="4" t="s">
        <v>28</v>
      </c>
      <c r="M152" s="29">
        <f t="shared" si="75"/>
        <v>49677</v>
      </c>
      <c r="N152" s="36">
        <f t="shared" si="75"/>
        <v>63879</v>
      </c>
      <c r="O152" s="33">
        <f>+O100+O126</f>
        <v>113556</v>
      </c>
      <c r="P152" s="34">
        <f>+P100+P126</f>
        <v>2397</v>
      </c>
      <c r="Q152" s="35">
        <f aca="true" t="shared" si="76" ref="Q152:V152">+Q100+Q126</f>
        <v>115953</v>
      </c>
      <c r="R152" s="29">
        <f t="shared" si="76"/>
        <v>50562</v>
      </c>
      <c r="S152" s="36">
        <f t="shared" si="76"/>
        <v>60155</v>
      </c>
      <c r="T152" s="33">
        <f t="shared" si="76"/>
        <v>110717</v>
      </c>
      <c r="U152" s="34">
        <f t="shared" si="76"/>
        <v>2935</v>
      </c>
      <c r="V152" s="31">
        <f t="shared" si="76"/>
        <v>113652</v>
      </c>
      <c r="W152" s="256">
        <f>IF(Q152=0,0,((V152/Q152)-1)*100)</f>
        <v>-1.9844247238105073</v>
      </c>
    </row>
    <row r="153" spans="2:23" ht="13.5" thickBot="1">
      <c r="B153" s="70"/>
      <c r="C153" s="70"/>
      <c r="D153" s="70"/>
      <c r="E153" s="70"/>
      <c r="F153" s="70"/>
      <c r="G153" s="70"/>
      <c r="H153" s="70"/>
      <c r="I153" s="247"/>
      <c r="L153" s="4" t="s">
        <v>29</v>
      </c>
      <c r="M153" s="29">
        <f t="shared" si="75"/>
        <v>50688</v>
      </c>
      <c r="N153" s="36">
        <f t="shared" si="75"/>
        <v>64965</v>
      </c>
      <c r="O153" s="33">
        <f>M153+N153</f>
        <v>115653</v>
      </c>
      <c r="P153" s="52">
        <f>+P101+P127</f>
        <v>2318</v>
      </c>
      <c r="Q153" s="35">
        <f>O153+P153</f>
        <v>117971</v>
      </c>
      <c r="R153" s="29">
        <f>+BKK!R153+DMK!R153+CNX!R153+HDY!R153+HKT!R153+CEI!R153</f>
        <v>53243</v>
      </c>
      <c r="S153" s="36">
        <f>+BKK!S153+DMK!S153+CNX!S153+HDY!S153+HKT!S153+CEI!S153</f>
        <v>62749</v>
      </c>
      <c r="T153" s="33">
        <f>+BKK!T153+DMK!T153+CNX!T153+HDY!T153+HKT!T153+CEI!T153</f>
        <v>115992</v>
      </c>
      <c r="U153" s="52">
        <f>+BKK!U153+DMK!U153+CNX!U153+HDY!U153+HKT!U153+CEI!U153</f>
        <v>2841</v>
      </c>
      <c r="V153" s="31">
        <f>+BKK!V153+DMK!V153+CNX!V153+HDY!V153+HKT!V153+CEI!V153</f>
        <v>118833</v>
      </c>
      <c r="W153" s="256">
        <f t="shared" si="68"/>
        <v>0.7306880504530877</v>
      </c>
    </row>
    <row r="154" spans="2:23" ht="14.25" thickBot="1" thickTop="1">
      <c r="B154" s="70"/>
      <c r="C154" s="70"/>
      <c r="D154" s="70"/>
      <c r="E154" s="70"/>
      <c r="F154" s="70"/>
      <c r="G154" s="70"/>
      <c r="H154" s="70"/>
      <c r="I154" s="247"/>
      <c r="L154" s="39" t="s">
        <v>30</v>
      </c>
      <c r="M154" s="40">
        <f aca="true" t="shared" si="77" ref="M154:V154">+M151+M152+M153</f>
        <v>152559</v>
      </c>
      <c r="N154" s="41">
        <f t="shared" si="77"/>
        <v>194362</v>
      </c>
      <c r="O154" s="40">
        <f t="shared" si="77"/>
        <v>346921</v>
      </c>
      <c r="P154" s="40">
        <f t="shared" si="77"/>
        <v>7167</v>
      </c>
      <c r="Q154" s="43">
        <f t="shared" si="77"/>
        <v>354088</v>
      </c>
      <c r="R154" s="40">
        <f t="shared" si="77"/>
        <v>156711</v>
      </c>
      <c r="S154" s="41">
        <f t="shared" si="77"/>
        <v>186701</v>
      </c>
      <c r="T154" s="40">
        <f t="shared" si="77"/>
        <v>343412</v>
      </c>
      <c r="U154" s="40">
        <f t="shared" si="77"/>
        <v>8675</v>
      </c>
      <c r="V154" s="42">
        <f t="shared" si="77"/>
        <v>352087</v>
      </c>
      <c r="W154" s="257">
        <f t="shared" si="68"/>
        <v>-0.565113757032154</v>
      </c>
    </row>
    <row r="155" spans="1:26" ht="14.25" thickBot="1" thickTop="1">
      <c r="A155" s="220"/>
      <c r="B155" s="232"/>
      <c r="C155" s="233"/>
      <c r="D155" s="233"/>
      <c r="E155" s="233"/>
      <c r="F155" s="233"/>
      <c r="G155" s="233"/>
      <c r="H155" s="233"/>
      <c r="I155" s="276"/>
      <c r="J155" s="220"/>
      <c r="L155" s="39" t="s">
        <v>66</v>
      </c>
      <c r="M155" s="40">
        <f aca="true" t="shared" si="78" ref="M155:V155">+M146+M150+M154</f>
        <v>449967</v>
      </c>
      <c r="N155" s="41">
        <f t="shared" si="78"/>
        <v>590123</v>
      </c>
      <c r="O155" s="40">
        <f t="shared" si="78"/>
        <v>1040090</v>
      </c>
      <c r="P155" s="40">
        <f t="shared" si="78"/>
        <v>20495</v>
      </c>
      <c r="Q155" s="40">
        <f t="shared" si="78"/>
        <v>1060585</v>
      </c>
      <c r="R155" s="40">
        <f t="shared" si="78"/>
        <v>482680</v>
      </c>
      <c r="S155" s="41">
        <f t="shared" si="78"/>
        <v>597140</v>
      </c>
      <c r="T155" s="40">
        <f t="shared" si="78"/>
        <v>1079820</v>
      </c>
      <c r="U155" s="40">
        <f t="shared" si="78"/>
        <v>25914</v>
      </c>
      <c r="V155" s="42">
        <f t="shared" si="78"/>
        <v>1105734</v>
      </c>
      <c r="W155" s="257">
        <f t="shared" si="68"/>
        <v>4.256990245949166</v>
      </c>
      <c r="Y155" s="99"/>
      <c r="Z155" s="99"/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47"/>
      <c r="L156" s="39" t="s">
        <v>9</v>
      </c>
      <c r="M156" s="40">
        <f aca="true" t="shared" si="79" ref="M156:V156">+M146+M150+M154+M142</f>
        <v>603517</v>
      </c>
      <c r="N156" s="41">
        <f t="shared" si="79"/>
        <v>802223</v>
      </c>
      <c r="O156" s="40">
        <f t="shared" si="79"/>
        <v>1405740</v>
      </c>
      <c r="P156" s="40">
        <f t="shared" si="79"/>
        <v>28830</v>
      </c>
      <c r="Q156" s="40">
        <f t="shared" si="79"/>
        <v>1434570</v>
      </c>
      <c r="R156" s="40">
        <f t="shared" si="79"/>
        <v>646117</v>
      </c>
      <c r="S156" s="41">
        <f t="shared" si="79"/>
        <v>786983</v>
      </c>
      <c r="T156" s="40">
        <f t="shared" si="79"/>
        <v>1433100</v>
      </c>
      <c r="U156" s="40">
        <f t="shared" si="79"/>
        <v>34625</v>
      </c>
      <c r="V156" s="40">
        <f t="shared" si="79"/>
        <v>1467725</v>
      </c>
      <c r="W156" s="257">
        <f t="shared" si="68"/>
        <v>2.3111455000453196</v>
      </c>
    </row>
    <row r="157" spans="2:12" ht="13.5" thickTop="1">
      <c r="B157" s="70"/>
      <c r="C157" s="70"/>
      <c r="D157" s="70"/>
      <c r="E157" s="70"/>
      <c r="F157" s="70"/>
      <c r="G157" s="70"/>
      <c r="H157" s="70"/>
      <c r="I157" s="247"/>
      <c r="L157" s="63" t="s">
        <v>64</v>
      </c>
    </row>
    <row r="158" spans="2:23" ht="12.75">
      <c r="B158" s="70"/>
      <c r="C158" s="70"/>
      <c r="D158" s="70"/>
      <c r="E158" s="70"/>
      <c r="F158" s="70"/>
      <c r="G158" s="70"/>
      <c r="H158" s="70"/>
      <c r="I158" s="247"/>
      <c r="L158" s="336" t="s">
        <v>51</v>
      </c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</row>
    <row r="159" spans="2:23" ht="15.75">
      <c r="B159" s="70"/>
      <c r="C159" s="70"/>
      <c r="D159" s="70"/>
      <c r="E159" s="70"/>
      <c r="F159" s="70"/>
      <c r="G159" s="70"/>
      <c r="H159" s="70"/>
      <c r="I159" s="247"/>
      <c r="L159" s="337" t="s">
        <v>52</v>
      </c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47"/>
      <c r="W160" s="242" t="s">
        <v>43</v>
      </c>
    </row>
    <row r="161" spans="2:23" ht="17.25" thickBot="1" thickTop="1">
      <c r="B161" s="70"/>
      <c r="C161" s="70"/>
      <c r="D161" s="70"/>
      <c r="E161" s="70"/>
      <c r="F161" s="70"/>
      <c r="G161" s="70"/>
      <c r="H161" s="70"/>
      <c r="I161" s="247"/>
      <c r="L161" s="3"/>
      <c r="M161" s="347" t="s">
        <v>67</v>
      </c>
      <c r="N161" s="348"/>
      <c r="O161" s="348"/>
      <c r="P161" s="348"/>
      <c r="Q161" s="349"/>
      <c r="R161" s="338" t="s">
        <v>68</v>
      </c>
      <c r="S161" s="339"/>
      <c r="T161" s="339"/>
      <c r="U161" s="339"/>
      <c r="V161" s="340"/>
      <c r="W161" s="239" t="s">
        <v>4</v>
      </c>
    </row>
    <row r="162" spans="2:23" ht="13.5" thickTop="1">
      <c r="B162" s="70"/>
      <c r="C162" s="70"/>
      <c r="D162" s="70"/>
      <c r="E162" s="70"/>
      <c r="F162" s="70"/>
      <c r="G162" s="70"/>
      <c r="H162" s="70"/>
      <c r="I162" s="247"/>
      <c r="L162" s="4" t="s">
        <v>5</v>
      </c>
      <c r="M162" s="5"/>
      <c r="N162" s="8"/>
      <c r="O162" s="9"/>
      <c r="P162" s="10"/>
      <c r="Q162" s="11"/>
      <c r="R162" s="5"/>
      <c r="S162" s="8"/>
      <c r="T162" s="9"/>
      <c r="U162" s="10"/>
      <c r="V162" s="11"/>
      <c r="W162" s="240" t="s">
        <v>6</v>
      </c>
    </row>
    <row r="163" spans="2:23" ht="13.5" thickBot="1">
      <c r="B163" s="70"/>
      <c r="C163" s="70"/>
      <c r="D163" s="70"/>
      <c r="E163" s="70"/>
      <c r="F163" s="70"/>
      <c r="G163" s="70"/>
      <c r="H163" s="70"/>
      <c r="I163" s="247"/>
      <c r="L163" s="12"/>
      <c r="M163" s="15" t="s">
        <v>44</v>
      </c>
      <c r="N163" s="16" t="s">
        <v>45</v>
      </c>
      <c r="O163" s="17" t="s">
        <v>46</v>
      </c>
      <c r="P163" s="18" t="s">
        <v>13</v>
      </c>
      <c r="Q163" s="19" t="s">
        <v>9</v>
      </c>
      <c r="R163" s="15" t="s">
        <v>44</v>
      </c>
      <c r="S163" s="16" t="s">
        <v>45</v>
      </c>
      <c r="T163" s="17" t="s">
        <v>46</v>
      </c>
      <c r="U163" s="18" t="s">
        <v>13</v>
      </c>
      <c r="V163" s="19" t="s">
        <v>9</v>
      </c>
      <c r="W163" s="241"/>
    </row>
    <row r="164" spans="2:23" ht="3.75" customHeight="1" thickTop="1">
      <c r="B164" s="70"/>
      <c r="C164" s="70"/>
      <c r="D164" s="70"/>
      <c r="E164" s="70"/>
      <c r="F164" s="70"/>
      <c r="G164" s="70"/>
      <c r="H164" s="70"/>
      <c r="I164" s="247"/>
      <c r="L164" s="4"/>
      <c r="M164" s="23"/>
      <c r="N164" s="24"/>
      <c r="O164" s="25"/>
      <c r="P164" s="26"/>
      <c r="Q164" s="27"/>
      <c r="R164" s="23"/>
      <c r="S164" s="24"/>
      <c r="T164" s="25"/>
      <c r="U164" s="26"/>
      <c r="V164" s="28"/>
      <c r="W164" s="207"/>
    </row>
    <row r="165" spans="2:23" ht="12.75">
      <c r="B165" s="70"/>
      <c r="C165" s="70"/>
      <c r="D165" s="70"/>
      <c r="E165" s="70"/>
      <c r="F165" s="70"/>
      <c r="G165" s="70"/>
      <c r="H165" s="70"/>
      <c r="I165" s="247"/>
      <c r="L165" s="4" t="s">
        <v>14</v>
      </c>
      <c r="M165" s="29">
        <f>+BKK!M165+DMK!M165+CNX!M165+HDY!M165+HKT!M165+CEI!M165</f>
        <v>27</v>
      </c>
      <c r="N165" s="36">
        <f>+BKK!N165+DMK!N165+CNX!N165+HDY!N165+HKT!N165+CEI!N165</f>
        <v>85</v>
      </c>
      <c r="O165" s="33">
        <f>M165+N165</f>
        <v>112</v>
      </c>
      <c r="P165" s="34">
        <f>+BKK!P165+DMK!P165+CNX!P165+HDY!P165+HKT!P165+CEI!P165</f>
        <v>0</v>
      </c>
      <c r="Q165" s="35">
        <f>O165+P165</f>
        <v>112</v>
      </c>
      <c r="R165" s="29">
        <f>+BKK!R165+DMK!R165+CNX!R165+HDY!R165+HKT!R165+CEI!R165</f>
        <v>34</v>
      </c>
      <c r="S165" s="36">
        <f>+BKK!S165+DMK!S165+CNX!S165+HDY!S165+HKT!S165+CEI!S165</f>
        <v>112</v>
      </c>
      <c r="T165" s="33">
        <f>R165+S165</f>
        <v>146</v>
      </c>
      <c r="U165" s="34">
        <f>+BKK!U165+DMK!U165+CNX!U165+HDY!U165+HKT!U165+CEI!U165</f>
        <v>1</v>
      </c>
      <c r="V165" s="31">
        <f>T165+U165</f>
        <v>147</v>
      </c>
      <c r="W165" s="256">
        <f aca="true" t="shared" si="80" ref="W165:W182">IF(Q165=0,0,((V165/Q165)-1)*100)</f>
        <v>31.25</v>
      </c>
    </row>
    <row r="166" spans="2:23" ht="12.75">
      <c r="B166" s="70"/>
      <c r="C166" s="70"/>
      <c r="D166" s="70"/>
      <c r="E166" s="70"/>
      <c r="F166" s="70"/>
      <c r="G166" s="70"/>
      <c r="H166" s="70"/>
      <c r="I166" s="247"/>
      <c r="L166" s="4" t="s">
        <v>15</v>
      </c>
      <c r="M166" s="29">
        <f>+BKK!M166+DMK!M166+CNX!M166+HDY!M166+HKT!M166+CEI!M166</f>
        <v>29</v>
      </c>
      <c r="N166" s="36">
        <f>+BKK!N166+DMK!N166+CNX!N166+HDY!N166+HKT!N166+CEI!N166</f>
        <v>85</v>
      </c>
      <c r="O166" s="33">
        <f>M166+N166</f>
        <v>114</v>
      </c>
      <c r="P166" s="34">
        <f>+BKK!P166+DMK!P166+CNX!P166+HDY!P166+HKT!P166+CEI!P166</f>
        <v>0</v>
      </c>
      <c r="Q166" s="35">
        <f>O166+P166</f>
        <v>114</v>
      </c>
      <c r="R166" s="29">
        <f>+BKK!R166+DMK!R166+CNX!R166+HDY!R166+HKT!R166+CEI!R166</f>
        <v>32</v>
      </c>
      <c r="S166" s="36">
        <f>+BKK!S166+DMK!S166+CNX!S166+HDY!S166+HKT!S166+CEI!S166</f>
        <v>97</v>
      </c>
      <c r="T166" s="33">
        <f>R166+S166</f>
        <v>129</v>
      </c>
      <c r="U166" s="34">
        <f>+BKK!U166+DMK!U166+CNX!U166+HDY!U166+HKT!U166+CEI!U166</f>
        <v>1</v>
      </c>
      <c r="V166" s="31">
        <f>T166+U166</f>
        <v>130</v>
      </c>
      <c r="W166" s="256">
        <f t="shared" si="80"/>
        <v>14.035087719298245</v>
      </c>
    </row>
    <row r="167" spans="2:23" ht="13.5" thickBot="1">
      <c r="B167" s="70"/>
      <c r="C167" s="70"/>
      <c r="D167" s="70"/>
      <c r="E167" s="70"/>
      <c r="F167" s="70"/>
      <c r="G167" s="70"/>
      <c r="H167" s="70"/>
      <c r="I167" s="247"/>
      <c r="L167" s="12" t="s">
        <v>16</v>
      </c>
      <c r="M167" s="29">
        <f>+BKK!M167+DMK!M167+CNX!M167+HDY!M167+HKT!M167+CEI!M167</f>
        <v>27</v>
      </c>
      <c r="N167" s="36">
        <f>+BKK!N167+DMK!N167+CNX!N167+HDY!N167+HKT!N167+CEI!N167</f>
        <v>104</v>
      </c>
      <c r="O167" s="33">
        <f>M167+N167</f>
        <v>131</v>
      </c>
      <c r="P167" s="34">
        <f>+BKK!P167+DMK!P167+CNX!P167+HDY!P167+HKT!P167+CEI!P167</f>
        <v>0</v>
      </c>
      <c r="Q167" s="35">
        <f>O167+P167</f>
        <v>131</v>
      </c>
      <c r="R167" s="29">
        <f>+BKK!R167+DMK!R167+CNX!R167+HDY!R167+HKT!R167+CEI!R167</f>
        <v>42</v>
      </c>
      <c r="S167" s="36">
        <f>+BKK!S167+DMK!S167+CNX!S167+HDY!S167+HKT!S167+CEI!S167</f>
        <v>122</v>
      </c>
      <c r="T167" s="33">
        <f>R167+S167</f>
        <v>164</v>
      </c>
      <c r="U167" s="34">
        <f>+BKK!U167+DMK!U167+CNX!U167+HDY!U167+HKT!U167+CEI!U167</f>
        <v>1</v>
      </c>
      <c r="V167" s="31">
        <f>T167+U167</f>
        <v>165</v>
      </c>
      <c r="W167" s="256">
        <f t="shared" si="80"/>
        <v>25.954198473282442</v>
      </c>
    </row>
    <row r="168" spans="2:23" ht="14.25" thickBot="1" thickTop="1">
      <c r="B168" s="70"/>
      <c r="C168" s="70"/>
      <c r="D168" s="70"/>
      <c r="E168" s="70"/>
      <c r="F168" s="70"/>
      <c r="G168" s="70"/>
      <c r="H168" s="70"/>
      <c r="I168" s="247"/>
      <c r="L168" s="39" t="s">
        <v>17</v>
      </c>
      <c r="M168" s="40">
        <f>+M165+M166+M167</f>
        <v>83</v>
      </c>
      <c r="N168" s="41">
        <f>+N165+N166+N167</f>
        <v>274</v>
      </c>
      <c r="O168" s="40">
        <f>O167+O165+O166</f>
        <v>357</v>
      </c>
      <c r="P168" s="40">
        <f>+P165+P166+P167</f>
        <v>0</v>
      </c>
      <c r="Q168" s="40">
        <f>Q167+Q165+Q166</f>
        <v>357</v>
      </c>
      <c r="R168" s="40">
        <f>+R165+R166+R167</f>
        <v>108</v>
      </c>
      <c r="S168" s="41">
        <f>+S165+S166+S167</f>
        <v>331</v>
      </c>
      <c r="T168" s="40">
        <f>T167+T165+T166</f>
        <v>439</v>
      </c>
      <c r="U168" s="40">
        <f>+U165+U166+U167</f>
        <v>3</v>
      </c>
      <c r="V168" s="42">
        <f>V167+V165+V166</f>
        <v>442</v>
      </c>
      <c r="W168" s="257">
        <f t="shared" si="80"/>
        <v>23.809523809523814</v>
      </c>
    </row>
    <row r="169" spans="2:23" ht="13.5" thickTop="1">
      <c r="B169" s="70"/>
      <c r="C169" s="70"/>
      <c r="D169" s="70"/>
      <c r="E169" s="70"/>
      <c r="F169" s="70"/>
      <c r="G169" s="70"/>
      <c r="H169" s="70"/>
      <c r="I169" s="247"/>
      <c r="L169" s="4" t="s">
        <v>18</v>
      </c>
      <c r="M169" s="29">
        <f>+BKK!M169+DMK!M169+CNX!M169+HDY!M169+HKT!M169+CEI!M169</f>
        <v>36</v>
      </c>
      <c r="N169" s="36">
        <f>+BKK!N169+DMK!N169+CNX!N169+HDY!N169+HKT!N169+CEI!N169</f>
        <v>92</v>
      </c>
      <c r="O169" s="33">
        <f>M169+N169</f>
        <v>128</v>
      </c>
      <c r="P169" s="34">
        <f>+BKK!P169+DMK!P169+CNX!P169+HDY!P169+HKT!P169+CEI!P169</f>
        <v>0</v>
      </c>
      <c r="Q169" s="35">
        <f>O169+P169</f>
        <v>128</v>
      </c>
      <c r="R169" s="29">
        <f>+BKK!R169+DMK!R169+CNX!R169+HDY!R169+HKT!R169+CEI!R169</f>
        <v>35</v>
      </c>
      <c r="S169" s="36">
        <f>+BKK!S169+DMK!S169+CNX!S169+HDY!S169+HKT!S169+CEI!S169</f>
        <v>109</v>
      </c>
      <c r="T169" s="33">
        <f>R169+S169</f>
        <v>144</v>
      </c>
      <c r="U169" s="34">
        <f>+BKK!U169+DMK!U169+CNX!U169+HDY!U169+HKT!U169+CEI!U169</f>
        <v>1</v>
      </c>
      <c r="V169" s="31">
        <f>T169+U169</f>
        <v>145</v>
      </c>
      <c r="W169" s="256">
        <f t="shared" si="80"/>
        <v>13.28125</v>
      </c>
    </row>
    <row r="170" spans="2:23" ht="12.75">
      <c r="B170" s="70"/>
      <c r="C170" s="70"/>
      <c r="D170" s="70"/>
      <c r="E170" s="70"/>
      <c r="F170" s="70"/>
      <c r="G170" s="70"/>
      <c r="H170" s="70"/>
      <c r="I170" s="247"/>
      <c r="L170" s="4" t="s">
        <v>19</v>
      </c>
      <c r="M170" s="29">
        <f>+BKK!M170+DMK!M170+CNX!M170+HDY!M170+HKT!M170+CEI!M170</f>
        <v>25</v>
      </c>
      <c r="N170" s="36">
        <f>+BKK!N170+DMK!N170+CNX!N170+HDY!N170+HKT!N170+CEI!N170</f>
        <v>104</v>
      </c>
      <c r="O170" s="33">
        <f>M170+N170</f>
        <v>129</v>
      </c>
      <c r="P170" s="34">
        <f>+BKK!P170+DMK!P170+CNX!P170+HDY!P170+HKT!P170+CEI!P170</f>
        <v>0</v>
      </c>
      <c r="Q170" s="35">
        <f>O170+P170</f>
        <v>129</v>
      </c>
      <c r="R170" s="29">
        <f>+BKK!R170+DMK!R170+CNX!R170+HDY!R170+HKT!R170+CEI!R170</f>
        <v>36</v>
      </c>
      <c r="S170" s="36">
        <f>+BKK!S170+DMK!S170+CNX!S170+HDY!S170+HKT!S170+CEI!S170</f>
        <v>112</v>
      </c>
      <c r="T170" s="33">
        <f>R170+S170</f>
        <v>148</v>
      </c>
      <c r="U170" s="34">
        <f>+BKK!U170+DMK!U170+CNX!U170+HDY!U170+HKT!U170+CEI!U170</f>
        <v>0</v>
      </c>
      <c r="V170" s="31">
        <f>T170+U170</f>
        <v>148</v>
      </c>
      <c r="W170" s="256">
        <f t="shared" si="80"/>
        <v>14.72868217054264</v>
      </c>
    </row>
    <row r="171" spans="2:23" ht="13.5" thickBot="1">
      <c r="B171" s="70"/>
      <c r="C171" s="70"/>
      <c r="D171" s="70"/>
      <c r="E171" s="70"/>
      <c r="F171" s="70"/>
      <c r="G171" s="70"/>
      <c r="H171" s="70"/>
      <c r="I171" s="247"/>
      <c r="L171" s="4" t="s">
        <v>20</v>
      </c>
      <c r="M171" s="29">
        <f>+BKK!M171+DMK!M171+CNX!M171+HDY!M171+HKT!M171+CEI!M171</f>
        <v>25</v>
      </c>
      <c r="N171" s="36">
        <f>+BKK!N171+DMK!N171+CNX!N171+HDY!N171+HKT!N171+CEI!N171</f>
        <v>138</v>
      </c>
      <c r="O171" s="33">
        <f>M171+N171</f>
        <v>163</v>
      </c>
      <c r="P171" s="34">
        <f>+BKK!P171+DMK!P171+CNX!P171+HDY!P171+HKT!P171+CEI!P171</f>
        <v>0</v>
      </c>
      <c r="Q171" s="35">
        <f>O171+P171</f>
        <v>163</v>
      </c>
      <c r="R171" s="29">
        <f>+BKK!R171+DMK!R171+CNX!R171+HDY!R171+HKT!R171+CEI!R171</f>
        <v>42</v>
      </c>
      <c r="S171" s="36">
        <f>+BKK!S171+DMK!S171+CNX!S171+HDY!S171+HKT!S171+CEI!S171</f>
        <v>127</v>
      </c>
      <c r="T171" s="33">
        <f>R171+S171</f>
        <v>169</v>
      </c>
      <c r="U171" s="34">
        <f>+BKK!U171+DMK!U171+CNX!U171+HDY!U171+HKT!U171+CEI!U171</f>
        <v>0</v>
      </c>
      <c r="V171" s="31">
        <f>T171+U171</f>
        <v>169</v>
      </c>
      <c r="W171" s="256">
        <f t="shared" si="80"/>
        <v>3.6809815950920255</v>
      </c>
    </row>
    <row r="172" spans="1:23" ht="14.25" thickBot="1" thickTop="1">
      <c r="A172" s="70"/>
      <c r="B172" s="232"/>
      <c r="C172" s="233"/>
      <c r="D172" s="233"/>
      <c r="E172" s="233"/>
      <c r="F172" s="233"/>
      <c r="G172" s="233"/>
      <c r="H172" s="233"/>
      <c r="I172" s="276"/>
      <c r="J172" s="70"/>
      <c r="L172" s="44" t="s">
        <v>21</v>
      </c>
      <c r="M172" s="40">
        <f aca="true" t="shared" si="81" ref="M172:V172">M170+M169+M171</f>
        <v>86</v>
      </c>
      <c r="N172" s="41">
        <f t="shared" si="81"/>
        <v>334</v>
      </c>
      <c r="O172" s="40">
        <f t="shared" si="81"/>
        <v>420</v>
      </c>
      <c r="P172" s="40">
        <f t="shared" si="81"/>
        <v>0</v>
      </c>
      <c r="Q172" s="40">
        <f t="shared" si="81"/>
        <v>420</v>
      </c>
      <c r="R172" s="40">
        <f t="shared" si="81"/>
        <v>113</v>
      </c>
      <c r="S172" s="41">
        <f t="shared" si="81"/>
        <v>348</v>
      </c>
      <c r="T172" s="40">
        <f t="shared" si="81"/>
        <v>461</v>
      </c>
      <c r="U172" s="40">
        <f t="shared" si="81"/>
        <v>1</v>
      </c>
      <c r="V172" s="42">
        <f t="shared" si="81"/>
        <v>462</v>
      </c>
      <c r="W172" s="257">
        <f t="shared" si="80"/>
        <v>10.000000000000009</v>
      </c>
    </row>
    <row r="173" spans="2:23" ht="13.5" thickTop="1">
      <c r="B173" s="70"/>
      <c r="C173" s="70"/>
      <c r="D173" s="70"/>
      <c r="E173" s="70"/>
      <c r="F173" s="70"/>
      <c r="G173" s="70"/>
      <c r="H173" s="70"/>
      <c r="I173" s="247"/>
      <c r="L173" s="4" t="s">
        <v>22</v>
      </c>
      <c r="M173" s="29">
        <f>+BKK!M173+DMK!M173+CNX!M173+HDY!M173+HKT!M173+CEI!M173</f>
        <v>21</v>
      </c>
      <c r="N173" s="36">
        <f>+BKK!N173+DMK!N173+CNX!N173+HDY!N173+HKT!N173+CEI!N173</f>
        <v>111</v>
      </c>
      <c r="O173" s="33">
        <f>M173+N173</f>
        <v>132</v>
      </c>
      <c r="P173" s="34">
        <f>+BKK!P173+DMK!P173+CNX!P173+HDY!P173+HKT!P173+CEI!P173</f>
        <v>1</v>
      </c>
      <c r="Q173" s="35">
        <f>O173+P173</f>
        <v>133</v>
      </c>
      <c r="R173" s="29">
        <f>+BKK!R173+DMK!R173+CNX!R173+HDY!R173+HKT!R173+CEI!R173</f>
        <v>36</v>
      </c>
      <c r="S173" s="36">
        <f>+BKK!S173+DMK!S173+CNX!S173+HDY!S173+HKT!S173+CEI!S173</f>
        <v>107</v>
      </c>
      <c r="T173" s="33">
        <f>+BKK!T173+DMK!T173+CNX!T173+HDY!T173+HKT!T173+CEI!T173</f>
        <v>143</v>
      </c>
      <c r="U173" s="34">
        <f>+BKK!U173+DMK!U173+CNX!U173+HDY!U173+HKT!U173+CEI!U173</f>
        <v>0</v>
      </c>
      <c r="V173" s="31">
        <f>+BKK!V173+DMK!V173+CNX!V173+HDY!V173+HKT!V173+CEI!V173</f>
        <v>143</v>
      </c>
      <c r="W173" s="256">
        <f t="shared" si="80"/>
        <v>7.518796992481214</v>
      </c>
    </row>
    <row r="174" spans="2:23" ht="12.75">
      <c r="B174" s="70"/>
      <c r="C174" s="70"/>
      <c r="D174" s="70"/>
      <c r="E174" s="70"/>
      <c r="F174" s="70"/>
      <c r="G174" s="70"/>
      <c r="H174" s="70"/>
      <c r="I174" s="247"/>
      <c r="L174" s="4" t="s">
        <v>23</v>
      </c>
      <c r="M174" s="29">
        <f>+BKK!M174+DMK!M174+CNX!M174+HDY!M174+HKT!M174+CEI!M174</f>
        <v>19</v>
      </c>
      <c r="N174" s="36">
        <f>+BKK!N174+DMK!N174+CNX!N174+HDY!N174+HKT!N174+CEI!N174</f>
        <v>120</v>
      </c>
      <c r="O174" s="33">
        <f>M174+N174</f>
        <v>139</v>
      </c>
      <c r="P174" s="34">
        <f>+BKK!P174+DMK!P174+CNX!P174+HDY!P174+HKT!P174+CEI!P174</f>
        <v>1</v>
      </c>
      <c r="Q174" s="35">
        <f>O174+P174</f>
        <v>140</v>
      </c>
      <c r="R174" s="29">
        <f>+BKK!R174+DMK!R174+CNX!R174+HDY!R174+HKT!R174+CEI!R174</f>
        <v>34</v>
      </c>
      <c r="S174" s="36">
        <f>+BKK!S174+DMK!S174+CNX!S174+HDY!S174+HKT!S174+CEI!S174</f>
        <v>136</v>
      </c>
      <c r="T174" s="33">
        <f>+BKK!T174+DMK!T174+CNX!T174+HDY!T174+HKT!T174+CEI!T174</f>
        <v>170</v>
      </c>
      <c r="U174" s="34">
        <f>+BKK!U174+DMK!U174+CNX!U174+HDY!U174+HKT!U174+CEI!U174</f>
        <v>1</v>
      </c>
      <c r="V174" s="31">
        <f>+BKK!V174+DMK!V174+CNX!V174+HDY!V174+HKT!V174+CEI!V174</f>
        <v>171</v>
      </c>
      <c r="W174" s="256">
        <f t="shared" si="80"/>
        <v>22.142857142857153</v>
      </c>
    </row>
    <row r="175" spans="2:23" ht="13.5" thickBot="1">
      <c r="B175" s="70"/>
      <c r="C175" s="70"/>
      <c r="D175" s="70"/>
      <c r="E175" s="70"/>
      <c r="F175" s="70"/>
      <c r="G175" s="70"/>
      <c r="H175" s="70"/>
      <c r="I175" s="247"/>
      <c r="L175" s="4" t="s">
        <v>24</v>
      </c>
      <c r="M175" s="29">
        <f>+BKK!M175+DMK!M175+CNX!M175+HDY!M175+HKT!M175+CEI!M175</f>
        <v>21</v>
      </c>
      <c r="N175" s="36">
        <f>+BKK!N175+DMK!N175+CNX!N175+HDY!N175+HKT!N175+CEI!N175</f>
        <v>121</v>
      </c>
      <c r="O175" s="51">
        <f>M175+N175</f>
        <v>142</v>
      </c>
      <c r="P175" s="52">
        <f>+BKK!P175+DMK!P175+CNX!P175+HDY!P175+HKT!P175+CEI!P175</f>
        <v>1</v>
      </c>
      <c r="Q175" s="35">
        <f>O175+P175</f>
        <v>143</v>
      </c>
      <c r="R175" s="29">
        <f>+BKK!R175+DMK!R175+CNX!R175+HDY!R175+HKT!R175+CEI!R175</f>
        <v>36</v>
      </c>
      <c r="S175" s="36">
        <f>+BKK!S175+DMK!S175+CNX!S175+HDY!S175+HKT!S175+CEI!S175</f>
        <v>109</v>
      </c>
      <c r="T175" s="51">
        <f>+BKK!T175+DMK!T175+CNX!T175+HDY!T175+HKT!T175+CEI!T175</f>
        <v>145</v>
      </c>
      <c r="U175" s="52">
        <f>+BKK!U175+DMK!U175+CNX!U175+HDY!U175+HKT!U175+CEI!U175</f>
        <v>1</v>
      </c>
      <c r="V175" s="31">
        <f>+BKK!V175+DMK!V175+CNX!V175+HDY!V175+HKT!V175+CEI!V175</f>
        <v>146</v>
      </c>
      <c r="W175" s="256">
        <f t="shared" si="80"/>
        <v>2.0979020979021046</v>
      </c>
    </row>
    <row r="176" spans="2:23" ht="14.25" thickBot="1" thickTop="1">
      <c r="B176" s="70"/>
      <c r="C176" s="70"/>
      <c r="D176" s="70"/>
      <c r="E176" s="70"/>
      <c r="F176" s="70"/>
      <c r="G176" s="70"/>
      <c r="H176" s="70"/>
      <c r="I176" s="247"/>
      <c r="L176" s="44" t="s">
        <v>25</v>
      </c>
      <c r="M176" s="45">
        <f aca="true" t="shared" si="82" ref="M176:V176">+M173+M174+M175</f>
        <v>61</v>
      </c>
      <c r="N176" s="45">
        <f t="shared" si="82"/>
        <v>352</v>
      </c>
      <c r="O176" s="163">
        <f t="shared" si="82"/>
        <v>413</v>
      </c>
      <c r="P176" s="238">
        <f t="shared" si="82"/>
        <v>3</v>
      </c>
      <c r="Q176" s="49">
        <f t="shared" si="82"/>
        <v>416</v>
      </c>
      <c r="R176" s="45">
        <f t="shared" si="82"/>
        <v>106</v>
      </c>
      <c r="S176" s="45">
        <f t="shared" si="82"/>
        <v>352</v>
      </c>
      <c r="T176" s="47">
        <f t="shared" si="82"/>
        <v>458</v>
      </c>
      <c r="U176" s="47">
        <f t="shared" si="82"/>
        <v>2</v>
      </c>
      <c r="V176" s="47">
        <f t="shared" si="82"/>
        <v>460</v>
      </c>
      <c r="W176" s="257">
        <f t="shared" si="80"/>
        <v>10.576923076923084</v>
      </c>
    </row>
    <row r="177" spans="2:23" ht="13.5" thickTop="1">
      <c r="B177" s="70"/>
      <c r="C177" s="70"/>
      <c r="D177" s="70"/>
      <c r="E177" s="70"/>
      <c r="F177" s="70"/>
      <c r="G177" s="70"/>
      <c r="H177" s="70"/>
      <c r="I177" s="247"/>
      <c r="L177" s="4" t="s">
        <v>27</v>
      </c>
      <c r="M177" s="29">
        <f>+BKK!M177+DMK!M177+CNX!M177+HDY!M177+HKT!M177+CEI!M177</f>
        <v>24</v>
      </c>
      <c r="N177" s="36">
        <f>+BKK!N177+DMK!N177+CNX!N177+HDY!N177+HKT!N177+CEI!N177</f>
        <v>114</v>
      </c>
      <c r="O177" s="51">
        <f>M177+N177</f>
        <v>138</v>
      </c>
      <c r="P177" s="59">
        <f>+BKK!P177+DMK!P177+CNX!P177+HDY!P177+HKT!P177+CEI!P177</f>
        <v>1</v>
      </c>
      <c r="Q177" s="35">
        <f>O177+P177</f>
        <v>139</v>
      </c>
      <c r="R177" s="29">
        <f>+BKK!R177+DMK!R177+CNX!R177+HDY!R177+HKT!R177+CEI!R177</f>
        <v>36</v>
      </c>
      <c r="S177" s="36">
        <f>+BKK!S177+DMK!S177+CNX!S177+HDY!S177+HKT!S177+CEI!S177</f>
        <v>97</v>
      </c>
      <c r="T177" s="51">
        <f>+BKK!T177+DMK!T177+CNX!T177+HDY!T177+HKT!T177+CEI!T177</f>
        <v>133</v>
      </c>
      <c r="U177" s="59">
        <f>+BKK!U177+DMK!U177+CNX!U177+HDY!U177+HKT!U177+CEI!U177</f>
        <v>21</v>
      </c>
      <c r="V177" s="31">
        <f>+BKK!V177+DMK!V177+CNX!V177+HDY!V177+HKT!V177+CEI!V177</f>
        <v>154</v>
      </c>
      <c r="W177" s="256">
        <f t="shared" si="80"/>
        <v>10.79136690647482</v>
      </c>
    </row>
    <row r="178" spans="2:23" ht="12.75">
      <c r="B178" s="70"/>
      <c r="C178" s="70"/>
      <c r="D178" s="70"/>
      <c r="E178" s="70"/>
      <c r="F178" s="70"/>
      <c r="G178" s="70"/>
      <c r="H178" s="70"/>
      <c r="I178" s="247"/>
      <c r="L178" s="4" t="s">
        <v>28</v>
      </c>
      <c r="M178" s="29">
        <f>+BKK!M178+DMK!M178+CNX!M178+HDY!M178+HKT!M178+CEI!M178</f>
        <v>27</v>
      </c>
      <c r="N178" s="36">
        <f>+BKK!N178+DMK!N178+CNX!N178+HDY!N178+HKT!N178+CEI!N178</f>
        <v>113</v>
      </c>
      <c r="O178" s="51">
        <f>M178+N178</f>
        <v>140</v>
      </c>
      <c r="P178" s="34">
        <f>+BKK!P178+DMK!P178+CNX!P178+HDY!P178+HKT!P178+CEI!P178</f>
        <v>1</v>
      </c>
      <c r="Q178" s="35">
        <f>O178+P178</f>
        <v>141</v>
      </c>
      <c r="R178" s="29">
        <f>+BKK!R178+DMK!R178+CNX!R178+HDY!R178+HKT!R178+CEI!R178</f>
        <v>31</v>
      </c>
      <c r="S178" s="36">
        <f>+BKK!S178+DMK!S178+CNX!S178+HDY!S178+HKT!S178+CEI!S178</f>
        <v>99</v>
      </c>
      <c r="T178" s="51">
        <f>+BKK!T178+DMK!T178+CNX!T178+HDY!T178+HKT!T178+CEI!T178</f>
        <v>130</v>
      </c>
      <c r="U178" s="34">
        <f>+BKK!U178+DMK!U178+CNX!U178+HDY!U178+HKT!U178+CEI!U178</f>
        <v>0</v>
      </c>
      <c r="V178" s="51">
        <f>+BKK!V178+DMK!V178+CNX!V178+HDY!V178+HKT!V178+CEI!V178</f>
        <v>130</v>
      </c>
      <c r="W178" s="256">
        <f>IF(Q178=0,0,((V178/Q178)-1)*100)</f>
        <v>-7.801418439716312</v>
      </c>
    </row>
    <row r="179" spans="2:23" ht="13.5" thickBot="1">
      <c r="B179" s="70"/>
      <c r="C179" s="70"/>
      <c r="D179" s="70"/>
      <c r="E179" s="70"/>
      <c r="F179" s="70"/>
      <c r="G179" s="70"/>
      <c r="H179" s="70"/>
      <c r="I179" s="247"/>
      <c r="L179" s="4" t="s">
        <v>29</v>
      </c>
      <c r="M179" s="29">
        <f>+BKK!M179+DMK!M179+CNX!M179+HDY!M179+HKT!M179+CEI!M179</f>
        <v>34</v>
      </c>
      <c r="N179" s="36">
        <f>+BKK!N179+DMK!N179+CNX!N179+HDY!N179+HKT!N179+CEI!N179</f>
        <v>113</v>
      </c>
      <c r="O179" s="33">
        <f>M179+N179</f>
        <v>147</v>
      </c>
      <c r="P179" s="52">
        <f>+BKK!P179+DMK!P179+CNX!P179+HDY!P179+HKT!P179+CEI!P179</f>
        <v>1</v>
      </c>
      <c r="Q179" s="35">
        <f>O179+P179</f>
        <v>148</v>
      </c>
      <c r="R179" s="29">
        <f>+BKK!R179+DMK!R179+CNX!R179+HDY!R179+HKT!R179+CEI!R179</f>
        <v>39</v>
      </c>
      <c r="S179" s="36">
        <f>+BKK!S179+DMK!S179+CNX!S179+HDY!S179+HKT!S179+CEI!S179</f>
        <v>103</v>
      </c>
      <c r="T179" s="33">
        <f>+BKK!T179+DMK!T179+CNX!T179+HDY!T179+HKT!T179+CEI!T179</f>
        <v>142</v>
      </c>
      <c r="U179" s="52">
        <f>+BKK!U179+DMK!U179+CNX!U179+HDY!U179+HKT!U179+CEI!U179</f>
        <v>0</v>
      </c>
      <c r="V179" s="31">
        <f>+BKK!V179+DMK!V179+CNX!V179+HDY!V179+HKT!V179+CEI!V179</f>
        <v>142</v>
      </c>
      <c r="W179" s="256">
        <f t="shared" si="80"/>
        <v>-4.054054054054057</v>
      </c>
    </row>
    <row r="180" spans="2:23" ht="14.25" thickBot="1" thickTop="1">
      <c r="B180" s="70"/>
      <c r="C180" s="70"/>
      <c r="D180" s="70"/>
      <c r="E180" s="70"/>
      <c r="F180" s="70"/>
      <c r="G180" s="70"/>
      <c r="H180" s="70"/>
      <c r="I180" s="247"/>
      <c r="L180" s="39" t="s">
        <v>30</v>
      </c>
      <c r="M180" s="40">
        <f aca="true" t="shared" si="83" ref="M180:V180">+M177+M178+M179</f>
        <v>85</v>
      </c>
      <c r="N180" s="41">
        <f t="shared" si="83"/>
        <v>340</v>
      </c>
      <c r="O180" s="40">
        <f t="shared" si="83"/>
        <v>425</v>
      </c>
      <c r="P180" s="40">
        <f t="shared" si="83"/>
        <v>3</v>
      </c>
      <c r="Q180" s="43">
        <f t="shared" si="83"/>
        <v>428</v>
      </c>
      <c r="R180" s="40">
        <f t="shared" si="83"/>
        <v>106</v>
      </c>
      <c r="S180" s="41">
        <f t="shared" si="83"/>
        <v>299</v>
      </c>
      <c r="T180" s="40">
        <f t="shared" si="83"/>
        <v>405</v>
      </c>
      <c r="U180" s="40">
        <f t="shared" si="83"/>
        <v>21</v>
      </c>
      <c r="V180" s="42">
        <f t="shared" si="83"/>
        <v>426</v>
      </c>
      <c r="W180" s="257">
        <f t="shared" si="80"/>
        <v>-0.4672897196261627</v>
      </c>
    </row>
    <row r="181" spans="1:23" ht="14.25" thickBot="1" thickTop="1">
      <c r="A181" s="220"/>
      <c r="B181" s="232"/>
      <c r="C181" s="233"/>
      <c r="D181" s="233"/>
      <c r="E181" s="233"/>
      <c r="F181" s="233"/>
      <c r="G181" s="233"/>
      <c r="H181" s="233"/>
      <c r="I181" s="276"/>
      <c r="J181" s="220"/>
      <c r="L181" s="39" t="s">
        <v>66</v>
      </c>
      <c r="M181" s="40">
        <f aca="true" t="shared" si="84" ref="M181:V181">+M172+M176+M180</f>
        <v>232</v>
      </c>
      <c r="N181" s="41">
        <f t="shared" si="84"/>
        <v>1026</v>
      </c>
      <c r="O181" s="40">
        <f t="shared" si="84"/>
        <v>1258</v>
      </c>
      <c r="P181" s="40">
        <f t="shared" si="84"/>
        <v>6</v>
      </c>
      <c r="Q181" s="40">
        <f t="shared" si="84"/>
        <v>1264</v>
      </c>
      <c r="R181" s="40">
        <f t="shared" si="84"/>
        <v>325</v>
      </c>
      <c r="S181" s="41">
        <f t="shared" si="84"/>
        <v>999</v>
      </c>
      <c r="T181" s="40">
        <f t="shared" si="84"/>
        <v>1324</v>
      </c>
      <c r="U181" s="40">
        <f t="shared" si="84"/>
        <v>24</v>
      </c>
      <c r="V181" s="42">
        <f t="shared" si="84"/>
        <v>1348</v>
      </c>
      <c r="W181" s="257">
        <f t="shared" si="80"/>
        <v>6.645569620253156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47"/>
      <c r="L182" s="39" t="s">
        <v>9</v>
      </c>
      <c r="M182" s="40">
        <f aca="true" t="shared" si="85" ref="M182:V182">+M172+M176+M180+M168</f>
        <v>315</v>
      </c>
      <c r="N182" s="41">
        <f t="shared" si="85"/>
        <v>1300</v>
      </c>
      <c r="O182" s="40">
        <f t="shared" si="85"/>
        <v>1615</v>
      </c>
      <c r="P182" s="40">
        <f t="shared" si="85"/>
        <v>6</v>
      </c>
      <c r="Q182" s="40">
        <f t="shared" si="85"/>
        <v>1621</v>
      </c>
      <c r="R182" s="40">
        <f t="shared" si="85"/>
        <v>433</v>
      </c>
      <c r="S182" s="41">
        <f t="shared" si="85"/>
        <v>1330</v>
      </c>
      <c r="T182" s="40">
        <f t="shared" si="85"/>
        <v>1763</v>
      </c>
      <c r="U182" s="40">
        <f t="shared" si="85"/>
        <v>27</v>
      </c>
      <c r="V182" s="40">
        <f t="shared" si="85"/>
        <v>1790</v>
      </c>
      <c r="W182" s="257">
        <f t="shared" si="80"/>
        <v>10.425663170882181</v>
      </c>
    </row>
    <row r="183" spans="2:12" ht="13.5" thickTop="1">
      <c r="B183" s="70"/>
      <c r="C183" s="70"/>
      <c r="D183" s="70"/>
      <c r="E183" s="70"/>
      <c r="F183" s="70"/>
      <c r="G183" s="70"/>
      <c r="H183" s="70"/>
      <c r="I183" s="247"/>
      <c r="L183" s="63" t="s">
        <v>64</v>
      </c>
    </row>
    <row r="184" spans="2:23" ht="12.75">
      <c r="B184" s="70"/>
      <c r="C184" s="70"/>
      <c r="D184" s="70"/>
      <c r="E184" s="70"/>
      <c r="F184" s="70"/>
      <c r="G184" s="70"/>
      <c r="H184" s="70"/>
      <c r="I184" s="247"/>
      <c r="L184" s="336" t="s">
        <v>53</v>
      </c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</row>
    <row r="185" spans="2:23" ht="15.75">
      <c r="B185" s="70"/>
      <c r="C185" s="70"/>
      <c r="D185" s="70"/>
      <c r="E185" s="70"/>
      <c r="F185" s="70"/>
      <c r="G185" s="70"/>
      <c r="H185" s="70"/>
      <c r="I185" s="247"/>
      <c r="L185" s="337" t="s">
        <v>54</v>
      </c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</row>
    <row r="186" spans="2:23" ht="13.5" thickBot="1">
      <c r="B186" s="70"/>
      <c r="C186" s="70"/>
      <c r="D186" s="70"/>
      <c r="E186" s="70"/>
      <c r="F186" s="70"/>
      <c r="G186" s="70"/>
      <c r="H186" s="70"/>
      <c r="I186" s="247"/>
      <c r="W186" s="242" t="s">
        <v>43</v>
      </c>
    </row>
    <row r="187" spans="2:23" ht="17.25" thickBot="1" thickTop="1">
      <c r="B187" s="70"/>
      <c r="C187" s="70"/>
      <c r="D187" s="70"/>
      <c r="E187" s="70"/>
      <c r="F187" s="70"/>
      <c r="G187" s="70"/>
      <c r="H187" s="70"/>
      <c r="I187" s="247"/>
      <c r="L187" s="3"/>
      <c r="M187" s="347" t="s">
        <v>67</v>
      </c>
      <c r="N187" s="348"/>
      <c r="O187" s="348"/>
      <c r="P187" s="348"/>
      <c r="Q187" s="349"/>
      <c r="R187" s="338" t="s">
        <v>68</v>
      </c>
      <c r="S187" s="339"/>
      <c r="T187" s="339"/>
      <c r="U187" s="339"/>
      <c r="V187" s="340"/>
      <c r="W187" s="239" t="s">
        <v>4</v>
      </c>
    </row>
    <row r="188" spans="2:23" ht="13.5" thickTop="1">
      <c r="B188" s="70"/>
      <c r="C188" s="70"/>
      <c r="D188" s="70"/>
      <c r="E188" s="70"/>
      <c r="F188" s="70"/>
      <c r="G188" s="70"/>
      <c r="H188" s="70"/>
      <c r="I188" s="247"/>
      <c r="L188" s="4" t="s">
        <v>5</v>
      </c>
      <c r="M188" s="5"/>
      <c r="N188" s="8"/>
      <c r="O188" s="9"/>
      <c r="P188" s="10"/>
      <c r="Q188" s="11"/>
      <c r="R188" s="5"/>
      <c r="S188" s="8"/>
      <c r="T188" s="9"/>
      <c r="U188" s="10"/>
      <c r="V188" s="11"/>
      <c r="W188" s="240" t="s">
        <v>6</v>
      </c>
    </row>
    <row r="189" spans="2:23" ht="13.5" thickBot="1">
      <c r="B189" s="70"/>
      <c r="C189" s="70"/>
      <c r="D189" s="70"/>
      <c r="E189" s="70"/>
      <c r="F189" s="70"/>
      <c r="G189" s="70"/>
      <c r="H189" s="70"/>
      <c r="I189" s="247"/>
      <c r="L189" s="12"/>
      <c r="M189" s="15" t="s">
        <v>44</v>
      </c>
      <c r="N189" s="16" t="s">
        <v>45</v>
      </c>
      <c r="O189" s="17" t="s">
        <v>46</v>
      </c>
      <c r="P189" s="18" t="s">
        <v>13</v>
      </c>
      <c r="Q189" s="19" t="s">
        <v>9</v>
      </c>
      <c r="R189" s="15" t="s">
        <v>44</v>
      </c>
      <c r="S189" s="16" t="s">
        <v>45</v>
      </c>
      <c r="T189" s="17" t="s">
        <v>46</v>
      </c>
      <c r="U189" s="18" t="s">
        <v>13</v>
      </c>
      <c r="V189" s="19" t="s">
        <v>9</v>
      </c>
      <c r="W189" s="241"/>
    </row>
    <row r="190" spans="2:23" ht="4.5" customHeight="1" thickTop="1">
      <c r="B190" s="70"/>
      <c r="C190" s="70"/>
      <c r="D190" s="70"/>
      <c r="E190" s="70"/>
      <c r="F190" s="70"/>
      <c r="G190" s="70"/>
      <c r="H190" s="70"/>
      <c r="I190" s="247"/>
      <c r="L190" s="4"/>
      <c r="M190" s="23"/>
      <c r="N190" s="24"/>
      <c r="O190" s="25"/>
      <c r="P190" s="26"/>
      <c r="Q190" s="27"/>
      <c r="R190" s="23"/>
      <c r="S190" s="24"/>
      <c r="T190" s="25"/>
      <c r="U190" s="26"/>
      <c r="V190" s="28"/>
      <c r="W190" s="207"/>
    </row>
    <row r="191" spans="2:23" ht="12.75">
      <c r="B191" s="70"/>
      <c r="C191" s="70"/>
      <c r="D191" s="70"/>
      <c r="E191" s="70"/>
      <c r="F191" s="70"/>
      <c r="G191" s="70"/>
      <c r="H191" s="70"/>
      <c r="I191" s="247"/>
      <c r="L191" s="4" t="s">
        <v>14</v>
      </c>
      <c r="M191" s="29">
        <f>+BKK!M191+DMK!M191+CNX!M191+HDY!M191+HKT!M191+CEI!M191</f>
        <v>42</v>
      </c>
      <c r="N191" s="36">
        <f>+BKK!N191+DMK!N191+CNX!N191+HDY!N191+HKT!N191+CEI!N191</f>
        <v>19</v>
      </c>
      <c r="O191" s="33">
        <f>M191+N191</f>
        <v>61</v>
      </c>
      <c r="P191" s="34">
        <f>+BKK!P191+DMK!P191+CNX!P191+HDY!P191+HKT!P191+CEI!P191</f>
        <v>0</v>
      </c>
      <c r="Q191" s="35">
        <f>O191+P191</f>
        <v>61</v>
      </c>
      <c r="R191" s="29">
        <f>+BKK!R191+DMK!R191+CNX!R191+HDY!R191+HKT!R191+CEI!R191</f>
        <v>0</v>
      </c>
      <c r="S191" s="36">
        <f>+BKK!S191+DMK!S191+CNX!S191+HDY!S191+HKT!S191+CEI!S191</f>
        <v>0</v>
      </c>
      <c r="T191" s="33">
        <f>R191+S191</f>
        <v>0</v>
      </c>
      <c r="U191" s="34">
        <f>+BKK!U191+DMK!U191+CNX!U191+HDY!U191+HKT!U191+CEI!U191</f>
        <v>0</v>
      </c>
      <c r="V191" s="31">
        <f>T191+U191</f>
        <v>0</v>
      </c>
      <c r="W191" s="32">
        <f aca="true" t="shared" si="86" ref="W191:W208">IF(Q191=0,0,((V191/Q191)-1)*100)</f>
        <v>-100</v>
      </c>
    </row>
    <row r="192" spans="2:23" ht="12.75">
      <c r="B192" s="70"/>
      <c r="C192" s="70"/>
      <c r="D192" s="70"/>
      <c r="E192" s="70"/>
      <c r="F192" s="70"/>
      <c r="G192" s="70"/>
      <c r="H192" s="70"/>
      <c r="I192" s="247"/>
      <c r="L192" s="4" t="s">
        <v>15</v>
      </c>
      <c r="M192" s="29">
        <f>+BKK!M192+DMK!M192+CNX!M192+HDY!M192+HKT!M192+CEI!M192</f>
        <v>44</v>
      </c>
      <c r="N192" s="36">
        <f>+BKK!N192+DMK!N192+CNX!N192+HDY!N192+HKT!N192+CEI!N192</f>
        <v>19</v>
      </c>
      <c r="O192" s="33">
        <f>M192+N192</f>
        <v>63</v>
      </c>
      <c r="P192" s="34">
        <f>+BKK!P192+DMK!P192+CNX!P192+HDY!P192+HKT!P192+CEI!P192</f>
        <v>0</v>
      </c>
      <c r="Q192" s="35">
        <f>O192+P192</f>
        <v>63</v>
      </c>
      <c r="R192" s="29">
        <f>+BKK!R192+DMK!R192+CNX!R192+HDY!R192+HKT!R192+CEI!R192</f>
        <v>0</v>
      </c>
      <c r="S192" s="36">
        <f>+BKK!S192+DMK!S192+CNX!S192+HDY!S192+HKT!S192+CEI!S192</f>
        <v>0</v>
      </c>
      <c r="T192" s="33">
        <f>R192+S192</f>
        <v>0</v>
      </c>
      <c r="U192" s="34">
        <f>+BKK!U192+DMK!U192+CNX!U192+HDY!U192+HKT!U192+CEI!U192</f>
        <v>0</v>
      </c>
      <c r="V192" s="31">
        <f>T192+U192</f>
        <v>0</v>
      </c>
      <c r="W192" s="32">
        <f t="shared" si="86"/>
        <v>-100</v>
      </c>
    </row>
    <row r="193" spans="2:23" ht="13.5" thickBot="1">
      <c r="B193" s="70"/>
      <c r="C193" s="70"/>
      <c r="D193" s="70"/>
      <c r="E193" s="70"/>
      <c r="F193" s="70"/>
      <c r="G193" s="70"/>
      <c r="H193" s="70"/>
      <c r="I193" s="247"/>
      <c r="L193" s="12" t="s">
        <v>16</v>
      </c>
      <c r="M193" s="29">
        <f>+BKK!M193+DMK!M193+CNX!M193+HDY!M193+HKT!M193+CEI!M193</f>
        <v>40</v>
      </c>
      <c r="N193" s="36">
        <f>+BKK!N193+DMK!N193+CNX!N193+HDY!N193+HKT!N193+CEI!N193</f>
        <v>21</v>
      </c>
      <c r="O193" s="33">
        <f>M193+N193</f>
        <v>61</v>
      </c>
      <c r="P193" s="34">
        <f>+BKK!P193+DMK!P193+CNX!P193+HDY!P193+HKT!P193+CEI!P193</f>
        <v>0</v>
      </c>
      <c r="Q193" s="35">
        <f>O193+P193</f>
        <v>61</v>
      </c>
      <c r="R193" s="29">
        <f>+BKK!R193+DMK!R193+CNX!R193+HDY!R193+HKT!R193+CEI!R193</f>
        <v>17</v>
      </c>
      <c r="S193" s="36">
        <f>+BKK!S193+DMK!S193+CNX!S193+HDY!S193+HKT!S193+CEI!S193</f>
        <v>11</v>
      </c>
      <c r="T193" s="33">
        <f>R193+S193</f>
        <v>28</v>
      </c>
      <c r="U193" s="34">
        <f>+BKK!U193+DMK!U193+CNX!U193+HDY!U193+HKT!U193+CEI!U193</f>
        <v>0</v>
      </c>
      <c r="V193" s="31">
        <f>T193+U193</f>
        <v>28</v>
      </c>
      <c r="W193" s="32">
        <f t="shared" si="86"/>
        <v>-54.0983606557377</v>
      </c>
    </row>
    <row r="194" spans="2:23" ht="14.25" thickBot="1" thickTop="1">
      <c r="B194" s="70"/>
      <c r="C194" s="70"/>
      <c r="D194" s="70"/>
      <c r="E194" s="70"/>
      <c r="F194" s="70"/>
      <c r="G194" s="70"/>
      <c r="H194" s="70"/>
      <c r="I194" s="247"/>
      <c r="L194" s="39" t="s">
        <v>17</v>
      </c>
      <c r="M194" s="40">
        <f>+M191+M192+M193</f>
        <v>126</v>
      </c>
      <c r="N194" s="41">
        <f>+N191+N192+N193</f>
        <v>59</v>
      </c>
      <c r="O194" s="40">
        <f>+O191+O192+O193</f>
        <v>185</v>
      </c>
      <c r="P194" s="40">
        <f>+P191+P192+P193</f>
        <v>0</v>
      </c>
      <c r="Q194" s="40">
        <f>Q193+Q191+Q192</f>
        <v>185</v>
      </c>
      <c r="R194" s="40">
        <f>+R191+R192+R193</f>
        <v>17</v>
      </c>
      <c r="S194" s="41">
        <f>+S191+S192+S193</f>
        <v>11</v>
      </c>
      <c r="T194" s="40">
        <f>+T191+T192+T193</f>
        <v>28</v>
      </c>
      <c r="U194" s="40">
        <f>+U191+U192+U193</f>
        <v>0</v>
      </c>
      <c r="V194" s="42">
        <f>+V191+V192+V193</f>
        <v>28</v>
      </c>
      <c r="W194" s="54">
        <f t="shared" si="86"/>
        <v>-84.86486486486487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47"/>
      <c r="L195" s="4" t="s">
        <v>18</v>
      </c>
      <c r="M195" s="29">
        <f>+BKK!M195+DMK!M195+CNX!M195+HDY!M195+HKT!M195+CEI!M195</f>
        <v>39</v>
      </c>
      <c r="N195" s="36">
        <f>+BKK!N195+DMK!N195+CNX!N195+HDY!N195+HKT!N195+CEI!N195</f>
        <v>24</v>
      </c>
      <c r="O195" s="33">
        <f>M195+N195</f>
        <v>63</v>
      </c>
      <c r="P195" s="34">
        <f>+BKK!P195+DMK!P195+CNX!P195+HDY!P195+HKT!P195+CEI!P195</f>
        <v>0</v>
      </c>
      <c r="Q195" s="35">
        <f>O195+P195</f>
        <v>63</v>
      </c>
      <c r="R195" s="29">
        <f>+BKK!R195+DMK!R195+CNX!R195+HDY!R195+HKT!R195+CEI!R195</f>
        <v>28</v>
      </c>
      <c r="S195" s="36">
        <f>+BKK!S195+DMK!S195+CNX!S195+HDY!S195+HKT!S195+CEI!S195</f>
        <v>20</v>
      </c>
      <c r="T195" s="33">
        <f>R195+S195</f>
        <v>48</v>
      </c>
      <c r="U195" s="34">
        <f>+BKK!U195+DMK!U195+CNX!U195+HDY!U195+HKT!U195+CEI!U195</f>
        <v>0</v>
      </c>
      <c r="V195" s="31">
        <f>T195+U195</f>
        <v>48</v>
      </c>
      <c r="W195" s="32">
        <f t="shared" si="86"/>
        <v>-23.809523809523814</v>
      </c>
    </row>
    <row r="196" spans="2:23" ht="12.75">
      <c r="B196" s="70"/>
      <c r="C196" s="70"/>
      <c r="D196" s="70"/>
      <c r="E196" s="70"/>
      <c r="F196" s="70"/>
      <c r="G196" s="70"/>
      <c r="H196" s="70"/>
      <c r="I196" s="247"/>
      <c r="L196" s="4" t="s">
        <v>19</v>
      </c>
      <c r="M196" s="29">
        <f>+BKK!M196+DMK!M196+CNX!M196+HDY!M196+HKT!M196+CEI!M196</f>
        <v>43</v>
      </c>
      <c r="N196" s="36">
        <f>+BKK!N196+DMK!N196+CNX!N196+HDY!N196+HKT!N196+CEI!N196</f>
        <v>25</v>
      </c>
      <c r="O196" s="33">
        <f>M196+N196</f>
        <v>68</v>
      </c>
      <c r="P196" s="34">
        <f>+BKK!P196+DMK!P196+CNX!P196+HDY!P196+HKT!P196+CEI!P196</f>
        <v>0</v>
      </c>
      <c r="Q196" s="35">
        <f>O196+P196</f>
        <v>68</v>
      </c>
      <c r="R196" s="29">
        <f>+BKK!R196+DMK!R196+CNX!R196+HDY!R196+HKT!R196+CEI!R196</f>
        <v>2</v>
      </c>
      <c r="S196" s="36">
        <f>+BKK!S196+DMK!S196+CNX!S196+HDY!S196+HKT!S196+CEI!S196</f>
        <v>7</v>
      </c>
      <c r="T196" s="33">
        <f>R196+S196</f>
        <v>9</v>
      </c>
      <c r="U196" s="34">
        <f>+BKK!U196+DMK!U196+CNX!U196+HDY!U196+HKT!U196+CEI!U196</f>
        <v>0</v>
      </c>
      <c r="V196" s="31">
        <f>T196+U196</f>
        <v>9</v>
      </c>
      <c r="W196" s="32">
        <f>IF(Q196=0,0,((V196/Q196)-1)*100)</f>
        <v>-86.76470588235294</v>
      </c>
    </row>
    <row r="197" spans="2:23" ht="13.5" thickBot="1">
      <c r="B197" s="70"/>
      <c r="C197" s="70"/>
      <c r="D197" s="70"/>
      <c r="E197" s="70"/>
      <c r="F197" s="70"/>
      <c r="G197" s="70"/>
      <c r="H197" s="70"/>
      <c r="I197" s="247"/>
      <c r="L197" s="4" t="s">
        <v>20</v>
      </c>
      <c r="M197" s="29">
        <f>+BKK!M197+DMK!M197+CNX!M197+HDY!M197+HKT!M197+CEI!M197</f>
        <v>50</v>
      </c>
      <c r="N197" s="36">
        <f>+BKK!N197+DMK!N197+CNX!N197+HDY!N197+HKT!N197+CEI!N197</f>
        <v>32</v>
      </c>
      <c r="O197" s="33">
        <f>M197+N197</f>
        <v>82</v>
      </c>
      <c r="P197" s="34">
        <f>+BKK!P197+DMK!P197+CNX!P197+HDY!P197+HKT!P197+CEI!P197</f>
        <v>0</v>
      </c>
      <c r="Q197" s="35">
        <f>O197+P197</f>
        <v>82</v>
      </c>
      <c r="R197" s="29">
        <f>+BKK!R197+DMK!R197+CNX!R197+HDY!R197+HKT!R197+CEI!R197</f>
        <v>21</v>
      </c>
      <c r="S197" s="36">
        <f>+BKK!S197+DMK!S197+CNX!S197+HDY!S197+HKT!S197+CEI!S197</f>
        <v>13</v>
      </c>
      <c r="T197" s="33">
        <f>R197+S197</f>
        <v>34</v>
      </c>
      <c r="U197" s="34">
        <f>+BKK!U197+DMK!U197+CNX!U197+HDY!U197+HKT!U197+CEI!U197</f>
        <v>0</v>
      </c>
      <c r="V197" s="31">
        <f>T197+U197</f>
        <v>34</v>
      </c>
      <c r="W197" s="32">
        <f t="shared" si="86"/>
        <v>-58.53658536585367</v>
      </c>
    </row>
    <row r="198" spans="1:23" ht="14.25" thickBot="1" thickTop="1">
      <c r="A198" s="70"/>
      <c r="B198" s="232"/>
      <c r="C198" s="233"/>
      <c r="D198" s="233"/>
      <c r="E198" s="233"/>
      <c r="F198" s="233"/>
      <c r="G198" s="233"/>
      <c r="H198" s="233"/>
      <c r="I198" s="276"/>
      <c r="J198" s="70"/>
      <c r="L198" s="44" t="s">
        <v>21</v>
      </c>
      <c r="M198" s="40">
        <f aca="true" t="shared" si="87" ref="M198:V198">M196+M195+M197</f>
        <v>132</v>
      </c>
      <c r="N198" s="41">
        <f t="shared" si="87"/>
        <v>81</v>
      </c>
      <c r="O198" s="40">
        <f t="shared" si="87"/>
        <v>213</v>
      </c>
      <c r="P198" s="40">
        <f t="shared" si="87"/>
        <v>0</v>
      </c>
      <c r="Q198" s="40">
        <f t="shared" si="87"/>
        <v>213</v>
      </c>
      <c r="R198" s="40">
        <f t="shared" si="87"/>
        <v>51</v>
      </c>
      <c r="S198" s="41">
        <f t="shared" si="87"/>
        <v>40</v>
      </c>
      <c r="T198" s="40">
        <f t="shared" si="87"/>
        <v>91</v>
      </c>
      <c r="U198" s="40">
        <f t="shared" si="87"/>
        <v>0</v>
      </c>
      <c r="V198" s="42">
        <f t="shared" si="87"/>
        <v>91</v>
      </c>
      <c r="W198" s="54">
        <f t="shared" si="86"/>
        <v>-57.27699530516433</v>
      </c>
    </row>
    <row r="199" spans="2:23" ht="13.5" thickTop="1">
      <c r="B199" s="70"/>
      <c r="C199" s="70"/>
      <c r="D199" s="70"/>
      <c r="E199" s="70"/>
      <c r="F199" s="70"/>
      <c r="G199" s="70"/>
      <c r="H199" s="70"/>
      <c r="I199" s="247"/>
      <c r="L199" s="4" t="s">
        <v>22</v>
      </c>
      <c r="M199" s="29">
        <f>+BKK!M199+DMK!M199+CNX!M199+HDY!M199+HKT!M199+CEI!M199</f>
        <v>45</v>
      </c>
      <c r="N199" s="36">
        <f>+BKK!N199+DMK!N199+CNX!N199+HDY!N199+HKT!N199+CEI!N199</f>
        <v>21</v>
      </c>
      <c r="O199" s="33">
        <f>M199+N199</f>
        <v>66</v>
      </c>
      <c r="P199" s="34">
        <f>+BKK!P199+DMK!P199+CNX!P199+HDY!P199+HKT!P199+CEI!P199</f>
        <v>0</v>
      </c>
      <c r="Q199" s="35">
        <f>O199+P199</f>
        <v>66</v>
      </c>
      <c r="R199" s="29">
        <f>+BKK!R199+DMK!R199+CNX!R199+HDY!R199+HKT!R199+CEI!R199</f>
        <v>32</v>
      </c>
      <c r="S199" s="36">
        <f>+BKK!S199+DMK!S199+CNX!S199+HDY!S199+HKT!S199+CEI!S199</f>
        <v>10</v>
      </c>
      <c r="T199" s="33">
        <f>+BKK!T199+DMK!T199+CNX!T199+HDY!T199+HKT!T199+CEI!T199</f>
        <v>42</v>
      </c>
      <c r="U199" s="34">
        <f>+BKK!U199+DMK!U199+CNX!U199+HDY!U199+HKT!U199+CEI!U199</f>
        <v>0</v>
      </c>
      <c r="V199" s="31">
        <f>+BKK!V199+DMK!V199+CNX!V199+HDY!V199+HKT!V199+CEI!V199</f>
        <v>42</v>
      </c>
      <c r="W199" s="256">
        <f t="shared" si="86"/>
        <v>-36.36363636363637</v>
      </c>
    </row>
    <row r="200" spans="2:23" ht="12.75">
      <c r="B200" s="70"/>
      <c r="C200" s="70"/>
      <c r="D200" s="70"/>
      <c r="E200" s="70"/>
      <c r="F200" s="70"/>
      <c r="G200" s="70"/>
      <c r="H200" s="70"/>
      <c r="I200" s="247"/>
      <c r="L200" s="4" t="s">
        <v>23</v>
      </c>
      <c r="M200" s="29">
        <f>+BKK!M200+DMK!M200+CNX!M200+HDY!M200+HKT!M200+CEI!M200</f>
        <v>39</v>
      </c>
      <c r="N200" s="36">
        <f>+BKK!N200+DMK!N200+CNX!N200+HDY!N200+HKT!N200+CEI!N200</f>
        <v>23</v>
      </c>
      <c r="O200" s="33">
        <f>M200+N200</f>
        <v>62</v>
      </c>
      <c r="P200" s="34">
        <f>+BKK!P200+DMK!P200+CNX!P200+HDY!P200+HKT!P200+CEI!P200</f>
        <v>0</v>
      </c>
      <c r="Q200" s="35">
        <f>O200+P200</f>
        <v>62</v>
      </c>
      <c r="R200" s="29">
        <f>+BKK!R200+DMK!R200+CNX!R200+HDY!R200+HKT!R200+CEI!R200</f>
        <v>31</v>
      </c>
      <c r="S200" s="36">
        <f>+BKK!S200+DMK!S200+CNX!S200+HDY!S200+HKT!S200+CEI!S200</f>
        <v>15</v>
      </c>
      <c r="T200" s="33">
        <f>+BKK!T200+DMK!T200+CNX!T200+HDY!T200+HKT!T200+CEI!T200</f>
        <v>46</v>
      </c>
      <c r="U200" s="34">
        <f>+BKK!U200+DMK!U200+CNX!U200+HDY!U200+HKT!U200+CEI!U200</f>
        <v>0</v>
      </c>
      <c r="V200" s="31">
        <f>+BKK!V200+DMK!V200+CNX!V200+HDY!V200+HKT!V200+CEI!V200</f>
        <v>46</v>
      </c>
      <c r="W200" s="256">
        <f t="shared" si="86"/>
        <v>-25.806451612903224</v>
      </c>
    </row>
    <row r="201" spans="2:23" ht="13.5" thickBot="1">
      <c r="B201" s="70"/>
      <c r="C201" s="70"/>
      <c r="D201" s="70"/>
      <c r="E201" s="70"/>
      <c r="F201" s="70"/>
      <c r="G201" s="70"/>
      <c r="H201" s="70"/>
      <c r="I201" s="247"/>
      <c r="L201" s="4" t="s">
        <v>24</v>
      </c>
      <c r="M201" s="29">
        <f>+BKK!M201+DMK!M201+CNX!M201+HDY!M201+HKT!M201+CEI!M201</f>
        <v>27</v>
      </c>
      <c r="N201" s="36">
        <f>+BKK!N201+DMK!N201+CNX!N201+HDY!N201+HKT!N201+CEI!N201</f>
        <v>34</v>
      </c>
      <c r="O201" s="51">
        <f>M201+N201</f>
        <v>61</v>
      </c>
      <c r="P201" s="52">
        <f>+BKK!P201+DMK!P201+CNX!P201+HDY!P201+HKT!P201+CEI!P201</f>
        <v>0</v>
      </c>
      <c r="Q201" s="35">
        <f>O201+P201</f>
        <v>61</v>
      </c>
      <c r="R201" s="29">
        <f>+BKK!R201+DMK!R201+CNX!R201+HDY!R201+HKT!R201+CEI!R201</f>
        <v>22</v>
      </c>
      <c r="S201" s="36">
        <f>+BKK!S201+DMK!S201+CNX!S201+HDY!S201+HKT!S201+CEI!S201</f>
        <v>15</v>
      </c>
      <c r="T201" s="51">
        <f>+BKK!T201+DMK!T201+CNX!T201+HDY!T201+HKT!T201+CEI!T201</f>
        <v>37</v>
      </c>
      <c r="U201" s="52">
        <f>+BKK!U201+DMK!U201+CNX!U201+HDY!U201+HKT!U201+CEI!U201</f>
        <v>0</v>
      </c>
      <c r="V201" s="31">
        <f>+BKK!V201+DMK!V201+CNX!V201+HDY!V201+HKT!V201+CEI!V201</f>
        <v>37</v>
      </c>
      <c r="W201" s="256">
        <f t="shared" si="86"/>
        <v>-39.34426229508197</v>
      </c>
    </row>
    <row r="202" spans="2:23" ht="14.25" thickBot="1" thickTop="1">
      <c r="B202" s="70"/>
      <c r="C202" s="70"/>
      <c r="D202" s="70"/>
      <c r="E202" s="70"/>
      <c r="F202" s="70"/>
      <c r="G202" s="70"/>
      <c r="H202" s="70"/>
      <c r="I202" s="247"/>
      <c r="L202" s="44" t="s">
        <v>25</v>
      </c>
      <c r="M202" s="45">
        <f aca="true" t="shared" si="88" ref="M202:V202">+M199+M200+M201</f>
        <v>111</v>
      </c>
      <c r="N202" s="45">
        <f t="shared" si="88"/>
        <v>78</v>
      </c>
      <c r="O202" s="47">
        <f t="shared" si="88"/>
        <v>189</v>
      </c>
      <c r="P202" s="47">
        <f t="shared" si="88"/>
        <v>0</v>
      </c>
      <c r="Q202" s="47">
        <f t="shared" si="88"/>
        <v>189</v>
      </c>
      <c r="R202" s="45">
        <f t="shared" si="88"/>
        <v>85</v>
      </c>
      <c r="S202" s="45">
        <f t="shared" si="88"/>
        <v>40</v>
      </c>
      <c r="T202" s="47">
        <f t="shared" si="88"/>
        <v>125</v>
      </c>
      <c r="U202" s="47">
        <f t="shared" si="88"/>
        <v>0</v>
      </c>
      <c r="V202" s="47">
        <f t="shared" si="88"/>
        <v>125</v>
      </c>
      <c r="W202" s="257">
        <f t="shared" si="86"/>
        <v>-33.86243386243386</v>
      </c>
    </row>
    <row r="203" spans="2:23" ht="13.5" thickTop="1">
      <c r="B203" s="70"/>
      <c r="C203" s="70"/>
      <c r="D203" s="70"/>
      <c r="E203" s="70"/>
      <c r="F203" s="70"/>
      <c r="G203" s="70"/>
      <c r="H203" s="70"/>
      <c r="I203" s="247"/>
      <c r="L203" s="4" t="s">
        <v>27</v>
      </c>
      <c r="M203" s="29">
        <f>+BKK!M203+DMK!M203+CNX!M203+HDY!M203+HKT!M203+CEI!M203</f>
        <v>28</v>
      </c>
      <c r="N203" s="36">
        <f>+BKK!N203+DMK!N203+CNX!N203+HDY!N203+HKT!N203+CEI!N203</f>
        <v>34</v>
      </c>
      <c r="O203" s="51">
        <f>M203+N203</f>
        <v>62</v>
      </c>
      <c r="P203" s="59">
        <f>+BKK!P203+DMK!P203+CNX!P203+HDY!P203+HKT!P203+CEI!P203</f>
        <v>0</v>
      </c>
      <c r="Q203" s="35">
        <f>O203+P203</f>
        <v>62</v>
      </c>
      <c r="R203" s="29">
        <f>+BKK!R203+DMK!R203+CNX!R203+HDY!R203+HKT!R203+CEI!R203</f>
        <v>21</v>
      </c>
      <c r="S203" s="36">
        <f>+BKK!S203+DMK!S203+CNX!S203+HDY!S203+HKT!S203+CEI!S203</f>
        <v>13</v>
      </c>
      <c r="T203" s="51">
        <f>+BKK!T203+DMK!T203+CNX!T203+HDY!T203+HKT!T203+CEI!T203</f>
        <v>34</v>
      </c>
      <c r="U203" s="59">
        <f>+BKK!U203+DMK!U203+CNX!U203+HDY!U203+HKT!U203+CEI!U203</f>
        <v>0</v>
      </c>
      <c r="V203" s="31">
        <f>+BKK!V203+DMK!V203+CNX!V203+HDY!V203+HKT!V203+CEI!V203</f>
        <v>34</v>
      </c>
      <c r="W203" s="256">
        <f t="shared" si="86"/>
        <v>-45.16129032258065</v>
      </c>
    </row>
    <row r="204" spans="2:23" ht="12.75">
      <c r="B204" s="70"/>
      <c r="C204" s="70"/>
      <c r="D204" s="70"/>
      <c r="E204" s="70"/>
      <c r="F204" s="70"/>
      <c r="G204" s="70"/>
      <c r="H204" s="70"/>
      <c r="I204" s="247"/>
      <c r="L204" s="4" t="s">
        <v>28</v>
      </c>
      <c r="M204" s="29">
        <f>+BKK!M204+DMK!M204+CNX!M204+HDY!M204+HKT!M204+CEI!M204</f>
        <v>39</v>
      </c>
      <c r="N204" s="36">
        <f>+BKK!N204+DMK!N204+CNX!N204+HDY!N204+HKT!N204+CEI!N204</f>
        <v>21</v>
      </c>
      <c r="O204" s="51">
        <f>M204+N204</f>
        <v>60</v>
      </c>
      <c r="P204" s="34">
        <f>+BKK!P204+DMK!P204+CNX!P204+HDY!P204+HKT!P204+CEI!P204</f>
        <v>0</v>
      </c>
      <c r="Q204" s="35">
        <f>O204+P204</f>
        <v>60</v>
      </c>
      <c r="R204" s="29">
        <f>+BKK!R204+DMK!R204+CNX!R204+HDY!R204+HKT!R204+CEI!R204</f>
        <v>19</v>
      </c>
      <c r="S204" s="36">
        <f>+BKK!S204+DMK!S204+CNX!S204+HDY!S204+HKT!S204+CEI!S204</f>
        <v>7</v>
      </c>
      <c r="T204" s="51">
        <f>+BKK!T204+DMK!T204+CNX!T204+HDY!T204+HKT!T204+CEI!T204</f>
        <v>26</v>
      </c>
      <c r="U204" s="34">
        <f>+BKK!U204+DMK!U204+CNX!U204+HDY!U204+HKT!U204+CEI!U204</f>
        <v>0</v>
      </c>
      <c r="V204" s="31">
        <f>+BKK!V204+DMK!V204+CNX!V204+HDY!V204+HKT!V204+CEI!V204</f>
        <v>26</v>
      </c>
      <c r="W204" s="256">
        <f>IF(Q204=0,0,((V204/Q204)-1)*100)</f>
        <v>-56.666666666666664</v>
      </c>
    </row>
    <row r="205" spans="2:23" ht="13.5" thickBot="1">
      <c r="B205" s="70"/>
      <c r="C205" s="70"/>
      <c r="D205" s="70"/>
      <c r="E205" s="70"/>
      <c r="F205" s="70"/>
      <c r="G205" s="70"/>
      <c r="H205" s="70"/>
      <c r="I205" s="247"/>
      <c r="L205" s="4" t="s">
        <v>29</v>
      </c>
      <c r="M205" s="29">
        <f>+BKK!M205+DMK!M205+CNX!M205+HDY!M205+HKT!M205+CEI!M205</f>
        <v>2</v>
      </c>
      <c r="N205" s="36">
        <f>+BKK!N205+DMK!N205+CNX!N205+HDY!N205+HKT!N205+CEI!N205</f>
        <v>2</v>
      </c>
      <c r="O205" s="33">
        <f>M205+N205</f>
        <v>4</v>
      </c>
      <c r="P205" s="52">
        <f>+BKK!P205+DMK!P205+CNX!P205+HDY!P205+HKT!P205+CEI!P205</f>
        <v>0</v>
      </c>
      <c r="Q205" s="35">
        <f>O205+P205</f>
        <v>4</v>
      </c>
      <c r="R205" s="29">
        <f>+BKK!R205+DMK!R205+CNX!R205+HDY!R205+HKT!R205+CEI!R205</f>
        <v>11</v>
      </c>
      <c r="S205" s="36">
        <f>+BKK!S205+DMK!S205+CNX!S205+HDY!S205+HKT!S205+CEI!S205</f>
        <v>6</v>
      </c>
      <c r="T205" s="33">
        <f>+BKK!T205+DMK!T205+CNX!T205+HDY!T205+HKT!T205+CEI!T205</f>
        <v>17</v>
      </c>
      <c r="U205" s="52">
        <f>+BKK!U205+DMK!U205+CNX!U205+HDY!U205+HKT!U205+CEI!U205</f>
        <v>0</v>
      </c>
      <c r="V205" s="31">
        <f>+BKK!V205+DMK!V205+CNX!V205+HDY!V205+HKT!V205+CEI!V205</f>
        <v>17</v>
      </c>
      <c r="W205" s="256">
        <f t="shared" si="86"/>
        <v>325</v>
      </c>
    </row>
    <row r="206" spans="2:23" ht="14.25" thickBot="1" thickTop="1">
      <c r="B206" s="70"/>
      <c r="C206" s="70"/>
      <c r="D206" s="70"/>
      <c r="E206" s="70"/>
      <c r="F206" s="70"/>
      <c r="G206" s="70"/>
      <c r="H206" s="70"/>
      <c r="I206" s="247"/>
      <c r="L206" s="39" t="s">
        <v>30</v>
      </c>
      <c r="M206" s="40">
        <f aca="true" t="shared" si="89" ref="M206:V206">+M203+M204+M205</f>
        <v>69</v>
      </c>
      <c r="N206" s="41">
        <f t="shared" si="89"/>
        <v>57</v>
      </c>
      <c r="O206" s="40">
        <f t="shared" si="89"/>
        <v>126</v>
      </c>
      <c r="P206" s="40">
        <f t="shared" si="89"/>
        <v>0</v>
      </c>
      <c r="Q206" s="43">
        <f t="shared" si="89"/>
        <v>126</v>
      </c>
      <c r="R206" s="40">
        <f t="shared" si="89"/>
        <v>51</v>
      </c>
      <c r="S206" s="41">
        <f t="shared" si="89"/>
        <v>26</v>
      </c>
      <c r="T206" s="40">
        <f t="shared" si="89"/>
        <v>77</v>
      </c>
      <c r="U206" s="40">
        <f t="shared" si="89"/>
        <v>0</v>
      </c>
      <c r="V206" s="42">
        <f t="shared" si="89"/>
        <v>77</v>
      </c>
      <c r="W206" s="257">
        <f t="shared" si="86"/>
        <v>-38.888888888888886</v>
      </c>
    </row>
    <row r="207" spans="1:23" ht="14.25" thickBot="1" thickTop="1">
      <c r="A207" s="220"/>
      <c r="B207" s="232"/>
      <c r="C207" s="233"/>
      <c r="D207" s="233"/>
      <c r="E207" s="233"/>
      <c r="F207" s="233"/>
      <c r="G207" s="233"/>
      <c r="H207" s="233"/>
      <c r="I207" s="276"/>
      <c r="J207" s="220"/>
      <c r="L207" s="39" t="s">
        <v>66</v>
      </c>
      <c r="M207" s="40">
        <f aca="true" t="shared" si="90" ref="M207:V207">+M198+M202+M206</f>
        <v>312</v>
      </c>
      <c r="N207" s="41">
        <f t="shared" si="90"/>
        <v>216</v>
      </c>
      <c r="O207" s="40">
        <f t="shared" si="90"/>
        <v>528</v>
      </c>
      <c r="P207" s="40">
        <f t="shared" si="90"/>
        <v>0</v>
      </c>
      <c r="Q207" s="40">
        <f t="shared" si="90"/>
        <v>528</v>
      </c>
      <c r="R207" s="40">
        <f t="shared" si="90"/>
        <v>187</v>
      </c>
      <c r="S207" s="41">
        <f t="shared" si="90"/>
        <v>106</v>
      </c>
      <c r="T207" s="40">
        <f t="shared" si="90"/>
        <v>293</v>
      </c>
      <c r="U207" s="40">
        <f t="shared" si="90"/>
        <v>0</v>
      </c>
      <c r="V207" s="42">
        <f t="shared" si="90"/>
        <v>293</v>
      </c>
      <c r="W207" s="257">
        <f t="shared" si="86"/>
        <v>-44.50757575757576</v>
      </c>
    </row>
    <row r="208" spans="2:23" ht="14.25" thickBot="1" thickTop="1">
      <c r="B208" s="70"/>
      <c r="C208" s="70"/>
      <c r="D208" s="70"/>
      <c r="E208" s="70"/>
      <c r="F208" s="70"/>
      <c r="G208" s="70"/>
      <c r="H208" s="70"/>
      <c r="I208" s="247"/>
      <c r="L208" s="39" t="s">
        <v>9</v>
      </c>
      <c r="M208" s="40">
        <f aca="true" t="shared" si="91" ref="M208:V208">+M198+M202+M206+M194</f>
        <v>438</v>
      </c>
      <c r="N208" s="41">
        <f t="shared" si="91"/>
        <v>275</v>
      </c>
      <c r="O208" s="40">
        <f t="shared" si="91"/>
        <v>713</v>
      </c>
      <c r="P208" s="40">
        <f t="shared" si="91"/>
        <v>0</v>
      </c>
      <c r="Q208" s="40">
        <f t="shared" si="91"/>
        <v>713</v>
      </c>
      <c r="R208" s="40">
        <f t="shared" si="91"/>
        <v>204</v>
      </c>
      <c r="S208" s="41">
        <f t="shared" si="91"/>
        <v>117</v>
      </c>
      <c r="T208" s="40">
        <f t="shared" si="91"/>
        <v>321</v>
      </c>
      <c r="U208" s="40">
        <f t="shared" si="91"/>
        <v>0</v>
      </c>
      <c r="V208" s="40">
        <f t="shared" si="91"/>
        <v>321</v>
      </c>
      <c r="W208" s="257">
        <f t="shared" si="86"/>
        <v>-54.97896213183731</v>
      </c>
    </row>
    <row r="209" spans="2:12" ht="13.5" thickTop="1">
      <c r="B209" s="70"/>
      <c r="C209" s="70"/>
      <c r="D209" s="70"/>
      <c r="E209" s="70"/>
      <c r="F209" s="70"/>
      <c r="G209" s="70"/>
      <c r="H209" s="70"/>
      <c r="I209" s="247"/>
      <c r="L209" s="63" t="s">
        <v>64</v>
      </c>
    </row>
    <row r="210" spans="2:23" ht="12.75">
      <c r="B210" s="70"/>
      <c r="C210" s="70"/>
      <c r="D210" s="70"/>
      <c r="E210" s="70"/>
      <c r="F210" s="70"/>
      <c r="G210" s="70"/>
      <c r="H210" s="70"/>
      <c r="I210" s="247"/>
      <c r="L210" s="336" t="s">
        <v>55</v>
      </c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</row>
    <row r="211" spans="2:23" ht="15.75">
      <c r="B211" s="70"/>
      <c r="C211" s="70"/>
      <c r="D211" s="70"/>
      <c r="E211" s="70"/>
      <c r="F211" s="70"/>
      <c r="G211" s="70"/>
      <c r="H211" s="70"/>
      <c r="I211" s="247"/>
      <c r="L211" s="337" t="s">
        <v>56</v>
      </c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</row>
    <row r="212" spans="2:23" ht="13.5" thickBot="1">
      <c r="B212" s="70"/>
      <c r="C212" s="70"/>
      <c r="D212" s="70"/>
      <c r="E212" s="70"/>
      <c r="F212" s="70"/>
      <c r="G212" s="70"/>
      <c r="H212" s="70"/>
      <c r="I212" s="247"/>
      <c r="W212" s="242" t="s">
        <v>43</v>
      </c>
    </row>
    <row r="213" spans="2:23" ht="17.25" thickBot="1" thickTop="1">
      <c r="B213" s="70"/>
      <c r="C213" s="70"/>
      <c r="D213" s="70"/>
      <c r="E213" s="70"/>
      <c r="F213" s="70"/>
      <c r="G213" s="70"/>
      <c r="H213" s="70"/>
      <c r="I213" s="247"/>
      <c r="L213" s="3"/>
      <c r="M213" s="347" t="s">
        <v>67</v>
      </c>
      <c r="N213" s="348"/>
      <c r="O213" s="348"/>
      <c r="P213" s="348"/>
      <c r="Q213" s="349"/>
      <c r="R213" s="338" t="s">
        <v>68</v>
      </c>
      <c r="S213" s="339"/>
      <c r="T213" s="339"/>
      <c r="U213" s="339"/>
      <c r="V213" s="340"/>
      <c r="W213" s="239" t="s">
        <v>4</v>
      </c>
    </row>
    <row r="214" spans="2:23" ht="13.5" thickTop="1">
      <c r="B214" s="70"/>
      <c r="C214" s="70"/>
      <c r="D214" s="70"/>
      <c r="E214" s="70"/>
      <c r="F214" s="70"/>
      <c r="G214" s="70"/>
      <c r="H214" s="70"/>
      <c r="I214" s="247"/>
      <c r="L214" s="4" t="s">
        <v>5</v>
      </c>
      <c r="M214" s="5"/>
      <c r="N214" s="8"/>
      <c r="O214" s="9"/>
      <c r="P214" s="10"/>
      <c r="Q214" s="11"/>
      <c r="R214" s="5"/>
      <c r="S214" s="8"/>
      <c r="T214" s="9"/>
      <c r="U214" s="10"/>
      <c r="V214" s="11"/>
      <c r="W214" s="240" t="s">
        <v>6</v>
      </c>
    </row>
    <row r="215" spans="2:23" ht="13.5" thickBot="1">
      <c r="B215" s="70"/>
      <c r="C215" s="70"/>
      <c r="D215" s="70"/>
      <c r="E215" s="70"/>
      <c r="F215" s="70"/>
      <c r="G215" s="70"/>
      <c r="H215" s="70"/>
      <c r="I215" s="247"/>
      <c r="L215" s="12"/>
      <c r="M215" s="15" t="s">
        <v>44</v>
      </c>
      <c r="N215" s="16" t="s">
        <v>45</v>
      </c>
      <c r="O215" s="17" t="s">
        <v>57</v>
      </c>
      <c r="P215" s="18" t="s">
        <v>13</v>
      </c>
      <c r="Q215" s="19" t="s">
        <v>9</v>
      </c>
      <c r="R215" s="15" t="s">
        <v>44</v>
      </c>
      <c r="S215" s="16" t="s">
        <v>45</v>
      </c>
      <c r="T215" s="17" t="s">
        <v>57</v>
      </c>
      <c r="U215" s="18" t="s">
        <v>13</v>
      </c>
      <c r="V215" s="19" t="s">
        <v>9</v>
      </c>
      <c r="W215" s="241"/>
    </row>
    <row r="216" spans="2:23" ht="5.25" customHeight="1" thickTop="1">
      <c r="B216" s="70"/>
      <c r="C216" s="70"/>
      <c r="D216" s="70"/>
      <c r="E216" s="70"/>
      <c r="F216" s="70"/>
      <c r="G216" s="70"/>
      <c r="H216" s="70"/>
      <c r="I216" s="247"/>
      <c r="L216" s="4"/>
      <c r="M216" s="23"/>
      <c r="N216" s="24"/>
      <c r="O216" s="25"/>
      <c r="P216" s="26"/>
      <c r="Q216" s="27"/>
      <c r="R216" s="23"/>
      <c r="S216" s="24"/>
      <c r="T216" s="25"/>
      <c r="U216" s="26"/>
      <c r="V216" s="28"/>
      <c r="W216" s="207"/>
    </row>
    <row r="217" spans="2:23" ht="12.75">
      <c r="B217" s="70"/>
      <c r="C217" s="70"/>
      <c r="D217" s="70"/>
      <c r="E217" s="70"/>
      <c r="F217" s="70"/>
      <c r="G217" s="70"/>
      <c r="H217" s="70"/>
      <c r="I217" s="247"/>
      <c r="L217" s="4" t="s">
        <v>14</v>
      </c>
      <c r="M217" s="29">
        <f aca="true" t="shared" si="92" ref="M217:V217">+M165+M191</f>
        <v>69</v>
      </c>
      <c r="N217" s="36">
        <f t="shared" si="92"/>
        <v>104</v>
      </c>
      <c r="O217" s="33">
        <f t="shared" si="92"/>
        <v>173</v>
      </c>
      <c r="P217" s="34">
        <f t="shared" si="92"/>
        <v>0</v>
      </c>
      <c r="Q217" s="35">
        <f t="shared" si="92"/>
        <v>173</v>
      </c>
      <c r="R217" s="29">
        <f t="shared" si="92"/>
        <v>34</v>
      </c>
      <c r="S217" s="36">
        <f t="shared" si="92"/>
        <v>112</v>
      </c>
      <c r="T217" s="33">
        <f t="shared" si="92"/>
        <v>146</v>
      </c>
      <c r="U217" s="34">
        <f t="shared" si="92"/>
        <v>1</v>
      </c>
      <c r="V217" s="31">
        <f t="shared" si="92"/>
        <v>147</v>
      </c>
      <c r="W217" s="32">
        <f aca="true" t="shared" si="93" ref="W217:W234">IF(Q217=0,0,((V217/Q217)-1)*100)</f>
        <v>-15.02890173410405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47"/>
      <c r="L218" s="4" t="s">
        <v>15</v>
      </c>
      <c r="M218" s="29">
        <f aca="true" t="shared" si="94" ref="M218:V218">+M166+M192</f>
        <v>73</v>
      </c>
      <c r="N218" s="36">
        <f t="shared" si="94"/>
        <v>104</v>
      </c>
      <c r="O218" s="33">
        <f t="shared" si="94"/>
        <v>177</v>
      </c>
      <c r="P218" s="34">
        <f t="shared" si="94"/>
        <v>0</v>
      </c>
      <c r="Q218" s="35">
        <f t="shared" si="94"/>
        <v>177</v>
      </c>
      <c r="R218" s="29">
        <f t="shared" si="94"/>
        <v>32</v>
      </c>
      <c r="S218" s="36">
        <f t="shared" si="94"/>
        <v>97</v>
      </c>
      <c r="T218" s="33">
        <f t="shared" si="94"/>
        <v>129</v>
      </c>
      <c r="U218" s="34">
        <f t="shared" si="94"/>
        <v>1</v>
      </c>
      <c r="V218" s="31">
        <f t="shared" si="94"/>
        <v>130</v>
      </c>
      <c r="W218" s="32">
        <f t="shared" si="93"/>
        <v>-26.55367231638418</v>
      </c>
    </row>
    <row r="219" spans="2:23" ht="13.5" thickBot="1">
      <c r="B219" s="70"/>
      <c r="C219" s="70"/>
      <c r="D219" s="70"/>
      <c r="E219" s="70"/>
      <c r="F219" s="70"/>
      <c r="G219" s="70"/>
      <c r="H219" s="70"/>
      <c r="I219" s="247"/>
      <c r="L219" s="12" t="s">
        <v>16</v>
      </c>
      <c r="M219" s="29">
        <f aca="true" t="shared" si="95" ref="M219:V219">+M167+M193</f>
        <v>67</v>
      </c>
      <c r="N219" s="36">
        <f t="shared" si="95"/>
        <v>125</v>
      </c>
      <c r="O219" s="33">
        <f t="shared" si="95"/>
        <v>192</v>
      </c>
      <c r="P219" s="34">
        <f t="shared" si="95"/>
        <v>0</v>
      </c>
      <c r="Q219" s="35">
        <f t="shared" si="95"/>
        <v>192</v>
      </c>
      <c r="R219" s="29">
        <f t="shared" si="95"/>
        <v>59</v>
      </c>
      <c r="S219" s="36">
        <f t="shared" si="95"/>
        <v>133</v>
      </c>
      <c r="T219" s="33">
        <f t="shared" si="95"/>
        <v>192</v>
      </c>
      <c r="U219" s="34">
        <f t="shared" si="95"/>
        <v>1</v>
      </c>
      <c r="V219" s="31">
        <f t="shared" si="95"/>
        <v>193</v>
      </c>
      <c r="W219" s="32">
        <f t="shared" si="93"/>
        <v>0.5208333333333259</v>
      </c>
    </row>
    <row r="220" spans="2:23" ht="14.25" thickBot="1" thickTop="1">
      <c r="B220" s="70"/>
      <c r="C220" s="70"/>
      <c r="D220" s="70"/>
      <c r="E220" s="70"/>
      <c r="F220" s="70"/>
      <c r="G220" s="70"/>
      <c r="H220" s="70"/>
      <c r="I220" s="247"/>
      <c r="L220" s="39" t="s">
        <v>17</v>
      </c>
      <c r="M220" s="40">
        <f aca="true" t="shared" si="96" ref="M220:V220">+M217+M218+M219</f>
        <v>209</v>
      </c>
      <c r="N220" s="41">
        <f t="shared" si="96"/>
        <v>333</v>
      </c>
      <c r="O220" s="40">
        <f t="shared" si="96"/>
        <v>542</v>
      </c>
      <c r="P220" s="40">
        <f t="shared" si="96"/>
        <v>0</v>
      </c>
      <c r="Q220" s="40">
        <f t="shared" si="96"/>
        <v>542</v>
      </c>
      <c r="R220" s="40">
        <f t="shared" si="96"/>
        <v>125</v>
      </c>
      <c r="S220" s="41">
        <f t="shared" si="96"/>
        <v>342</v>
      </c>
      <c r="T220" s="40">
        <f t="shared" si="96"/>
        <v>467</v>
      </c>
      <c r="U220" s="40">
        <f t="shared" si="96"/>
        <v>3</v>
      </c>
      <c r="V220" s="42">
        <f t="shared" si="96"/>
        <v>470</v>
      </c>
      <c r="W220" s="54">
        <f t="shared" si="93"/>
        <v>-13.284132841328411</v>
      </c>
    </row>
    <row r="221" spans="2:23" ht="13.5" thickTop="1">
      <c r="B221" s="70"/>
      <c r="C221" s="70"/>
      <c r="D221" s="70"/>
      <c r="E221" s="70"/>
      <c r="F221" s="70"/>
      <c r="G221" s="70"/>
      <c r="H221" s="70"/>
      <c r="I221" s="247"/>
      <c r="L221" s="4" t="s">
        <v>18</v>
      </c>
      <c r="M221" s="29">
        <f aca="true" t="shared" si="97" ref="M221:V221">+M169+M195</f>
        <v>75</v>
      </c>
      <c r="N221" s="36">
        <f t="shared" si="97"/>
        <v>116</v>
      </c>
      <c r="O221" s="33">
        <f t="shared" si="97"/>
        <v>191</v>
      </c>
      <c r="P221" s="34">
        <f t="shared" si="97"/>
        <v>0</v>
      </c>
      <c r="Q221" s="35">
        <f t="shared" si="97"/>
        <v>191</v>
      </c>
      <c r="R221" s="29">
        <f t="shared" si="97"/>
        <v>63</v>
      </c>
      <c r="S221" s="36">
        <f t="shared" si="97"/>
        <v>129</v>
      </c>
      <c r="T221" s="33">
        <f t="shared" si="97"/>
        <v>192</v>
      </c>
      <c r="U221" s="34">
        <f t="shared" si="97"/>
        <v>1</v>
      </c>
      <c r="V221" s="31">
        <f t="shared" si="97"/>
        <v>193</v>
      </c>
      <c r="W221" s="32">
        <f t="shared" si="93"/>
        <v>1.0471204188481575</v>
      </c>
    </row>
    <row r="222" spans="2:23" ht="12.75">
      <c r="B222" s="70"/>
      <c r="C222" s="70"/>
      <c r="D222" s="70"/>
      <c r="E222" s="70"/>
      <c r="F222" s="70"/>
      <c r="G222" s="70"/>
      <c r="H222" s="70"/>
      <c r="I222" s="247"/>
      <c r="L222" s="4" t="s">
        <v>19</v>
      </c>
      <c r="M222" s="29">
        <f aca="true" t="shared" si="98" ref="M222:V222">+M170+M196</f>
        <v>68</v>
      </c>
      <c r="N222" s="36">
        <f t="shared" si="98"/>
        <v>129</v>
      </c>
      <c r="O222" s="33">
        <f t="shared" si="98"/>
        <v>197</v>
      </c>
      <c r="P222" s="34">
        <f t="shared" si="98"/>
        <v>0</v>
      </c>
      <c r="Q222" s="35">
        <f t="shared" si="98"/>
        <v>197</v>
      </c>
      <c r="R222" s="29">
        <f t="shared" si="98"/>
        <v>38</v>
      </c>
      <c r="S222" s="36">
        <f t="shared" si="98"/>
        <v>119</v>
      </c>
      <c r="T222" s="33">
        <f t="shared" si="98"/>
        <v>157</v>
      </c>
      <c r="U222" s="34">
        <f t="shared" si="98"/>
        <v>0</v>
      </c>
      <c r="V222" s="31">
        <f t="shared" si="98"/>
        <v>157</v>
      </c>
      <c r="W222" s="32">
        <f>IF(Q222=0,0,((V222/Q222)-1)*100)</f>
        <v>-20.304568527918786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47"/>
      <c r="L223" s="4" t="s">
        <v>20</v>
      </c>
      <c r="M223" s="29">
        <f aca="true" t="shared" si="99" ref="M223:V223">+M171+M197</f>
        <v>75</v>
      </c>
      <c r="N223" s="36">
        <f t="shared" si="99"/>
        <v>170</v>
      </c>
      <c r="O223" s="33">
        <f t="shared" si="99"/>
        <v>245</v>
      </c>
      <c r="P223" s="34">
        <f t="shared" si="99"/>
        <v>0</v>
      </c>
      <c r="Q223" s="35">
        <f t="shared" si="99"/>
        <v>245</v>
      </c>
      <c r="R223" s="29">
        <f t="shared" si="99"/>
        <v>63</v>
      </c>
      <c r="S223" s="36">
        <f t="shared" si="99"/>
        <v>140</v>
      </c>
      <c r="T223" s="33">
        <f t="shared" si="99"/>
        <v>203</v>
      </c>
      <c r="U223" s="34">
        <f t="shared" si="99"/>
        <v>0</v>
      </c>
      <c r="V223" s="31">
        <f t="shared" si="99"/>
        <v>203</v>
      </c>
      <c r="W223" s="32">
        <f t="shared" si="93"/>
        <v>-17.14285714285714</v>
      </c>
    </row>
    <row r="224" spans="1:23" ht="14.25" thickBot="1" thickTop="1">
      <c r="A224" s="70"/>
      <c r="B224" s="232"/>
      <c r="C224" s="233"/>
      <c r="D224" s="233"/>
      <c r="E224" s="233"/>
      <c r="F224" s="233"/>
      <c r="G224" s="233"/>
      <c r="H224" s="233"/>
      <c r="I224" s="276"/>
      <c r="J224" s="70"/>
      <c r="L224" s="44" t="s">
        <v>21</v>
      </c>
      <c r="M224" s="40">
        <f aca="true" t="shared" si="100" ref="M224:V224">M222+M221+M223</f>
        <v>218</v>
      </c>
      <c r="N224" s="41">
        <f t="shared" si="100"/>
        <v>415</v>
      </c>
      <c r="O224" s="40">
        <f t="shared" si="100"/>
        <v>633</v>
      </c>
      <c r="P224" s="40">
        <f t="shared" si="100"/>
        <v>0</v>
      </c>
      <c r="Q224" s="40">
        <f t="shared" si="100"/>
        <v>633</v>
      </c>
      <c r="R224" s="40">
        <f t="shared" si="100"/>
        <v>164</v>
      </c>
      <c r="S224" s="41">
        <f t="shared" si="100"/>
        <v>388</v>
      </c>
      <c r="T224" s="40">
        <f t="shared" si="100"/>
        <v>552</v>
      </c>
      <c r="U224" s="40">
        <f t="shared" si="100"/>
        <v>1</v>
      </c>
      <c r="V224" s="42">
        <f t="shared" si="100"/>
        <v>553</v>
      </c>
      <c r="W224" s="257">
        <f t="shared" si="93"/>
        <v>-12.638230647709324</v>
      </c>
    </row>
    <row r="225" spans="2:23" ht="13.5" thickTop="1">
      <c r="B225" s="70"/>
      <c r="C225" s="70"/>
      <c r="D225" s="70"/>
      <c r="E225" s="70"/>
      <c r="F225" s="70"/>
      <c r="G225" s="70"/>
      <c r="H225" s="70"/>
      <c r="I225" s="247"/>
      <c r="L225" s="4" t="s">
        <v>22</v>
      </c>
      <c r="M225" s="29">
        <f aca="true" t="shared" si="101" ref="M225:Q226">M199+M173</f>
        <v>66</v>
      </c>
      <c r="N225" s="36">
        <f t="shared" si="101"/>
        <v>132</v>
      </c>
      <c r="O225" s="33">
        <f t="shared" si="101"/>
        <v>198</v>
      </c>
      <c r="P225" s="34">
        <f t="shared" si="101"/>
        <v>1</v>
      </c>
      <c r="Q225" s="35">
        <f t="shared" si="101"/>
        <v>199</v>
      </c>
      <c r="R225" s="29">
        <f aca="true" t="shared" si="102" ref="R225:V227">+R173+R199</f>
        <v>68</v>
      </c>
      <c r="S225" s="36">
        <f t="shared" si="102"/>
        <v>117</v>
      </c>
      <c r="T225" s="33">
        <f t="shared" si="102"/>
        <v>185</v>
      </c>
      <c r="U225" s="34">
        <f t="shared" si="102"/>
        <v>0</v>
      </c>
      <c r="V225" s="31">
        <f t="shared" si="102"/>
        <v>185</v>
      </c>
      <c r="W225" s="256">
        <f t="shared" si="93"/>
        <v>-7.0351758793969825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47"/>
      <c r="L226" s="4" t="s">
        <v>23</v>
      </c>
      <c r="M226" s="29">
        <f t="shared" si="101"/>
        <v>58</v>
      </c>
      <c r="N226" s="36">
        <f t="shared" si="101"/>
        <v>143</v>
      </c>
      <c r="O226" s="33">
        <f t="shared" si="101"/>
        <v>201</v>
      </c>
      <c r="P226" s="34">
        <f t="shared" si="101"/>
        <v>1</v>
      </c>
      <c r="Q226" s="35">
        <f t="shared" si="101"/>
        <v>202</v>
      </c>
      <c r="R226" s="29">
        <f t="shared" si="102"/>
        <v>65</v>
      </c>
      <c r="S226" s="36">
        <f t="shared" si="102"/>
        <v>151</v>
      </c>
      <c r="T226" s="33">
        <f t="shared" si="102"/>
        <v>216</v>
      </c>
      <c r="U226" s="34">
        <f t="shared" si="102"/>
        <v>1</v>
      </c>
      <c r="V226" s="31">
        <f t="shared" si="102"/>
        <v>217</v>
      </c>
      <c r="W226" s="256">
        <f t="shared" si="93"/>
        <v>7.425742574257432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47"/>
      <c r="L227" s="4" t="s">
        <v>24</v>
      </c>
      <c r="M227" s="29">
        <f>+M201+M175</f>
        <v>48</v>
      </c>
      <c r="N227" s="36">
        <f>+N201+N175</f>
        <v>155</v>
      </c>
      <c r="O227" s="33">
        <f>+O201+O175</f>
        <v>203</v>
      </c>
      <c r="P227" s="34">
        <f>+P201+P175</f>
        <v>1</v>
      </c>
      <c r="Q227" s="31">
        <f>+Q201+Q175</f>
        <v>204</v>
      </c>
      <c r="R227" s="29">
        <f t="shared" si="102"/>
        <v>58</v>
      </c>
      <c r="S227" s="36">
        <f t="shared" si="102"/>
        <v>124</v>
      </c>
      <c r="T227" s="33">
        <f t="shared" si="102"/>
        <v>182</v>
      </c>
      <c r="U227" s="34">
        <f t="shared" si="102"/>
        <v>1</v>
      </c>
      <c r="V227" s="31">
        <f t="shared" si="102"/>
        <v>183</v>
      </c>
      <c r="W227" s="256">
        <f t="shared" si="93"/>
        <v>-10.29411764705882</v>
      </c>
    </row>
    <row r="228" spans="1:23" ht="14.25" thickBot="1" thickTop="1">
      <c r="A228" s="220"/>
      <c r="B228" s="232"/>
      <c r="C228" s="233"/>
      <c r="D228" s="233"/>
      <c r="E228" s="233"/>
      <c r="F228" s="233"/>
      <c r="G228" s="233"/>
      <c r="H228" s="233"/>
      <c r="I228" s="276"/>
      <c r="J228" s="220"/>
      <c r="L228" s="44" t="s">
        <v>25</v>
      </c>
      <c r="M228" s="40">
        <f aca="true" t="shared" si="103" ref="M228:V228">+M225+M226+M227</f>
        <v>172</v>
      </c>
      <c r="N228" s="41">
        <f t="shared" si="103"/>
        <v>430</v>
      </c>
      <c r="O228" s="40">
        <f t="shared" si="103"/>
        <v>602</v>
      </c>
      <c r="P228" s="40">
        <f t="shared" si="103"/>
        <v>3</v>
      </c>
      <c r="Q228" s="40">
        <f t="shared" si="103"/>
        <v>605</v>
      </c>
      <c r="R228" s="40">
        <f t="shared" si="103"/>
        <v>191</v>
      </c>
      <c r="S228" s="41">
        <f t="shared" si="103"/>
        <v>392</v>
      </c>
      <c r="T228" s="40">
        <f t="shared" si="103"/>
        <v>583</v>
      </c>
      <c r="U228" s="40">
        <f t="shared" si="103"/>
        <v>2</v>
      </c>
      <c r="V228" s="42">
        <f t="shared" si="103"/>
        <v>585</v>
      </c>
      <c r="W228" s="257">
        <f t="shared" si="93"/>
        <v>-3.3057851239669422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47"/>
      <c r="L229" s="4" t="s">
        <v>27</v>
      </c>
      <c r="M229" s="29">
        <f aca="true" t="shared" si="104" ref="M229:Q231">M203+M177</f>
        <v>52</v>
      </c>
      <c r="N229" s="36">
        <f t="shared" si="104"/>
        <v>148</v>
      </c>
      <c r="O229" s="33">
        <f t="shared" si="104"/>
        <v>200</v>
      </c>
      <c r="P229" s="34">
        <f t="shared" si="104"/>
        <v>1</v>
      </c>
      <c r="Q229" s="35">
        <f t="shared" si="104"/>
        <v>201</v>
      </c>
      <c r="R229" s="29">
        <f aca="true" t="shared" si="105" ref="R229:V231">+R177+R203</f>
        <v>57</v>
      </c>
      <c r="S229" s="36">
        <f t="shared" si="105"/>
        <v>110</v>
      </c>
      <c r="T229" s="51">
        <f t="shared" si="105"/>
        <v>167</v>
      </c>
      <c r="U229" s="59">
        <f t="shared" si="105"/>
        <v>21</v>
      </c>
      <c r="V229" s="31">
        <f t="shared" si="105"/>
        <v>188</v>
      </c>
      <c r="W229" s="256">
        <f t="shared" si="93"/>
        <v>-6.467661691542292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47"/>
      <c r="L230" s="4" t="s">
        <v>28</v>
      </c>
      <c r="M230" s="29">
        <f t="shared" si="104"/>
        <v>66</v>
      </c>
      <c r="N230" s="36">
        <f t="shared" si="104"/>
        <v>134</v>
      </c>
      <c r="O230" s="33">
        <f t="shared" si="104"/>
        <v>200</v>
      </c>
      <c r="P230" s="34">
        <f t="shared" si="104"/>
        <v>1</v>
      </c>
      <c r="Q230" s="35">
        <f t="shared" si="104"/>
        <v>201</v>
      </c>
      <c r="R230" s="29">
        <f t="shared" si="105"/>
        <v>50</v>
      </c>
      <c r="S230" s="36">
        <f t="shared" si="105"/>
        <v>106</v>
      </c>
      <c r="T230" s="51">
        <f t="shared" si="105"/>
        <v>156</v>
      </c>
      <c r="U230" s="34">
        <f t="shared" si="105"/>
        <v>0</v>
      </c>
      <c r="V230" s="31">
        <f t="shared" si="105"/>
        <v>156</v>
      </c>
      <c r="W230" s="256">
        <f>IF(Q230=0,0,((V230/Q230)-1)*100)</f>
        <v>-22.388059701492537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47"/>
      <c r="L231" s="4" t="s">
        <v>29</v>
      </c>
      <c r="M231" s="29">
        <f t="shared" si="104"/>
        <v>36</v>
      </c>
      <c r="N231" s="36">
        <f t="shared" si="104"/>
        <v>115</v>
      </c>
      <c r="O231" s="33">
        <f t="shared" si="104"/>
        <v>151</v>
      </c>
      <c r="P231" s="52">
        <f t="shared" si="104"/>
        <v>1</v>
      </c>
      <c r="Q231" s="35">
        <f t="shared" si="104"/>
        <v>152</v>
      </c>
      <c r="R231" s="29">
        <f t="shared" si="105"/>
        <v>50</v>
      </c>
      <c r="S231" s="36">
        <f t="shared" si="105"/>
        <v>109</v>
      </c>
      <c r="T231" s="33">
        <f t="shared" si="105"/>
        <v>159</v>
      </c>
      <c r="U231" s="52">
        <f t="shared" si="105"/>
        <v>0</v>
      </c>
      <c r="V231" s="31">
        <f t="shared" si="105"/>
        <v>159</v>
      </c>
      <c r="W231" s="32">
        <f t="shared" si="93"/>
        <v>4.6052631578947345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47"/>
      <c r="L232" s="39" t="s">
        <v>30</v>
      </c>
      <c r="M232" s="40">
        <f aca="true" t="shared" si="106" ref="M232:V232">+M229+M230+M231</f>
        <v>154</v>
      </c>
      <c r="N232" s="41">
        <f t="shared" si="106"/>
        <v>397</v>
      </c>
      <c r="O232" s="40">
        <f t="shared" si="106"/>
        <v>551</v>
      </c>
      <c r="P232" s="40">
        <f t="shared" si="106"/>
        <v>3</v>
      </c>
      <c r="Q232" s="43">
        <f t="shared" si="106"/>
        <v>554</v>
      </c>
      <c r="R232" s="40">
        <f t="shared" si="106"/>
        <v>157</v>
      </c>
      <c r="S232" s="41">
        <f t="shared" si="106"/>
        <v>325</v>
      </c>
      <c r="T232" s="40">
        <f t="shared" si="106"/>
        <v>482</v>
      </c>
      <c r="U232" s="40">
        <f t="shared" si="106"/>
        <v>21</v>
      </c>
      <c r="V232" s="42">
        <f t="shared" si="106"/>
        <v>503</v>
      </c>
      <c r="W232" s="257">
        <f t="shared" si="93"/>
        <v>-9.205776173285196</v>
      </c>
    </row>
    <row r="233" spans="1:23" ht="14.25" thickBot="1" thickTop="1">
      <c r="A233" s="70"/>
      <c r="B233" s="232"/>
      <c r="C233" s="233"/>
      <c r="D233" s="233"/>
      <c r="E233" s="233"/>
      <c r="F233" s="233"/>
      <c r="G233" s="233"/>
      <c r="H233" s="233"/>
      <c r="I233" s="276"/>
      <c r="J233" s="70"/>
      <c r="L233" s="39" t="s">
        <v>66</v>
      </c>
      <c r="M233" s="40">
        <f aca="true" t="shared" si="107" ref="M233:V233">+M224+M228+M232</f>
        <v>544</v>
      </c>
      <c r="N233" s="41">
        <f t="shared" si="107"/>
        <v>1242</v>
      </c>
      <c r="O233" s="40">
        <f t="shared" si="107"/>
        <v>1786</v>
      </c>
      <c r="P233" s="40">
        <f t="shared" si="107"/>
        <v>6</v>
      </c>
      <c r="Q233" s="40">
        <f t="shared" si="107"/>
        <v>1792</v>
      </c>
      <c r="R233" s="40">
        <f t="shared" si="107"/>
        <v>512</v>
      </c>
      <c r="S233" s="41">
        <f t="shared" si="107"/>
        <v>1105</v>
      </c>
      <c r="T233" s="40">
        <f t="shared" si="107"/>
        <v>1617</v>
      </c>
      <c r="U233" s="40">
        <f t="shared" si="107"/>
        <v>24</v>
      </c>
      <c r="V233" s="42">
        <f t="shared" si="107"/>
        <v>1641</v>
      </c>
      <c r="W233" s="257">
        <f t="shared" si="93"/>
        <v>-8.42633928571429</v>
      </c>
    </row>
    <row r="234" spans="12:23" ht="14.25" thickBot="1" thickTop="1">
      <c r="L234" s="39" t="s">
        <v>9</v>
      </c>
      <c r="M234" s="40">
        <f aca="true" t="shared" si="108" ref="M234:V234">+M224+M228+M232+M220</f>
        <v>753</v>
      </c>
      <c r="N234" s="41">
        <f t="shared" si="108"/>
        <v>1575</v>
      </c>
      <c r="O234" s="40">
        <f t="shared" si="108"/>
        <v>2328</v>
      </c>
      <c r="P234" s="40">
        <f t="shared" si="108"/>
        <v>6</v>
      </c>
      <c r="Q234" s="40">
        <f t="shared" si="108"/>
        <v>2334</v>
      </c>
      <c r="R234" s="40">
        <f t="shared" si="108"/>
        <v>637</v>
      </c>
      <c r="S234" s="41">
        <f t="shared" si="108"/>
        <v>1447</v>
      </c>
      <c r="T234" s="40">
        <f t="shared" si="108"/>
        <v>2084</v>
      </c>
      <c r="U234" s="40">
        <f t="shared" si="108"/>
        <v>27</v>
      </c>
      <c r="V234" s="40">
        <f t="shared" si="108"/>
        <v>2111</v>
      </c>
      <c r="W234" s="257">
        <f t="shared" si="93"/>
        <v>-9.554413024850039</v>
      </c>
    </row>
    <row r="235" ht="13.5" thickTop="1">
      <c r="L235" s="63" t="s">
        <v>64</v>
      </c>
    </row>
  </sheetData>
  <sheetProtection password="CF53" sheet="1"/>
  <mergeCells count="48">
    <mergeCell ref="M161:Q161"/>
    <mergeCell ref="R161:V161"/>
    <mergeCell ref="M109:Q109"/>
    <mergeCell ref="R109:V109"/>
    <mergeCell ref="L132:W132"/>
    <mergeCell ref="L133:W133"/>
    <mergeCell ref="M213:Q213"/>
    <mergeCell ref="R213:V213"/>
    <mergeCell ref="M187:Q187"/>
    <mergeCell ref="R187:V187"/>
    <mergeCell ref="L210:W210"/>
    <mergeCell ref="L211:W211"/>
    <mergeCell ref="L184:W184"/>
    <mergeCell ref="L185:W185"/>
    <mergeCell ref="M83:Q83"/>
    <mergeCell ref="R83:V83"/>
    <mergeCell ref="M135:Q135"/>
    <mergeCell ref="R135:V135"/>
    <mergeCell ref="L106:W106"/>
    <mergeCell ref="L107:W107"/>
    <mergeCell ref="L158:W158"/>
    <mergeCell ref="L159:W159"/>
    <mergeCell ref="L80:W80"/>
    <mergeCell ref="L81:W81"/>
    <mergeCell ref="B55:I55"/>
    <mergeCell ref="L55:W55"/>
    <mergeCell ref="M57:Q57"/>
    <mergeCell ref="R57:V57"/>
    <mergeCell ref="C57:E57"/>
    <mergeCell ref="F57:H57"/>
    <mergeCell ref="B54:I54"/>
    <mergeCell ref="L54:W54"/>
    <mergeCell ref="M5:Q5"/>
    <mergeCell ref="R5:V5"/>
    <mergeCell ref="L28:W28"/>
    <mergeCell ref="M31:Q31"/>
    <mergeCell ref="C5:E5"/>
    <mergeCell ref="F5:H5"/>
    <mergeCell ref="B29:I29"/>
    <mergeCell ref="B28:I28"/>
    <mergeCell ref="B2:I2"/>
    <mergeCell ref="L2:W2"/>
    <mergeCell ref="B3:I3"/>
    <mergeCell ref="L3:W3"/>
    <mergeCell ref="R31:V31"/>
    <mergeCell ref="L29:W29"/>
    <mergeCell ref="C31:E31"/>
    <mergeCell ref="F31:H3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&amp;LMonthly Air Transport statistics : Airports of Thailand Public Company Limited</oddHeader>
    <oddFooter>&amp;LAir Transport Information Division, Corporate Strategy Department&amp;C&amp;D&amp;R&amp;T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Rosesarin Burapajit</cp:lastModifiedBy>
  <cp:lastPrinted>2012-10-02T07:36:08Z</cp:lastPrinted>
  <dcterms:created xsi:type="dcterms:W3CDTF">2007-04-02T02:23:26Z</dcterms:created>
  <dcterms:modified xsi:type="dcterms:W3CDTF">2015-07-16T03:12:36Z</dcterms:modified>
  <cp:category/>
  <cp:version/>
  <cp:contentType/>
  <cp:contentStatus/>
</cp:coreProperties>
</file>