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65" windowWidth="13770" windowHeight="12720" tabRatio="805" activeTab="4"/>
  </bookViews>
  <sheets>
    <sheet name="พม่า" sheetId="4" r:id="rId1"/>
    <sheet name="เดือน" sheetId="2" r:id="rId2"/>
    <sheet name="จว" sheetId="1" r:id="rId3"/>
    <sheet name="รายด่าน" sheetId="6" r:id="rId4"/>
    <sheet name="สินค้า" sheetId="3" r:id="rId5"/>
  </sheets>
  <definedNames>
    <definedName name="_xlnm.Print_Area" localSheetId="2">จว!$A$1:$BI$18</definedName>
    <definedName name="_xlnm.Print_Area" localSheetId="1">เดือน!$B$2:$CC$25</definedName>
    <definedName name="_xlnm.Print_Area" localSheetId="0">พม่า!$A$1:$AG$24</definedName>
    <definedName name="_xlnm.Print_Area" localSheetId="3">รายด่าน!$A$1:$AE$47</definedName>
    <definedName name="_xlnm.Print_Area" localSheetId="4">สินค้า!$A$1:$G$40</definedName>
  </definedNames>
  <calcPr calcId="144525"/>
</workbook>
</file>

<file path=xl/calcChain.xml><?xml version="1.0" encoding="utf-8"?>
<calcChain xmlns="http://schemas.openxmlformats.org/spreadsheetml/2006/main">
  <c r="Z36" i="6" l="1"/>
  <c r="AD17" i="6"/>
  <c r="V15" i="4"/>
  <c r="U18" i="4"/>
  <c r="BX19" i="2" l="1"/>
  <c r="CB17" i="2"/>
  <c r="CC17" i="2"/>
  <c r="BZ17" i="2"/>
  <c r="BX17" i="2"/>
  <c r="AD40" i="6" l="1"/>
  <c r="AD38" i="6"/>
  <c r="AD36" i="6"/>
  <c r="AB40" i="6"/>
  <c r="AB38" i="6"/>
  <c r="AB36" i="6"/>
  <c r="AD29" i="6"/>
  <c r="AB32" i="6"/>
  <c r="AB33" i="6"/>
  <c r="AB31" i="6"/>
  <c r="AB29" i="6"/>
  <c r="AD24" i="6"/>
  <c r="AB24" i="6"/>
  <c r="AD20" i="6"/>
  <c r="AD19" i="6"/>
  <c r="AB19" i="6"/>
  <c r="AD13" i="6"/>
  <c r="AD11" i="6"/>
  <c r="AD9" i="6"/>
  <c r="AD8" i="6"/>
  <c r="AB8" i="6"/>
  <c r="Z15" i="6"/>
  <c r="Z13" i="6"/>
  <c r="Z11" i="6"/>
  <c r="Z9" i="6"/>
  <c r="Z8" i="6"/>
  <c r="AY7" i="1"/>
  <c r="BD10" i="1"/>
  <c r="CC16" i="2"/>
  <c r="CC15" i="2"/>
  <c r="U15" i="4"/>
  <c r="Z17" i="6" l="1"/>
  <c r="BY19" i="2" l="1"/>
  <c r="CB16" i="2"/>
  <c r="BZ16" i="2"/>
  <c r="BX16" i="2"/>
  <c r="AE36" i="6" l="1"/>
  <c r="AE29" i="6"/>
  <c r="AE8" i="6"/>
  <c r="AC22" i="6"/>
  <c r="AC17" i="6"/>
  <c r="AL34" i="6"/>
  <c r="AK34" i="6"/>
  <c r="AL22" i="6"/>
  <c r="AK22" i="6"/>
  <c r="AL27" i="6"/>
  <c r="AK27" i="6"/>
  <c r="AL17" i="6"/>
  <c r="AK17" i="6"/>
  <c r="BD7" i="1"/>
  <c r="BD8" i="1"/>
  <c r="BD9" i="1"/>
  <c r="BD11" i="1"/>
  <c r="BD6" i="1"/>
  <c r="BI7" i="1"/>
  <c r="BI8" i="1"/>
  <c r="BI9" i="1"/>
  <c r="BI10" i="1"/>
  <c r="BI11" i="1"/>
  <c r="BI6" i="1"/>
  <c r="BH7" i="1"/>
  <c r="BH8" i="1"/>
  <c r="BH9" i="1"/>
  <c r="BH10" i="1"/>
  <c r="BH11" i="1"/>
  <c r="BH6" i="1"/>
  <c r="BF7" i="1"/>
  <c r="BF8" i="1"/>
  <c r="BF9" i="1"/>
  <c r="BF10" i="1"/>
  <c r="BF11" i="1"/>
  <c r="BF6" i="1"/>
  <c r="BT12" i="1"/>
  <c r="BS12" i="1"/>
  <c r="BG12" i="1"/>
  <c r="BE12" i="1"/>
  <c r="AD22" i="6" l="1"/>
  <c r="BF12" i="1"/>
  <c r="BH12" i="1"/>
  <c r="BD12" i="1"/>
  <c r="BI12" i="1"/>
  <c r="AK41" i="6"/>
  <c r="AL41" i="6"/>
  <c r="BX15" i="2"/>
  <c r="BZ15" i="2"/>
  <c r="CB15" i="2"/>
  <c r="U41" i="6" l="1"/>
  <c r="U40" i="6"/>
  <c r="CC14" i="2"/>
  <c r="CB14" i="2" l="1"/>
  <c r="BZ14" i="2"/>
  <c r="BX14" i="2"/>
  <c r="S15" i="4" l="1"/>
  <c r="CB13" i="2" l="1"/>
  <c r="BZ13" i="2"/>
  <c r="BX13" i="2"/>
  <c r="CC13" i="2"/>
  <c r="G24" i="3" l="1"/>
  <c r="CB12" i="2"/>
  <c r="CC12" i="2"/>
  <c r="BZ12" i="2"/>
  <c r="BX12" i="2"/>
  <c r="S18" i="4" l="1"/>
  <c r="G29" i="3" l="1"/>
  <c r="AX12" i="1"/>
  <c r="BR19" i="2"/>
  <c r="V18" i="4"/>
  <c r="BU19" i="2" l="1"/>
  <c r="CA19" i="2"/>
  <c r="BZ11" i="2" l="1"/>
  <c r="CB11" i="2"/>
  <c r="CC11" i="2"/>
  <c r="BX11" i="2"/>
  <c r="CB10" i="2" l="1"/>
  <c r="CC10" i="2"/>
  <c r="BZ10" i="2"/>
  <c r="BX10" i="2"/>
  <c r="CB9" i="2" l="1"/>
  <c r="CC9" i="2"/>
  <c r="BZ9" i="2"/>
  <c r="BX9" i="2"/>
  <c r="CB8" i="2" l="1"/>
  <c r="BZ8" i="2"/>
  <c r="CC8" i="2"/>
  <c r="BX8" i="2"/>
  <c r="V40" i="6" l="1"/>
  <c r="V38" i="6"/>
  <c r="V36" i="6"/>
  <c r="V33" i="6"/>
  <c r="V32" i="6"/>
  <c r="V31" i="6"/>
  <c r="V29" i="6"/>
  <c r="V25" i="6"/>
  <c r="V24" i="6"/>
  <c r="V20" i="6"/>
  <c r="V19" i="6"/>
  <c r="Y40" i="6"/>
  <c r="Y38" i="6"/>
  <c r="Y36" i="6"/>
  <c r="AC34" i="6"/>
  <c r="AA34" i="6"/>
  <c r="AB34" i="6" s="1"/>
  <c r="X34" i="6"/>
  <c r="W34" i="6"/>
  <c r="Y32" i="6"/>
  <c r="Y33" i="6"/>
  <c r="Y31" i="6"/>
  <c r="Y34" i="6" s="1"/>
  <c r="Y29" i="6"/>
  <c r="Y25" i="6"/>
  <c r="Y24" i="6"/>
  <c r="Y20" i="6"/>
  <c r="Y19" i="6"/>
  <c r="Y9" i="6"/>
  <c r="Y13" i="6"/>
  <c r="Y15" i="6"/>
  <c r="Y11" i="6"/>
  <c r="Y8" i="6"/>
  <c r="V13" i="6"/>
  <c r="V15" i="6"/>
  <c r="V9" i="6"/>
  <c r="V11" i="6"/>
  <c r="V8" i="6"/>
  <c r="S34" i="6"/>
  <c r="T34" i="6"/>
  <c r="U20" i="6"/>
  <c r="R20" i="6"/>
  <c r="AZ7" i="1"/>
  <c r="AZ8" i="1"/>
  <c r="AZ9" i="1"/>
  <c r="AZ10" i="1"/>
  <c r="AZ11" i="1"/>
  <c r="AZ6" i="1"/>
  <c r="BC11" i="1"/>
  <c r="BC10" i="1"/>
  <c r="BC9" i="1"/>
  <c r="BC8" i="1"/>
  <c r="BC7" i="1"/>
  <c r="BC6" i="1"/>
  <c r="V34" i="6" l="1"/>
  <c r="BW8" i="2" l="1"/>
  <c r="BW9" i="2"/>
  <c r="BW10" i="2"/>
  <c r="BW11" i="2"/>
  <c r="BW12" i="2"/>
  <c r="BW13" i="2"/>
  <c r="BW14" i="2"/>
  <c r="BW15" i="2"/>
  <c r="BW16" i="2"/>
  <c r="BW17" i="2"/>
  <c r="BW18" i="2"/>
  <c r="BW7" i="2"/>
  <c r="BT8" i="2"/>
  <c r="BT9" i="2"/>
  <c r="BT10" i="2"/>
  <c r="BT11" i="2"/>
  <c r="BT12" i="2"/>
  <c r="BT13" i="2"/>
  <c r="BT14" i="2"/>
  <c r="BT15" i="2"/>
  <c r="BT16" i="2"/>
  <c r="BT17" i="2"/>
  <c r="BT18" i="2"/>
  <c r="BT7" i="2"/>
  <c r="BT19" i="2" l="1"/>
  <c r="BW19" i="2"/>
  <c r="X27" i="6"/>
  <c r="W27" i="6"/>
  <c r="X22" i="6"/>
  <c r="W22" i="6"/>
  <c r="X17" i="6"/>
  <c r="W17" i="6"/>
  <c r="BB12" i="1"/>
  <c r="BA12" i="1"/>
  <c r="BC12" i="1" s="1"/>
  <c r="BV19" i="2"/>
  <c r="AF16" i="4"/>
  <c r="AF17" i="4"/>
  <c r="Y16" i="4"/>
  <c r="Y17" i="4"/>
  <c r="Y11" i="4"/>
  <c r="Y12" i="4"/>
  <c r="T18" i="4"/>
  <c r="T15" i="4"/>
  <c r="T13" i="4"/>
  <c r="T10" i="4"/>
  <c r="AF15" i="4" l="1"/>
  <c r="X41" i="6"/>
  <c r="W41" i="6"/>
  <c r="CE19" i="2" l="1"/>
  <c r="CD19" i="2"/>
  <c r="U10" i="4"/>
  <c r="U13" i="4"/>
  <c r="O34" i="6" l="1"/>
  <c r="P34" i="6"/>
  <c r="AE40" i="6"/>
  <c r="AE38" i="6"/>
  <c r="AE25" i="6"/>
  <c r="AE31" i="6"/>
  <c r="AE32" i="6"/>
  <c r="AE33" i="6"/>
  <c r="AE24" i="6"/>
  <c r="AE20" i="6"/>
  <c r="AE19" i="6"/>
  <c r="AE22" i="6" s="1"/>
  <c r="AE15" i="6"/>
  <c r="AE13" i="6"/>
  <c r="AE9" i="6"/>
  <c r="AE11" i="6"/>
  <c r="O17" i="6"/>
  <c r="P17" i="6"/>
  <c r="S17" i="6"/>
  <c r="T17" i="6"/>
  <c r="T41" i="6" s="1"/>
  <c r="AA17" i="6"/>
  <c r="AB17" i="6" s="1"/>
  <c r="O22" i="6"/>
  <c r="P22" i="6"/>
  <c r="S22" i="6"/>
  <c r="T22" i="6"/>
  <c r="AA22" i="6"/>
  <c r="AB22" i="6" s="1"/>
  <c r="AC27" i="6"/>
  <c r="AD27" i="6" s="1"/>
  <c r="O27" i="6"/>
  <c r="P27" i="6"/>
  <c r="S27" i="6"/>
  <c r="T27" i="6"/>
  <c r="AA27" i="6"/>
  <c r="AB27" i="6" s="1"/>
  <c r="L41" i="6"/>
  <c r="K41" i="6"/>
  <c r="M41" i="6" s="1"/>
  <c r="H41" i="6"/>
  <c r="G41" i="6"/>
  <c r="D41" i="6"/>
  <c r="C41" i="6"/>
  <c r="U36" i="6"/>
  <c r="R36" i="6"/>
  <c r="Q36" i="6"/>
  <c r="N36" i="6"/>
  <c r="M36" i="6"/>
  <c r="J36" i="6"/>
  <c r="I36" i="6"/>
  <c r="F36" i="6"/>
  <c r="E36" i="6"/>
  <c r="B36" i="6"/>
  <c r="AG40" i="6"/>
  <c r="Z40" i="6"/>
  <c r="R40" i="6"/>
  <c r="Q40" i="6"/>
  <c r="N40" i="6"/>
  <c r="M40" i="6"/>
  <c r="J40" i="6"/>
  <c r="I40" i="6"/>
  <c r="F40" i="6"/>
  <c r="E40" i="6"/>
  <c r="B40" i="6"/>
  <c r="AF38" i="6"/>
  <c r="AH38" i="6" s="1"/>
  <c r="Z38" i="6"/>
  <c r="U38" i="6"/>
  <c r="R38" i="6"/>
  <c r="Q38" i="6"/>
  <c r="N38" i="6"/>
  <c r="M38" i="6"/>
  <c r="J38" i="6"/>
  <c r="I38" i="6"/>
  <c r="F38" i="6"/>
  <c r="E38" i="6"/>
  <c r="B38" i="6"/>
  <c r="Z31" i="6"/>
  <c r="U31" i="6"/>
  <c r="R31" i="6"/>
  <c r="Q31" i="6"/>
  <c r="N31" i="6"/>
  <c r="Z32" i="6"/>
  <c r="U32" i="6"/>
  <c r="R32" i="6"/>
  <c r="Q32" i="6"/>
  <c r="N32" i="6"/>
  <c r="AF33" i="6"/>
  <c r="AH33" i="6" s="1"/>
  <c r="Z33" i="6"/>
  <c r="U33" i="6"/>
  <c r="R33" i="6"/>
  <c r="Q33" i="6"/>
  <c r="N33" i="6"/>
  <c r="M33" i="6"/>
  <c r="J33" i="6"/>
  <c r="I33" i="6"/>
  <c r="F33" i="6"/>
  <c r="E33" i="6"/>
  <c r="B33" i="6"/>
  <c r="AF29" i="6"/>
  <c r="Z29" i="6"/>
  <c r="U29" i="6"/>
  <c r="R29" i="6"/>
  <c r="Q29" i="6"/>
  <c r="N29" i="6"/>
  <c r="M29" i="6"/>
  <c r="J29" i="6"/>
  <c r="I29" i="6"/>
  <c r="F29" i="6"/>
  <c r="E29" i="6"/>
  <c r="B29" i="6"/>
  <c r="Z25" i="6"/>
  <c r="U25" i="6"/>
  <c r="R25" i="6"/>
  <c r="Q25" i="6"/>
  <c r="N25" i="6"/>
  <c r="M25" i="6"/>
  <c r="J25" i="6"/>
  <c r="I25" i="6"/>
  <c r="F25" i="6"/>
  <c r="AF24" i="6"/>
  <c r="AH24" i="6" s="1"/>
  <c r="AH40" i="6" s="1"/>
  <c r="Z24" i="6"/>
  <c r="U24" i="6"/>
  <c r="R24" i="6"/>
  <c r="Q24" i="6"/>
  <c r="N24" i="6"/>
  <c r="M24" i="6"/>
  <c r="J24" i="6"/>
  <c r="I24" i="6"/>
  <c r="F24" i="6"/>
  <c r="E24" i="6"/>
  <c r="B24" i="6"/>
  <c r="AF21" i="6"/>
  <c r="AH21" i="6" s="1"/>
  <c r="Z20" i="6"/>
  <c r="Q20" i="6"/>
  <c r="N20" i="6"/>
  <c r="M20" i="6"/>
  <c r="J20" i="6"/>
  <c r="I20" i="6"/>
  <c r="F20" i="6"/>
  <c r="AF19" i="6"/>
  <c r="AH19" i="6" s="1"/>
  <c r="Z19" i="6"/>
  <c r="U19" i="6"/>
  <c r="R19" i="6"/>
  <c r="Q19" i="6"/>
  <c r="N19" i="6"/>
  <c r="M19" i="6"/>
  <c r="J19" i="6"/>
  <c r="I19" i="6"/>
  <c r="F19" i="6"/>
  <c r="E19" i="6"/>
  <c r="B19" i="6"/>
  <c r="U15" i="6"/>
  <c r="R15" i="6"/>
  <c r="Q15" i="6"/>
  <c r="N15" i="6"/>
  <c r="M15" i="6"/>
  <c r="J15" i="6"/>
  <c r="I15" i="6"/>
  <c r="F15" i="6"/>
  <c r="U13" i="6"/>
  <c r="R13" i="6"/>
  <c r="Q13" i="6"/>
  <c r="N13" i="6"/>
  <c r="M13" i="6"/>
  <c r="J13" i="6"/>
  <c r="I13" i="6"/>
  <c r="F13" i="6"/>
  <c r="U9" i="6"/>
  <c r="R9" i="6"/>
  <c r="Q9" i="6"/>
  <c r="N9" i="6"/>
  <c r="M9" i="6"/>
  <c r="J9" i="6"/>
  <c r="I9" i="6"/>
  <c r="F9" i="6"/>
  <c r="U11" i="6"/>
  <c r="R11" i="6"/>
  <c r="Q11" i="6"/>
  <c r="N11" i="6"/>
  <c r="M11" i="6"/>
  <c r="J11" i="6"/>
  <c r="I11" i="6"/>
  <c r="F11" i="6"/>
  <c r="U8" i="6"/>
  <c r="R8" i="6"/>
  <c r="Q8" i="6"/>
  <c r="N8" i="6"/>
  <c r="M8" i="6"/>
  <c r="J8" i="6"/>
  <c r="I8" i="6"/>
  <c r="F8" i="6"/>
  <c r="E8" i="6"/>
  <c r="B8" i="6"/>
  <c r="AR12" i="1"/>
  <c r="BQ19" i="2"/>
  <c r="BM19" i="2"/>
  <c r="BO19" i="2" s="1"/>
  <c r="BN19" i="2"/>
  <c r="AW12" i="1"/>
  <c r="AV12" i="1" s="1"/>
  <c r="G22" i="3"/>
  <c r="AE16" i="4"/>
  <c r="AE17" i="4"/>
  <c r="BS18" i="2"/>
  <c r="BS17" i="2"/>
  <c r="BS16" i="2"/>
  <c r="BS15" i="2"/>
  <c r="BS14" i="2"/>
  <c r="BS13" i="2"/>
  <c r="BS12" i="2"/>
  <c r="BS11" i="2"/>
  <c r="BS10" i="2"/>
  <c r="BS9" i="2"/>
  <c r="BS8" i="2"/>
  <c r="BS7" i="2"/>
  <c r="AZ12" i="1"/>
  <c r="AY8" i="1"/>
  <c r="AY9" i="1"/>
  <c r="AY11" i="1"/>
  <c r="AY10" i="1"/>
  <c r="AY6" i="1"/>
  <c r="AV10" i="1"/>
  <c r="AV11" i="1"/>
  <c r="AV9" i="1"/>
  <c r="AV8" i="1"/>
  <c r="AV7" i="1"/>
  <c r="AV6" i="1"/>
  <c r="BP18" i="2"/>
  <c r="BP17" i="2"/>
  <c r="BP16" i="2"/>
  <c r="BP15" i="2"/>
  <c r="BP14" i="2"/>
  <c r="BP13" i="2"/>
  <c r="BP12" i="2"/>
  <c r="BP11" i="2"/>
  <c r="BP10" i="2"/>
  <c r="BP9" i="2"/>
  <c r="BP8" i="2"/>
  <c r="BP7" i="2"/>
  <c r="X17" i="4"/>
  <c r="X16" i="4"/>
  <c r="X11" i="4"/>
  <c r="X12" i="4"/>
  <c r="Y15" i="4"/>
  <c r="S13" i="4"/>
  <c r="S10" i="4"/>
  <c r="Y10" i="4" s="1"/>
  <c r="G10" i="3"/>
  <c r="H10" i="3" s="1"/>
  <c r="I10" i="3" s="1"/>
  <c r="J10" i="3" s="1"/>
  <c r="K10" i="3" s="1"/>
  <c r="BZ7" i="2"/>
  <c r="AC17" i="4"/>
  <c r="AC16" i="4"/>
  <c r="AD16" i="4"/>
  <c r="AD17" i="4"/>
  <c r="G25" i="3"/>
  <c r="G26" i="3"/>
  <c r="G27" i="3"/>
  <c r="G28" i="3"/>
  <c r="G30" i="3"/>
  <c r="G31" i="3"/>
  <c r="G34" i="3"/>
  <c r="G7" i="3"/>
  <c r="H7" i="3" s="1"/>
  <c r="I7" i="3" s="1"/>
  <c r="J7" i="3" s="1"/>
  <c r="K7" i="3" s="1"/>
  <c r="G8" i="3"/>
  <c r="H8" i="3" s="1"/>
  <c r="I8" i="3" s="1"/>
  <c r="J8" i="3" s="1"/>
  <c r="K8" i="3" s="1"/>
  <c r="G9" i="3"/>
  <c r="H9" i="3" s="1"/>
  <c r="I9" i="3" s="1"/>
  <c r="J9" i="3" s="1"/>
  <c r="K9" i="3" s="1"/>
  <c r="G11" i="3"/>
  <c r="H11" i="3" s="1"/>
  <c r="I11" i="3" s="1"/>
  <c r="J11" i="3" s="1"/>
  <c r="K11" i="3" s="1"/>
  <c r="G12" i="3"/>
  <c r="H12" i="3" s="1"/>
  <c r="I12" i="3" s="1"/>
  <c r="J12" i="3" s="1"/>
  <c r="K12" i="3" s="1"/>
  <c r="G13" i="3"/>
  <c r="H13" i="3" s="1"/>
  <c r="I13" i="3" s="1"/>
  <c r="J13" i="3" s="1"/>
  <c r="K13" i="3" s="1"/>
  <c r="G14" i="3"/>
  <c r="H14" i="3" s="1"/>
  <c r="I14" i="3" s="1"/>
  <c r="J14" i="3" s="1"/>
  <c r="K14" i="3" s="1"/>
  <c r="G15" i="3"/>
  <c r="H15" i="3" s="1"/>
  <c r="I15" i="3" s="1"/>
  <c r="J15" i="3" s="1"/>
  <c r="K15" i="3" s="1"/>
  <c r="G18" i="3"/>
  <c r="H18" i="3" s="1"/>
  <c r="I18" i="3" s="1"/>
  <c r="J18" i="3" s="1"/>
  <c r="K18" i="3" s="1"/>
  <c r="G6" i="3"/>
  <c r="H6" i="3" s="1"/>
  <c r="I6" i="3" s="1"/>
  <c r="J6" i="3" s="1"/>
  <c r="K6" i="3" s="1"/>
  <c r="Z17" i="4"/>
  <c r="W17" i="4"/>
  <c r="Z16" i="4"/>
  <c r="W16" i="4"/>
  <c r="W11" i="4"/>
  <c r="W12" i="4"/>
  <c r="Z11" i="4"/>
  <c r="Z12" i="4"/>
  <c r="AS12" i="1"/>
  <c r="AO12" i="1"/>
  <c r="AN12" i="1"/>
  <c r="AP10" i="1"/>
  <c r="AM10" i="1"/>
  <c r="AP11" i="1"/>
  <c r="AM11" i="1"/>
  <c r="AP9" i="1"/>
  <c r="AM9" i="1"/>
  <c r="AP8" i="1"/>
  <c r="AM8" i="1"/>
  <c r="AP7" i="1"/>
  <c r="AM7" i="1"/>
  <c r="AP6" i="1"/>
  <c r="AM6" i="1"/>
  <c r="BJ19" i="2"/>
  <c r="BI19" i="2"/>
  <c r="BK19" i="2" s="1"/>
  <c r="BK18" i="2"/>
  <c r="BH18" i="2"/>
  <c r="BK17" i="2"/>
  <c r="BH17" i="2"/>
  <c r="BK16" i="2"/>
  <c r="BH16" i="2"/>
  <c r="BK15" i="2"/>
  <c r="BH15" i="2"/>
  <c r="BK14" i="2"/>
  <c r="BH14" i="2"/>
  <c r="BK13" i="2"/>
  <c r="BH13" i="2"/>
  <c r="BK12" i="2"/>
  <c r="BH12" i="2"/>
  <c r="BK11" i="2"/>
  <c r="BH11" i="2"/>
  <c r="BK10" i="2"/>
  <c r="BH10" i="2"/>
  <c r="BK9" i="2"/>
  <c r="BH9" i="2"/>
  <c r="BK8" i="2"/>
  <c r="BH8" i="2"/>
  <c r="BK7" i="2"/>
  <c r="BH7" i="2"/>
  <c r="R18" i="4"/>
  <c r="R15" i="4"/>
  <c r="R13" i="4"/>
  <c r="R10" i="4"/>
  <c r="BE19" i="2"/>
  <c r="AH12" i="1"/>
  <c r="AG12" i="1" s="1"/>
  <c r="AG16" i="4"/>
  <c r="AG17" i="4"/>
  <c r="V10" i="4"/>
  <c r="Z10" i="4" s="1"/>
  <c r="V13" i="4"/>
  <c r="AU10" i="1"/>
  <c r="AT10" i="1"/>
  <c r="AQ10" i="1"/>
  <c r="AU11" i="1"/>
  <c r="AT11" i="1"/>
  <c r="AQ11" i="1"/>
  <c r="AU7" i="1"/>
  <c r="AT7" i="1"/>
  <c r="AQ7" i="1"/>
  <c r="AU9" i="1"/>
  <c r="AT9" i="1"/>
  <c r="AQ9" i="1"/>
  <c r="AU8" i="1"/>
  <c r="AT8" i="1"/>
  <c r="AQ8" i="1"/>
  <c r="AU6" i="1"/>
  <c r="AT6" i="1"/>
  <c r="AQ6" i="1"/>
  <c r="BO18" i="2"/>
  <c r="BL18" i="2"/>
  <c r="BO17" i="2"/>
  <c r="BL17" i="2"/>
  <c r="BO16" i="2"/>
  <c r="BL16" i="2"/>
  <c r="BO15" i="2"/>
  <c r="BL15" i="2"/>
  <c r="BO14" i="2"/>
  <c r="BL14" i="2"/>
  <c r="BO13" i="2"/>
  <c r="BL13" i="2"/>
  <c r="BO12" i="2"/>
  <c r="BL12" i="2"/>
  <c r="BO11" i="2"/>
  <c r="BL11" i="2"/>
  <c r="BO10" i="2"/>
  <c r="BL10" i="2"/>
  <c r="BO9" i="2"/>
  <c r="BL9" i="2"/>
  <c r="BO8" i="2"/>
  <c r="BL8" i="2"/>
  <c r="BO7" i="2"/>
  <c r="BL7" i="2"/>
  <c r="BC19" i="2"/>
  <c r="BB19" i="2" s="1"/>
  <c r="AG9" i="1"/>
  <c r="AG8" i="1"/>
  <c r="AG7" i="1"/>
  <c r="AG11" i="1"/>
  <c r="AG10" i="1"/>
  <c r="AG6" i="1"/>
  <c r="AC8" i="1"/>
  <c r="AC9" i="1"/>
  <c r="AC7" i="1"/>
  <c r="AC11" i="1"/>
  <c r="AC10" i="1"/>
  <c r="AC6" i="1"/>
  <c r="BX7" i="2"/>
  <c r="BB8" i="2"/>
  <c r="BB9" i="2"/>
  <c r="BB10" i="2"/>
  <c r="BB11" i="2"/>
  <c r="BB12" i="2"/>
  <c r="BB13" i="2"/>
  <c r="BB14" i="2"/>
  <c r="BB15" i="2"/>
  <c r="BB16" i="2"/>
  <c r="BB17" i="2"/>
  <c r="BB18" i="2"/>
  <c r="BB7" i="2"/>
  <c r="AX8" i="2"/>
  <c r="AX9" i="2"/>
  <c r="AX10" i="2"/>
  <c r="AX11" i="2"/>
  <c r="AX12" i="2"/>
  <c r="AX13" i="2"/>
  <c r="AX14" i="2"/>
  <c r="AX15" i="2"/>
  <c r="AX16" i="2"/>
  <c r="AX17" i="2"/>
  <c r="AX18" i="2"/>
  <c r="AX7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U19" i="2"/>
  <c r="AV19" i="2"/>
  <c r="K32" i="3"/>
  <c r="AF11" i="1"/>
  <c r="AF7" i="1"/>
  <c r="AK8" i="1"/>
  <c r="AK9" i="1"/>
  <c r="AK7" i="1"/>
  <c r="AK11" i="1"/>
  <c r="AK10" i="1"/>
  <c r="AK6" i="1"/>
  <c r="AI8" i="1"/>
  <c r="AI9" i="1"/>
  <c r="AI7" i="1"/>
  <c r="AI11" i="1"/>
  <c r="AI10" i="1"/>
  <c r="AI6" i="1"/>
  <c r="AL10" i="1"/>
  <c r="AL11" i="1"/>
  <c r="AL7" i="1"/>
  <c r="AL9" i="1"/>
  <c r="AL8" i="1"/>
  <c r="AL6" i="1"/>
  <c r="BF8" i="2"/>
  <c r="BF9" i="2"/>
  <c r="BF10" i="2"/>
  <c r="BF11" i="2"/>
  <c r="BF12" i="2"/>
  <c r="BF13" i="2"/>
  <c r="BF14" i="2"/>
  <c r="BF15" i="2"/>
  <c r="BF16" i="2"/>
  <c r="BF17" i="2"/>
  <c r="BF18" i="2"/>
  <c r="BF7" i="2"/>
  <c r="BD8" i="2"/>
  <c r="BD9" i="2"/>
  <c r="BD10" i="2"/>
  <c r="BD11" i="2"/>
  <c r="BD12" i="2"/>
  <c r="BD13" i="2"/>
  <c r="BD14" i="2"/>
  <c r="BD15" i="2"/>
  <c r="BD16" i="2"/>
  <c r="BD17" i="2"/>
  <c r="BD18" i="2"/>
  <c r="BD7" i="2"/>
  <c r="BG18" i="2"/>
  <c r="BG17" i="2"/>
  <c r="BG16" i="2"/>
  <c r="BG15" i="2"/>
  <c r="BG14" i="2"/>
  <c r="BG13" i="2"/>
  <c r="BG12" i="2"/>
  <c r="BG11" i="2"/>
  <c r="BG10" i="2"/>
  <c r="BG9" i="2"/>
  <c r="BG8" i="2"/>
  <c r="BG7" i="2"/>
  <c r="AB16" i="4"/>
  <c r="AB17" i="4"/>
  <c r="O18" i="4"/>
  <c r="O15" i="4"/>
  <c r="O13" i="4"/>
  <c r="O10" i="4"/>
  <c r="AY19" i="2"/>
  <c r="AX19" i="2" s="1"/>
  <c r="AZ19" i="2"/>
  <c r="AE12" i="1"/>
  <c r="AD12" i="1"/>
  <c r="AF12" i="1" s="1"/>
  <c r="AF10" i="1"/>
  <c r="AF9" i="1"/>
  <c r="AF8" i="1"/>
  <c r="AF6" i="1"/>
  <c r="BA18" i="2"/>
  <c r="BA17" i="2"/>
  <c r="BA16" i="2"/>
  <c r="BA15" i="2"/>
  <c r="BA14" i="2"/>
  <c r="BA13" i="2"/>
  <c r="BA12" i="2"/>
  <c r="BA11" i="2"/>
  <c r="BA10" i="2"/>
  <c r="BA9" i="2"/>
  <c r="BA8" i="2"/>
  <c r="BA7" i="2"/>
  <c r="AA16" i="4"/>
  <c r="AA17" i="4"/>
  <c r="P18" i="4"/>
  <c r="P15" i="4"/>
  <c r="P13" i="4"/>
  <c r="P10" i="4"/>
  <c r="N18" i="4"/>
  <c r="N15" i="4"/>
  <c r="N13" i="4"/>
  <c r="N10" i="4"/>
  <c r="Z12" i="1"/>
  <c r="AS19" i="2"/>
  <c r="AB8" i="1"/>
  <c r="AB9" i="1"/>
  <c r="AB7" i="1"/>
  <c r="AB11" i="1"/>
  <c r="AB10" i="1"/>
  <c r="AB6" i="1"/>
  <c r="Y6" i="1"/>
  <c r="AA12" i="1"/>
  <c r="AB12" i="1" s="1"/>
  <c r="X12" i="1"/>
  <c r="W12" i="1"/>
  <c r="Y10" i="1"/>
  <c r="Y11" i="1"/>
  <c r="Y7" i="1"/>
  <c r="Y9" i="1"/>
  <c r="Y8" i="1"/>
  <c r="AR19" i="2"/>
  <c r="AT19" i="2" s="1"/>
  <c r="AT18" i="2"/>
  <c r="AT17" i="2"/>
  <c r="AT16" i="2"/>
  <c r="AT15" i="2"/>
  <c r="AT14" i="2"/>
  <c r="AT13" i="2"/>
  <c r="AT12" i="2"/>
  <c r="AT11" i="2"/>
  <c r="AT10" i="2"/>
  <c r="AT9" i="2"/>
  <c r="AT8" i="2"/>
  <c r="AT7" i="2"/>
  <c r="M18" i="4"/>
  <c r="M15" i="4"/>
  <c r="M13" i="4"/>
  <c r="M10" i="4"/>
  <c r="AP19" i="2"/>
  <c r="L18" i="4"/>
  <c r="L15" i="4"/>
  <c r="L13" i="4"/>
  <c r="L10" i="4"/>
  <c r="AK19" i="2"/>
  <c r="AL19" i="2"/>
  <c r="AO19" i="2"/>
  <c r="Q12" i="1"/>
  <c r="I13" i="4"/>
  <c r="J10" i="4"/>
  <c r="J18" i="4"/>
  <c r="K10" i="4"/>
  <c r="U12" i="1"/>
  <c r="T12" i="1"/>
  <c r="O12" i="1"/>
  <c r="Q15" i="4"/>
  <c r="I18" i="4"/>
  <c r="Q18" i="4"/>
  <c r="K18" i="4"/>
  <c r="K15" i="4"/>
  <c r="J15" i="4"/>
  <c r="I15" i="4"/>
  <c r="Q10" i="4"/>
  <c r="K13" i="4"/>
  <c r="J13" i="4"/>
  <c r="I10" i="4"/>
  <c r="Q13" i="4"/>
  <c r="L8" i="1"/>
  <c r="N8" i="1"/>
  <c r="M12" i="1"/>
  <c r="K21" i="3"/>
  <c r="K22" i="3"/>
  <c r="K23" i="3"/>
  <c r="K24" i="3"/>
  <c r="K25" i="3"/>
  <c r="K26" i="3"/>
  <c r="K27" i="3"/>
  <c r="K28" i="3"/>
  <c r="K29" i="3"/>
  <c r="K30" i="3"/>
  <c r="K33" i="3"/>
  <c r="H6" i="1"/>
  <c r="K6" i="1"/>
  <c r="N6" i="1"/>
  <c r="P6" i="1"/>
  <c r="R6" i="1"/>
  <c r="S6" i="1"/>
  <c r="V6" i="1"/>
  <c r="H8" i="1"/>
  <c r="K8" i="1"/>
  <c r="R8" i="1"/>
  <c r="S8" i="1"/>
  <c r="V8" i="1"/>
  <c r="H9" i="1"/>
  <c r="K9" i="1"/>
  <c r="N9" i="1"/>
  <c r="P9" i="1"/>
  <c r="R9" i="1"/>
  <c r="S9" i="1"/>
  <c r="V9" i="1"/>
  <c r="H7" i="1"/>
  <c r="K7" i="1"/>
  <c r="N7" i="1"/>
  <c r="P7" i="1"/>
  <c r="R7" i="1"/>
  <c r="S7" i="1"/>
  <c r="V7" i="1"/>
  <c r="H11" i="1"/>
  <c r="K11" i="1"/>
  <c r="N11" i="1"/>
  <c r="P11" i="1"/>
  <c r="R11" i="1"/>
  <c r="S11" i="1"/>
  <c r="V11" i="1"/>
  <c r="H10" i="1"/>
  <c r="K10" i="1"/>
  <c r="N10" i="1"/>
  <c r="P10" i="1"/>
  <c r="R10" i="1"/>
  <c r="S10" i="1"/>
  <c r="V10" i="1"/>
  <c r="B12" i="1"/>
  <c r="C12" i="1"/>
  <c r="D12" i="1"/>
  <c r="E12" i="1"/>
  <c r="F12" i="1"/>
  <c r="G12" i="1"/>
  <c r="I12" i="1"/>
  <c r="J12" i="1"/>
  <c r="BJ12" i="1"/>
  <c r="BK12" i="1"/>
  <c r="BL12" i="1"/>
  <c r="BM12" i="1"/>
  <c r="AT12" i="1" s="1"/>
  <c r="BN12" i="1"/>
  <c r="BO12" i="1"/>
  <c r="BP12" i="1"/>
  <c r="BQ12" i="1"/>
  <c r="E7" i="2"/>
  <c r="H7" i="2"/>
  <c r="K7" i="2"/>
  <c r="L7" i="2"/>
  <c r="O7" i="2"/>
  <c r="R7" i="2"/>
  <c r="S7" i="2"/>
  <c r="V7" i="2"/>
  <c r="Y7" i="2"/>
  <c r="Z7" i="2"/>
  <c r="AC7" i="2"/>
  <c r="AF7" i="2"/>
  <c r="AG7" i="2"/>
  <c r="AJ7" i="2"/>
  <c r="AM7" i="2"/>
  <c r="AN7" i="2"/>
  <c r="AQ7" i="2"/>
  <c r="CB7" i="2"/>
  <c r="CC7" i="2"/>
  <c r="CC19" i="2" s="1"/>
  <c r="E8" i="2"/>
  <c r="H8" i="2"/>
  <c r="K8" i="2"/>
  <c r="L8" i="2"/>
  <c r="L19" i="2" s="1"/>
  <c r="O8" i="2"/>
  <c r="R8" i="2"/>
  <c r="S8" i="2"/>
  <c r="V8" i="2"/>
  <c r="Y8" i="2"/>
  <c r="Z8" i="2"/>
  <c r="AC8" i="2"/>
  <c r="AF8" i="2"/>
  <c r="AG8" i="2"/>
  <c r="AJ8" i="2"/>
  <c r="AM8" i="2"/>
  <c r="AN8" i="2"/>
  <c r="E9" i="2"/>
  <c r="E19" i="2" s="1"/>
  <c r="H9" i="2"/>
  <c r="K9" i="2"/>
  <c r="L9" i="2"/>
  <c r="O9" i="2"/>
  <c r="R9" i="2"/>
  <c r="S9" i="2"/>
  <c r="V9" i="2"/>
  <c r="Y9" i="2"/>
  <c r="Z9" i="2"/>
  <c r="AC9" i="2"/>
  <c r="AF9" i="2"/>
  <c r="AG9" i="2"/>
  <c r="AJ9" i="2"/>
  <c r="AM9" i="2"/>
  <c r="AN9" i="2"/>
  <c r="E10" i="2"/>
  <c r="H10" i="2"/>
  <c r="K10" i="2"/>
  <c r="L10" i="2"/>
  <c r="O10" i="2"/>
  <c r="R10" i="2"/>
  <c r="S10" i="2"/>
  <c r="V10" i="2"/>
  <c r="Y10" i="2"/>
  <c r="Z10" i="2"/>
  <c r="AC10" i="2"/>
  <c r="AF10" i="2"/>
  <c r="AG10" i="2"/>
  <c r="AJ10" i="2"/>
  <c r="AM10" i="2"/>
  <c r="AN10" i="2"/>
  <c r="AQ10" i="2"/>
  <c r="E11" i="2"/>
  <c r="H11" i="2"/>
  <c r="K11" i="2"/>
  <c r="L11" i="2"/>
  <c r="O11" i="2"/>
  <c r="R11" i="2"/>
  <c r="S11" i="2"/>
  <c r="V11" i="2"/>
  <c r="Y11" i="2"/>
  <c r="Z11" i="2"/>
  <c r="AC11" i="2"/>
  <c r="AF11" i="2"/>
  <c r="AG11" i="2"/>
  <c r="AJ11" i="2"/>
  <c r="AM11" i="2"/>
  <c r="AN11" i="2"/>
  <c r="AQ11" i="2"/>
  <c r="E12" i="2"/>
  <c r="H12" i="2"/>
  <c r="K12" i="2"/>
  <c r="L12" i="2"/>
  <c r="O12" i="2"/>
  <c r="R12" i="2"/>
  <c r="S12" i="2"/>
  <c r="V12" i="2"/>
  <c r="Y12" i="2"/>
  <c r="Z12" i="2"/>
  <c r="AC12" i="2"/>
  <c r="AF12" i="2"/>
  <c r="AG12" i="2"/>
  <c r="AJ12" i="2"/>
  <c r="AM12" i="2"/>
  <c r="AN12" i="2"/>
  <c r="AQ12" i="2"/>
  <c r="E13" i="2"/>
  <c r="H13" i="2"/>
  <c r="K13" i="2"/>
  <c r="L13" i="2"/>
  <c r="O13" i="2"/>
  <c r="R13" i="2"/>
  <c r="S13" i="2"/>
  <c r="V13" i="2"/>
  <c r="Y13" i="2"/>
  <c r="Z13" i="2"/>
  <c r="AC13" i="2"/>
  <c r="AF13" i="2"/>
  <c r="AG13" i="2"/>
  <c r="AJ13" i="2"/>
  <c r="AM13" i="2"/>
  <c r="AN13" i="2"/>
  <c r="AQ13" i="2"/>
  <c r="E14" i="2"/>
  <c r="H14" i="2"/>
  <c r="K14" i="2"/>
  <c r="L14" i="2"/>
  <c r="O14" i="2"/>
  <c r="R14" i="2"/>
  <c r="S14" i="2"/>
  <c r="V14" i="2"/>
  <c r="Y14" i="2"/>
  <c r="Z14" i="2"/>
  <c r="AC14" i="2"/>
  <c r="AF14" i="2"/>
  <c r="AG14" i="2"/>
  <c r="AJ14" i="2"/>
  <c r="AM14" i="2"/>
  <c r="AN14" i="2"/>
  <c r="AQ14" i="2"/>
  <c r="E15" i="2"/>
  <c r="H15" i="2"/>
  <c r="K15" i="2"/>
  <c r="L15" i="2"/>
  <c r="O15" i="2"/>
  <c r="R15" i="2"/>
  <c r="S15" i="2"/>
  <c r="V15" i="2"/>
  <c r="Y15" i="2"/>
  <c r="Z15" i="2"/>
  <c r="AC15" i="2"/>
  <c r="AF15" i="2"/>
  <c r="AG15" i="2"/>
  <c r="AJ15" i="2"/>
  <c r="AM15" i="2"/>
  <c r="AN15" i="2"/>
  <c r="AQ15" i="2"/>
  <c r="E16" i="2"/>
  <c r="H16" i="2"/>
  <c r="K16" i="2"/>
  <c r="L16" i="2"/>
  <c r="O16" i="2"/>
  <c r="R16" i="2"/>
  <c r="S16" i="2"/>
  <c r="V16" i="2"/>
  <c r="Y16" i="2"/>
  <c r="Z16" i="2"/>
  <c r="AC16" i="2"/>
  <c r="AF16" i="2"/>
  <c r="AG16" i="2"/>
  <c r="AJ16" i="2"/>
  <c r="AM16" i="2"/>
  <c r="AN16" i="2"/>
  <c r="AQ16" i="2"/>
  <c r="E17" i="2"/>
  <c r="H17" i="2"/>
  <c r="K17" i="2"/>
  <c r="L17" i="2"/>
  <c r="O17" i="2"/>
  <c r="R17" i="2"/>
  <c r="S17" i="2"/>
  <c r="V17" i="2"/>
  <c r="Y17" i="2"/>
  <c r="Z17" i="2"/>
  <c r="AC17" i="2"/>
  <c r="AF17" i="2"/>
  <c r="AG17" i="2"/>
  <c r="AJ17" i="2"/>
  <c r="AM17" i="2"/>
  <c r="AN17" i="2"/>
  <c r="AQ17" i="2"/>
  <c r="E18" i="2"/>
  <c r="H18" i="2"/>
  <c r="K18" i="2"/>
  <c r="L18" i="2"/>
  <c r="O18" i="2"/>
  <c r="R18" i="2"/>
  <c r="S18" i="2"/>
  <c r="V18" i="2"/>
  <c r="Y18" i="2"/>
  <c r="Z18" i="2"/>
  <c r="AC18" i="2"/>
  <c r="AF18" i="2"/>
  <c r="AG18" i="2"/>
  <c r="AJ18" i="2"/>
  <c r="AM18" i="2"/>
  <c r="AN18" i="2"/>
  <c r="AQ18" i="2"/>
  <c r="C19" i="2"/>
  <c r="D19" i="2"/>
  <c r="F19" i="2"/>
  <c r="G19" i="2"/>
  <c r="H19" i="2" s="1"/>
  <c r="I19" i="2"/>
  <c r="J19" i="2"/>
  <c r="K19" i="2" s="1"/>
  <c r="M19" i="2"/>
  <c r="N19" i="2"/>
  <c r="O19" i="2" s="1"/>
  <c r="P19" i="2"/>
  <c r="Q19" i="2"/>
  <c r="R19" i="2" s="1"/>
  <c r="T19" i="2"/>
  <c r="U19" i="2"/>
  <c r="V19" i="2" s="1"/>
  <c r="W19" i="2"/>
  <c r="X19" i="2"/>
  <c r="Y19" i="2"/>
  <c r="AA19" i="2"/>
  <c r="AB19" i="2"/>
  <c r="AD19" i="2"/>
  <c r="AE19" i="2"/>
  <c r="AG19" i="2" s="1"/>
  <c r="AH19" i="2"/>
  <c r="AI19" i="2"/>
  <c r="B10" i="4"/>
  <c r="C10" i="4"/>
  <c r="D10" i="4"/>
  <c r="E10" i="4"/>
  <c r="F10" i="4"/>
  <c r="G10" i="4"/>
  <c r="H10" i="4"/>
  <c r="B13" i="4"/>
  <c r="C13" i="4"/>
  <c r="D13" i="4"/>
  <c r="E13" i="4"/>
  <c r="F13" i="4"/>
  <c r="G13" i="4"/>
  <c r="H13" i="4"/>
  <c r="B15" i="4"/>
  <c r="C15" i="4"/>
  <c r="D15" i="4"/>
  <c r="E15" i="4"/>
  <c r="F15" i="4"/>
  <c r="G15" i="4"/>
  <c r="H15" i="4"/>
  <c r="B18" i="4"/>
  <c r="C18" i="4"/>
  <c r="D18" i="4"/>
  <c r="E18" i="4"/>
  <c r="F18" i="4"/>
  <c r="G18" i="4"/>
  <c r="H18" i="4"/>
  <c r="K31" i="3"/>
  <c r="P8" i="1"/>
  <c r="AL12" i="1"/>
  <c r="BG19" i="2"/>
  <c r="BF19" i="2"/>
  <c r="AB15" i="4"/>
  <c r="L12" i="1"/>
  <c r="N12" i="1" s="1"/>
  <c r="AK12" i="1"/>
  <c r="AW19" i="2"/>
  <c r="AQ19" i="2"/>
  <c r="BD19" i="2"/>
  <c r="BH19" i="2"/>
  <c r="BZ19" i="2"/>
  <c r="W10" i="4"/>
  <c r="Z19" i="2"/>
  <c r="AF19" i="2"/>
  <c r="BA19" i="2"/>
  <c r="AD15" i="4"/>
  <c r="AC15" i="4"/>
  <c r="AE15" i="4"/>
  <c r="X15" i="4"/>
  <c r="AY12" i="1"/>
  <c r="AQ12" i="1"/>
  <c r="B41" i="6"/>
  <c r="J41" i="6"/>
  <c r="H12" i="1"/>
  <c r="N17" i="6"/>
  <c r="AJ19" i="2" l="1"/>
  <c r="BL19" i="2"/>
  <c r="AN19" i="2"/>
  <c r="BP19" i="2"/>
  <c r="BS19" i="2"/>
  <c r="S19" i="2"/>
  <c r="AC19" i="2"/>
  <c r="AM19" i="2"/>
  <c r="AA41" i="6"/>
  <c r="AB41" i="6" s="1"/>
  <c r="AE17" i="6"/>
  <c r="AU12" i="1"/>
  <c r="S12" i="1"/>
  <c r="AM12" i="1"/>
  <c r="AC41" i="6"/>
  <c r="AD41" i="6" s="1"/>
  <c r="R34" i="6"/>
  <c r="N34" i="6"/>
  <c r="U34" i="6"/>
  <c r="S41" i="6"/>
  <c r="I41" i="6"/>
  <c r="AE34" i="6"/>
  <c r="Z34" i="6"/>
  <c r="AF40" i="6"/>
  <c r="P41" i="6"/>
  <c r="F41" i="6"/>
  <c r="Z22" i="6"/>
  <c r="Q34" i="6"/>
  <c r="R22" i="6"/>
  <c r="Q27" i="6"/>
  <c r="Q17" i="6"/>
  <c r="N22" i="6"/>
  <c r="Q22" i="6"/>
  <c r="N27" i="6"/>
  <c r="R27" i="6"/>
  <c r="O41" i="6"/>
  <c r="R17" i="6"/>
  <c r="V12" i="1"/>
  <c r="Y12" i="1"/>
  <c r="AP12" i="1"/>
  <c r="AC12" i="1"/>
  <c r="R12" i="1"/>
  <c r="K12" i="1"/>
  <c r="P12" i="1"/>
  <c r="AI12" i="1"/>
  <c r="Y17" i="6"/>
  <c r="V17" i="6"/>
  <c r="V22" i="6"/>
  <c r="Y22" i="6"/>
  <c r="E41" i="6"/>
  <c r="U27" i="6"/>
  <c r="V27" i="6"/>
  <c r="Y27" i="6"/>
  <c r="U17" i="6"/>
  <c r="U22" i="6"/>
  <c r="Z27" i="6"/>
  <c r="AE27" i="6"/>
  <c r="W15" i="4"/>
  <c r="X10" i="4"/>
  <c r="AA15" i="4"/>
  <c r="CB19" i="2"/>
  <c r="G32" i="3"/>
  <c r="G33" i="3"/>
  <c r="AG15" i="4"/>
  <c r="G16" i="3"/>
  <c r="H16" i="3" s="1"/>
  <c r="I16" i="3" s="1"/>
  <c r="J16" i="3" s="1"/>
  <c r="K16" i="3" s="1"/>
  <c r="G17" i="3"/>
  <c r="H17" i="3" s="1"/>
  <c r="I17" i="3" s="1"/>
  <c r="J17" i="3" s="1"/>
  <c r="K17" i="3" s="1"/>
  <c r="Z15" i="4"/>
  <c r="Z41" i="6" l="1"/>
  <c r="AE41" i="6"/>
  <c r="R41" i="6"/>
  <c r="N41" i="6"/>
  <c r="V41" i="6"/>
  <c r="Y41" i="6"/>
  <c r="Q41" i="6"/>
</calcChain>
</file>

<file path=xl/sharedStrings.xml><?xml version="1.0" encoding="utf-8"?>
<sst xmlns="http://schemas.openxmlformats.org/spreadsheetml/2006/main" count="1029" uniqueCount="400">
  <si>
    <t>จังหวัด</t>
  </si>
  <si>
    <t>ส่งออก</t>
  </si>
  <si>
    <t>นำเข้า</t>
  </si>
  <si>
    <t>ดุลการค้า</t>
  </si>
  <si>
    <t>Δ %</t>
  </si>
  <si>
    <t>รวม</t>
  </si>
  <si>
    <t>กรมการค้าต่างประเทศ</t>
  </si>
  <si>
    <t>รายการ</t>
  </si>
  <si>
    <t>มูลค่า (ล้านบาท)</t>
  </si>
  <si>
    <t>มูลค่ารวม</t>
  </si>
  <si>
    <t>เดือน</t>
  </si>
  <si>
    <t>%</t>
  </si>
  <si>
    <t xml:space="preserve">      %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</si>
  <si>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</si>
  <si>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</si>
  <si>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</si>
  <si>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</si>
  <si>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</si>
  <si>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</si>
  <si>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</si>
  <si>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</si>
  <si>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</si>
  <si>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พฤศจิกายน</t>
  </si>
  <si>
    <t>ธันวาคม</t>
  </si>
  <si>
    <t>ลำดับที่</t>
  </si>
  <si>
    <t>รวม 10 อันดับ</t>
  </si>
  <si>
    <t xml:space="preserve">          </t>
  </si>
  <si>
    <t>2711 (ก๊าซปิโตรเลียมและก๊าซไฮโดรคาร์บอนอื่นๆ (เช่น ก๊าซธรรมชาติ โพรเพนและบิวเทน เป็นต้น))</t>
  </si>
  <si>
    <t>0302 (ปลาสดหรือแช่เย็น ไม่รวมถึงเนื้อปลาแบบฟิลเล และเนื้อปลาแบบอื่นตามประเภทที่ 03.04)</t>
  </si>
  <si>
    <t>4408 (แผ่นไม้สำหรับทำไม้วีเนียร์  (รวมถึงแผ่นไม้ที่ได้จากการฝานลามิเนเต็ดวูด)  แผ่นไม้สำหรับทำไม้อัดพลายวูด  หรือแผ่นไม้สำหรับทำลามิเนเต็ดวูดที่คล้ายกันอื่น ๆ  และ  ไม้อื่น ๆ ที่เลื่อยตามยาว ฝานหรือลอก จะไส ขัด ต่อริมหรือต่อปลายหรือไม่ก็ตาม  ที่มีความหนา</t>
  </si>
  <si>
    <t>4402 (ถ่านไม้ (รวมถึงถ่านที่ทำจากเปลือกแข็งหรือนัต) จะเกาะหรือติดรวมกันหรือไม่ก็ตาม)</t>
  </si>
  <si>
    <t>4403 (ไม้ที่ยังไม่แปรรูป จะถากเปลือกหรือกระพี้ออกแล้ว  หรือทำเป็นสี่เหลี่ยมอย่างหยาบ ๆ หรือไม่ก็ตาม)</t>
  </si>
  <si>
    <t>0713 (พืชผักตระกูลถั่ว แห้งและเอาเปลือกออก จะลอกเยื่อหรือทำให้แยกจากกันหรือไม่ก็ตาม)</t>
  </si>
  <si>
    <t>4409 (ไม้ (รวมถึงแถบไม้และไม้ลวดลายสำหรับปูพื้นแบบปาเก้ต์ยังไม่ประกอบเข้าด้วยกัน) ที่มีขอบหรือหน้าไม้ทำเป็นรูปทรงอย่างต่อเนื่อง (ทำเป็นลิ้น ร่อง บังใบ มุมเฉลียง ข้อต่อรูปตัววี คิ้ว กรอบ ทำให้มนหรือลักษณะที่คล้ายกัน ) จะไส ขัดหรือต่อปลายหรือไม่ก็ตาม)</t>
  </si>
  <si>
    <t>4418 (เครื่องประกอบอาคารทำด้วยไม้ และเครื่องไม้ที่ใช้ในการก่อสร้าง รวมถึงแผงไม้เซลลูลาร์ แผงไม้ปาร์เกต์ที่ประกอบแล้ว กระเบื้องไม้แบบซิงเกิลและแบบเชก)</t>
  </si>
  <si>
    <t>0307 (สัตว์น้ำจำพวกโมลลุสก์ จะเอาเปลือกออกหรือไม่ก็ตาม มีชีวิต สด แช่เย็น แช่แข็ง แห้ง ใส่เกลือหรือแช่น้ำเกลือ และสัตว์น้ำที่ไม่มีกระดูกสันหลังนอกจากสัตว์น้ำจำพวก ครัสตาเซียและโมลลุสก์ มีชีวิต สด แช่เย็น แช่แข็ง แห้ง ใส่เกลือหรือแช่น้ำเกลือ รวมทั้งสัตว์น</t>
  </si>
  <si>
    <t>2552 (01-05)</t>
  </si>
  <si>
    <t>2553 (01-05)</t>
  </si>
  <si>
    <t>2552 (01-06)</t>
  </si>
  <si>
    <t>2553 (01-06)</t>
  </si>
  <si>
    <t>0703 (หอมหัวใหญ่ หอมหัวเล็ก กระเทียม ลีก และพืชผักจำพวกหอมกระเทียมอื่นๆ สด  หรือแช่เย็น)</t>
  </si>
  <si>
    <t>น้ำมันดีเซล</t>
  </si>
  <si>
    <t>ผ้าผืนและด้าย</t>
  </si>
  <si>
    <t>สัตว์น้ำ</t>
  </si>
  <si>
    <t>3</t>
  </si>
  <si>
    <t>4</t>
  </si>
  <si>
    <t>หน่วย : ล้านบาท</t>
  </si>
  <si>
    <t>6</t>
  </si>
  <si>
    <t>7</t>
  </si>
  <si>
    <t>8</t>
  </si>
  <si>
    <t>5</t>
  </si>
  <si>
    <t>2</t>
  </si>
  <si>
    <t>9</t>
  </si>
  <si>
    <t>10</t>
  </si>
  <si>
    <t>:</t>
  </si>
  <si>
    <t>ตุลาคม</t>
  </si>
  <si>
    <t>: การนำเข้า</t>
  </si>
  <si>
    <t>ด่าน</t>
  </si>
  <si>
    <t>รายการสินค้าส่งออก</t>
  </si>
  <si>
    <t>รายการสินค้านำเข้า</t>
  </si>
  <si>
    <t>ผลิตภัณฑ์เหล็กและเหล็กกล้า</t>
  </si>
  <si>
    <t xml:space="preserve">       %</t>
  </si>
  <si>
    <t>กองความร่วมมือการค้าและการลงทุน</t>
  </si>
  <si>
    <t>ที่มา : ศูนย์เทคโนโลยีสารสนเทศและการสื่อสาร กรมการค้าต่างประเทศ โดยความร่วมมือจากกรมศุลกากร</t>
  </si>
  <si>
    <t xml:space="preserve">ที่มา :  ศูนย์เทคโนโลยีสารสนเทศและการสื่อสาร กรมการค้าต่างประเทศ  โดยความร่วมมือจากกรมศุลกากร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</si>
  <si>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</si>
  <si>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การค้าชายแดนไทย-เมียนมา</t>
  </si>
  <si>
    <t>มูลค่าการค้าชายแดนไทย - เมียนมา (รายเดือน)</t>
  </si>
  <si>
    <t>มูลค่าการค้าชายแดนไทย - เมียนมา (รายจังหวัด)</t>
  </si>
  <si>
    <t>มูลค่าการค้าชายแดนไทย - เมียนมา (รายด่าน)</t>
  </si>
  <si>
    <t>N/A</t>
  </si>
  <si>
    <t>ก๊าซธรรมชาติ</t>
  </si>
  <si>
    <t>โค กระบือ สุกร แพะ แกะ</t>
  </si>
  <si>
    <t>ที่มา :  ศูนย์เทคโนโลยีสารสนเทศและการสื่อสาร กรมการค้าต่างประเทศ  โดยความร่วมมือจากกรมศุลกากร</t>
  </si>
  <si>
    <t>ด่านแม่สาย</t>
  </si>
  <si>
    <t>ด่านแม่สะเรียง</t>
  </si>
  <si>
    <t>ด่านแม่ฮ่องสอน</t>
  </si>
  <si>
    <t>ด่านประจวบคีรีขันธ์</t>
  </si>
  <si>
    <t>: การส่งออก</t>
  </si>
  <si>
    <t>มูลค่าการค้าชายแดนไทย - เมียนมา  (รายสินค้า)</t>
  </si>
  <si>
    <t>59/58</t>
  </si>
  <si>
    <t>รถจักรยานยนต์และส่วนประกอบ</t>
  </si>
  <si>
    <t>% YoY</t>
  </si>
  <si>
    <t>ที่มา :  ศูนย์เทคโนโลยีสารสนเทศและการสื่อสาร  สำนักงานปลัดกระทรวงพาณิชย์ และกรมการค้าต่างประเทศโดยความร่วมมือจากกรมศุลกากร</t>
  </si>
  <si>
    <t>น้ำมันสำเร็จรูปอื่น ๆ</t>
  </si>
  <si>
    <t>พืชน้ำมันและผลิตภัณฑ์</t>
  </si>
  <si>
    <t>ปลาหมึกสด แช่เย็น แช่แข็ง</t>
  </si>
  <si>
    <t>สินค้าอุตสาหกรรมอื่น ๆ</t>
  </si>
  <si>
    <t xml:space="preserve">2.2 การค้าชายแดนไทย-เมียนมา </t>
  </si>
  <si>
    <t>กลุ่มความร่วมมือฯ 2</t>
  </si>
  <si>
    <t>กลุ่มความร่วมมือฯ  2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</si>
  <si>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1. กรมศุลกากรได้ปรับปรุงข้อมูลย้อนหลังตั้งแต่ ปี 2560-2561 (มค.-พค.) ณ วันที่ 20 มิย.61</t>
    </r>
  </si>
  <si>
    <t xml:space="preserve">                .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</si>
  <si>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</si>
  <si>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r>
      <rPr>
        <b/>
        <sz val="12"/>
        <color indexed="8"/>
        <rFont val="AngsanaUPC"/>
        <family val="1"/>
      </rPr>
      <t xml:space="preserve">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</si>
  <si>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>ผลิตภัณฑ์อื่น ๆ จากสัตว์</t>
  </si>
  <si>
    <t>1.ตาก</t>
  </si>
  <si>
    <t>2.กาญจนบุรี</t>
  </si>
  <si>
    <t>3.ระนอง</t>
  </si>
  <si>
    <t>4.เชียงราย</t>
  </si>
  <si>
    <t>1.1 ด่านแม่สอด</t>
  </si>
  <si>
    <t xml:space="preserve">      ในพื้นที่อำเภอแม่สอด</t>
  </si>
  <si>
    <t xml:space="preserve">     (สะพานมิตรภาพไทย-เมียนมา)</t>
  </si>
  <si>
    <t>1.4 จุดบริการช่องทางอนุมัติ</t>
  </si>
  <si>
    <t xml:space="preserve">      นอกพื้นที่อำเภอแม่สอด</t>
  </si>
  <si>
    <t>1.5 สถานที่ตรวจปล่อยสำหรับ</t>
  </si>
  <si>
    <t>2.1 ด่านสังขละบุรี</t>
  </si>
  <si>
    <t>2.2 จุดผ่านแดนบ้าน</t>
  </si>
  <si>
    <t xml:space="preserve">      พุน้ำร้อน</t>
  </si>
  <si>
    <t>3. ด่านศุลกากรระนอง</t>
  </si>
  <si>
    <t>3.2 สถานที่ตรวจปล่อยสำหรับ</t>
  </si>
  <si>
    <t xml:space="preserve">     คลังสินค้าทัณฑ์บนด่านแม่สอด</t>
  </si>
  <si>
    <t>รวมทั้งหมด</t>
  </si>
  <si>
    <t>8. ด่านศุลกากรแม่ฮ่องสอน</t>
  </si>
  <si>
    <t>5.3 ด่านเชียงแสน</t>
  </si>
  <si>
    <t>1.ด่านศุลกากรแม่สอด  จ.ตาก</t>
  </si>
  <si>
    <t>2. ด่านศุลกากรสังขละบุรี  จ.กาญจนบุรี</t>
  </si>
  <si>
    <t>4. ด่านศุลกากรแม่สาย  จ.เชียงราย</t>
  </si>
  <si>
    <t>5. ด่านศุลกากรเชียงแสน จ.เชียงราย</t>
  </si>
  <si>
    <t>สัดส่วนการค้าชายแดนต่อ</t>
  </si>
  <si>
    <t>การค้าระหว่างประเทศ (%)</t>
  </si>
  <si>
    <t>มูลค่าการค้าระหว่างไทย-เมียนมา  และการค้าชายแดนไทย-เมียนมา</t>
  </si>
  <si>
    <t>การค้าระหว่างไทย-เมียนมา</t>
  </si>
  <si>
    <r>
      <t xml:space="preserve">      คลัง</t>
    </r>
    <r>
      <rPr>
        <b/>
        <sz val="9"/>
        <color indexed="8"/>
        <rFont val="AngsanaUPC"/>
        <family val="1"/>
      </rPr>
      <t>สินค้าทัณฑ์บน ด่านระนอง</t>
    </r>
  </si>
  <si>
    <t>-23-</t>
  </si>
  <si>
    <t>59/60</t>
  </si>
  <si>
    <t>60/61</t>
  </si>
  <si>
    <t xml:space="preserve">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</si>
  <si>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มิย.62</t>
    </r>
    <r>
      <rPr>
        <sz val="11"/>
        <color theme="1"/>
        <rFont val="Tahoma"/>
        <family val="2"/>
        <charset val="222"/>
        <scheme val="minor"/>
      </rPr>
      <t/>
    </r>
  </si>
  <si>
    <r>
      <rPr>
        <b/>
        <sz val="12"/>
        <color indexed="8"/>
        <rFont val="AngsanaUPC"/>
        <family val="1"/>
      </rPr>
      <t xml:space="preserve">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มิย.63</t>
    </r>
    <r>
      <rPr>
        <sz val="11"/>
        <color theme="1"/>
        <rFont val="Tahoma"/>
        <family val="2"/>
        <charset val="222"/>
        <scheme val="minor"/>
      </rPr>
      <t/>
    </r>
  </si>
  <si>
    <r>
      <rPr>
        <b/>
        <sz val="12"/>
        <color indexed="8"/>
        <rFont val="AngsanaUPC"/>
        <family val="1"/>
      </rPr>
      <t xml:space="preserve">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มิย.64</t>
    </r>
    <r>
      <rPr>
        <sz val="11"/>
        <color theme="1"/>
        <rFont val="Tahoma"/>
        <family val="2"/>
        <charset val="222"/>
        <scheme val="minor"/>
      </rPr>
      <t/>
    </r>
  </si>
  <si>
    <r>
      <rPr>
        <b/>
        <sz val="12"/>
        <color indexed="8"/>
        <rFont val="AngsanaUPC"/>
        <family val="1"/>
      </rPr>
      <t xml:space="preserve">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มิย.65</t>
    </r>
    <r>
      <rPr>
        <sz val="11"/>
        <color theme="1"/>
        <rFont val="Tahoma"/>
        <family val="2"/>
        <charset val="222"/>
        <scheme val="minor"/>
      </rPr>
      <t/>
    </r>
  </si>
  <si>
    <r>
      <rPr>
        <b/>
        <sz val="12"/>
        <color indexed="8"/>
        <rFont val="AngsanaUPC"/>
        <family val="1"/>
      </rPr>
      <t xml:space="preserve">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มิย.66</t>
    </r>
    <r>
      <rPr>
        <sz val="11"/>
        <color theme="1"/>
        <rFont val="Tahoma"/>
        <family val="2"/>
        <charset val="222"/>
        <scheme val="minor"/>
      </rPr>
      <t/>
    </r>
  </si>
  <si>
    <r>
      <rPr>
        <b/>
        <sz val="12"/>
        <color indexed="8"/>
        <rFont val="AngsanaUPC"/>
        <family val="1"/>
      </rPr>
      <t xml:space="preserve">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มิย.67</t>
    </r>
    <r>
      <rPr>
        <sz val="11"/>
        <color theme="1"/>
        <rFont val="Tahoma"/>
        <family val="2"/>
        <charset val="222"/>
        <scheme val="minor"/>
      </rPr>
      <t/>
    </r>
  </si>
  <si>
    <r>
      <rPr>
        <b/>
        <sz val="12"/>
        <color indexed="8"/>
        <rFont val="AngsanaUPC"/>
        <family val="1"/>
      </rPr>
      <t xml:space="preserve">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มิย.68</t>
    </r>
    <r>
      <rPr>
        <sz val="11"/>
        <color theme="1"/>
        <rFont val="Tahoma"/>
        <family val="2"/>
        <charset val="222"/>
        <scheme val="minor"/>
      </rPr>
      <t/>
    </r>
  </si>
  <si>
    <r>
      <rPr>
        <b/>
        <sz val="12"/>
        <color indexed="8"/>
        <rFont val="AngsanaUPC"/>
        <family val="1"/>
      </rPr>
      <t xml:space="preserve">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มิย.69</t>
    </r>
    <r>
      <rPr>
        <sz val="11"/>
        <color theme="1"/>
        <rFont val="Tahoma"/>
        <family val="2"/>
        <charset val="222"/>
        <scheme val="minor"/>
      </rPr>
      <t/>
    </r>
  </si>
  <si>
    <r>
      <rPr>
        <b/>
        <sz val="12"/>
        <color indexed="8"/>
        <rFont val="AngsanaUPC"/>
        <family val="1"/>
      </rPr>
      <t xml:space="preserve">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มิย.70</t>
    </r>
    <r>
      <rPr>
        <sz val="11"/>
        <color theme="1"/>
        <rFont val="Tahoma"/>
        <family val="2"/>
        <charset val="222"/>
        <scheme val="minor"/>
      </rPr>
      <t/>
    </r>
  </si>
  <si>
    <r>
      <rPr>
        <b/>
        <sz val="12"/>
        <color indexed="8"/>
        <rFont val="AngsanaUPC"/>
        <family val="1"/>
      </rPr>
      <t xml:space="preserve">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มิย.71</t>
    </r>
    <r>
      <rPr>
        <sz val="11"/>
        <color theme="1"/>
        <rFont val="Tahoma"/>
        <family val="2"/>
        <charset val="222"/>
        <scheme val="minor"/>
      </rPr>
      <t/>
    </r>
  </si>
  <si>
    <r>
      <rPr>
        <b/>
        <sz val="12"/>
        <color indexed="8"/>
        <rFont val="AngsanaUPC"/>
        <family val="1"/>
      </rPr>
      <t xml:space="preserve">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มิย.72</t>
    </r>
    <r>
      <rPr>
        <sz val="11"/>
        <color theme="1"/>
        <rFont val="Tahoma"/>
        <family val="2"/>
        <charset val="222"/>
        <scheme val="minor"/>
      </rPr>
      <t/>
    </r>
  </si>
  <si>
    <r>
      <rPr>
        <b/>
        <sz val="12"/>
        <color indexed="8"/>
        <rFont val="AngsanaUPC"/>
        <family val="1"/>
      </rPr>
      <t xml:space="preserve">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มิย.73</t>
    </r>
    <r>
      <rPr>
        <sz val="11"/>
        <color theme="1"/>
        <rFont val="Tahoma"/>
        <family val="2"/>
        <charset val="222"/>
        <scheme val="minor"/>
      </rPr>
      <t/>
    </r>
  </si>
  <si>
    <r>
      <rPr>
        <b/>
        <sz val="12"/>
        <color indexed="8"/>
        <rFont val="AngsanaUPC"/>
        <family val="1"/>
      </rPr>
      <t xml:space="preserve">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มิย.74</t>
    </r>
    <r>
      <rPr>
        <sz val="11"/>
        <color theme="1"/>
        <rFont val="Tahoma"/>
        <family val="2"/>
        <charset val="222"/>
        <scheme val="minor"/>
      </rPr>
      <t/>
    </r>
  </si>
  <si>
    <r>
      <rPr>
        <b/>
        <sz val="12"/>
        <color indexed="8"/>
        <rFont val="AngsanaUPC"/>
        <family val="1"/>
      </rPr>
      <t xml:space="preserve">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มิย.75</t>
    </r>
    <r>
      <rPr>
        <sz val="11"/>
        <color theme="1"/>
        <rFont val="Tahoma"/>
        <family val="2"/>
        <charset val="222"/>
        <scheme val="minor"/>
      </rPr>
      <t/>
    </r>
  </si>
  <si>
    <r>
      <rPr>
        <b/>
        <sz val="12"/>
        <color indexed="8"/>
        <rFont val="AngsanaUPC"/>
        <family val="1"/>
      </rPr>
      <t xml:space="preserve">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มิย.76</t>
    </r>
    <r>
      <rPr>
        <sz val="11"/>
        <color theme="1"/>
        <rFont val="Tahoma"/>
        <family val="2"/>
        <charset val="222"/>
        <scheme val="minor"/>
      </rPr>
      <t/>
    </r>
  </si>
  <si>
    <r>
      <rPr>
        <b/>
        <sz val="12"/>
        <color indexed="8"/>
        <rFont val="AngsanaUPC"/>
        <family val="1"/>
      </rPr>
      <t xml:space="preserve">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มิย.77</t>
    </r>
    <r>
      <rPr>
        <sz val="11"/>
        <color theme="1"/>
        <rFont val="Tahoma"/>
        <family val="2"/>
        <charset val="222"/>
        <scheme val="minor"/>
      </rPr>
      <t/>
    </r>
  </si>
  <si>
    <t xml:space="preserve">                 4. กรมศุลกากรได้ปรับปรุงข้อมูลย้อนหลังปี 2561 (มค.-มิย.) ในเดือน ธค.2561 ณ วันที่ 18 มค. 2562</t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</si>
  <si>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</si>
  <si>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</si>
  <si>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 xml:space="preserve">                     4. กรมศุลกากรได้ปรับปรุงข้อมูลย้อนหลังปี 2561 (มค.-มิย.) ในเดือน ธค.2561 ณ วันที่ 18 มค. 2562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</si>
  <si>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</si>
  <si>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 4. กรมศุลกากรได้ปรับปรุงข้อมูลย้อนหลังปี 2561 (มค.-มิย.) ในเดือน ธค.2561 ณ วันที่ 18 มค. 2562</t>
  </si>
  <si>
    <t>61/62</t>
  </si>
  <si>
    <t xml:space="preserve">6. ด่านศุลกากรประจวบคีรีขันธ์  </t>
  </si>
  <si>
    <t>7. ด่านศุลกากรแม่สะเรียง  จ.แม่ฮ่องสอน</t>
  </si>
  <si>
    <t>อัตราการเปลี่ยนแปลง (%)</t>
  </si>
  <si>
    <t>5.ประจวบคีรีขันธ์</t>
  </si>
  <si>
    <t>6.แม่ฮ่องสอน</t>
  </si>
  <si>
    <t>5.1 ทำเนียบท่าเรือห้าเชียง</t>
  </si>
  <si>
    <t>5.2 ท่าเรือพาณิชย์เชียงแสน</t>
  </si>
  <si>
    <t>1.2 ด่านพรมแดนแม่สอด</t>
  </si>
  <si>
    <t>1.3 จุดบริการช่องทางอนุมัติ</t>
  </si>
  <si>
    <t>ธัญพืช</t>
  </si>
  <si>
    <r>
      <rPr>
        <b/>
        <sz val="12"/>
        <color indexed="8"/>
        <rFont val="Angsana New"/>
        <family val="1"/>
      </rPr>
      <t xml:space="preserve">           </t>
    </r>
    <r>
      <rPr>
        <sz val="12"/>
        <color indexed="8"/>
        <rFont val="Angsana New"/>
        <family val="1"/>
      </rPr>
      <t xml:space="preserve"> 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</si>
  <si>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r>
      <rPr>
        <b/>
        <sz val="12"/>
        <color indexed="8"/>
        <rFont val="Angsana New"/>
        <family val="1"/>
      </rPr>
      <t xml:space="preserve">               </t>
    </r>
    <r>
      <rPr>
        <sz val="12"/>
        <color indexed="8"/>
        <rFont val="Angsana New"/>
        <family val="1"/>
      </rPr>
      <t xml:space="preserve">  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</si>
  <si>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r>
      <rPr>
        <b/>
        <sz val="12"/>
        <color indexed="8"/>
        <rFont val="Angsana New"/>
        <family val="1"/>
      </rPr>
      <t xml:space="preserve">                </t>
    </r>
    <r>
      <rPr>
        <sz val="12"/>
        <color indexed="8"/>
        <rFont val="Angsana New"/>
        <family val="1"/>
      </rPr>
      <t xml:space="preserve"> 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</si>
  <si>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r>
      <rPr>
        <b/>
        <sz val="12"/>
        <color indexed="8"/>
        <rFont val="Angsana New"/>
        <family val="1"/>
      </rPr>
      <t xml:space="preserve">              </t>
    </r>
    <r>
      <rPr>
        <sz val="12"/>
        <color indexed="8"/>
        <rFont val="Angsana New"/>
        <family val="1"/>
      </rPr>
      <t xml:space="preserve"> 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</si>
  <si>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 1. กรมศุลกากรได้ปรับปรุงข้อมูลย้อนหลังตั้งแต่ ปี 2560-2561 (มค.-พค.) ณ วันที่ 20 มิย.61</t>
    </r>
  </si>
  <si>
    <t>ด่านระนอง</t>
  </si>
  <si>
    <t>ผักและของปรุงแต่งจากผัก</t>
  </si>
  <si>
    <t>ปูนซิเมนต์</t>
  </si>
  <si>
    <t>ตาก</t>
  </si>
  <si>
    <t>กาญจนบุรี</t>
  </si>
  <si>
    <t>ระนอง</t>
  </si>
  <si>
    <t>เชียงราย</t>
  </si>
  <si>
    <t>ประจวบคีรีขันธ์</t>
  </si>
  <si>
    <t>แม่ฮ่องสอน</t>
  </si>
  <si>
    <t>184,331.01</t>
  </si>
  <si>
    <t>108,966.18</t>
  </si>
  <si>
    <t>75,364.83</t>
  </si>
  <si>
    <t>33,601.35</t>
  </si>
  <si>
    <t>193,328.57</t>
  </si>
  <si>
    <t>105,213.51</t>
  </si>
  <si>
    <t>88,115.06</t>
  </si>
  <si>
    <t>17,098.45</t>
  </si>
  <si>
    <t xml:space="preserve">ด่าน: ด่านศุลกากรแม่สอด </t>
  </si>
  <si>
    <t>ด่านศุลกากรแม่สอด (ศภ.3)</t>
  </si>
  <si>
    <t>ด่านพรมแดนแม่สอด(สะพานมิตรภาพไทย-พม่า)</t>
  </si>
  <si>
    <t>จุดบริการช่องทางอนุมัติในพื้นที่อำเภอแม่สอด</t>
  </si>
  <si>
    <t>จุดบริการช่องทางอนุมัตินอกพื้นที่อำเภอแม่สอด</t>
  </si>
  <si>
    <t>สถานที่ตรวจปล่อยสำหรับคลังสินค้าทัณฑ์บน ด่านฯ แม่สอด</t>
  </si>
  <si>
    <t>79,517.50</t>
  </si>
  <si>
    <t>74,578.09</t>
  </si>
  <si>
    <t>4,939.40</t>
  </si>
  <si>
    <t>69,638.69</t>
  </si>
  <si>
    <t>77,963.34</t>
  </si>
  <si>
    <t>71,936.78</t>
  </si>
  <si>
    <t>6,026.56</t>
  </si>
  <si>
    <t>65,910.22</t>
  </si>
  <si>
    <t xml:space="preserve">ด่าน: ด่านศุลกากรสังขละบุรี </t>
  </si>
  <si>
    <t>ด่านศุลกากรสังขละบุรี (ศภ.1)</t>
  </si>
  <si>
    <t>จุดผ่านแดนถาวรบ้านพุน้ำร้อน</t>
  </si>
  <si>
    <t>64,447.71</t>
  </si>
  <si>
    <t>503.56</t>
  </si>
  <si>
    <t>63,944.15</t>
  </si>
  <si>
    <t>-63,440.58</t>
  </si>
  <si>
    <t>75,824.62</t>
  </si>
  <si>
    <t>620.44</t>
  </si>
  <si>
    <t>75,204.18</t>
  </si>
  <si>
    <t>-74,583.73</t>
  </si>
  <si>
    <t xml:space="preserve">ด่าน: ด่านศุลกากรระนอง </t>
  </si>
  <si>
    <t>ด่านศุลกากรระนอง</t>
  </si>
  <si>
    <t>25,800.01</t>
  </si>
  <si>
    <t>20,324.85</t>
  </si>
  <si>
    <t>5,475.16</t>
  </si>
  <si>
    <t>14,849.68</t>
  </si>
  <si>
    <t>21,703.69</t>
  </si>
  <si>
    <t>16,734.17</t>
  </si>
  <si>
    <t>4,969.52</t>
  </si>
  <si>
    <t>11,764.64</t>
  </si>
  <si>
    <t xml:space="preserve">ด่าน: ด่านศุลกากรแม่สาย </t>
  </si>
  <si>
    <t>ด่านศุลกากรแม่สาย (ศภ.3)</t>
  </si>
  <si>
    <t>8,232.20</t>
  </si>
  <si>
    <t>8,059.99</t>
  </si>
  <si>
    <t>172.21</t>
  </si>
  <si>
    <t>7,887.78</t>
  </si>
  <si>
    <t>10,484.72</t>
  </si>
  <si>
    <t>10,193.10</t>
  </si>
  <si>
    <t>291.62</t>
  </si>
  <si>
    <t>9,901.49</t>
  </si>
  <si>
    <t xml:space="preserve">ด่าน: ด่านศุลกากรเชียงแสน </t>
  </si>
  <si>
    <t>ทำเนียบท่าเรือห้าเชียง</t>
  </si>
  <si>
    <t>ท่าเรือพาณิชย์เชียงแสน</t>
  </si>
  <si>
    <t>ด่านศุลกากรเชียงแสน (ศภ.3)</t>
  </si>
  <si>
    <t>0.01</t>
  </si>
  <si>
    <t>4,664.17</t>
  </si>
  <si>
    <t>4,664.06</t>
  </si>
  <si>
    <t>0.11</t>
  </si>
  <si>
    <t>4,663.95</t>
  </si>
  <si>
    <t>4,640.75</t>
  </si>
  <si>
    <t>0.00</t>
  </si>
  <si>
    <t xml:space="preserve">ด่าน: ด่านศุลกากรประจวบคีรีขันธ์ </t>
  </si>
  <si>
    <t>ด่านศุลกากรประจวบคีรีขันธ์ (ศภ.1)</t>
  </si>
  <si>
    <t>485.51</t>
  </si>
  <si>
    <t>197.32</t>
  </si>
  <si>
    <t>288.19</t>
  </si>
  <si>
    <t>-90.87</t>
  </si>
  <si>
    <t>967.13</t>
  </si>
  <si>
    <t>214.26</t>
  </si>
  <si>
    <t>752.87</t>
  </si>
  <si>
    <t>-538.61</t>
  </si>
  <si>
    <t xml:space="preserve">ด่าน: ด่านศุลกากรแม่สะเรียง </t>
  </si>
  <si>
    <t>ด่านศุลกากรแม่สะเรียง (ศภ.3)</t>
  </si>
  <si>
    <t>760.05</t>
  </si>
  <si>
    <t>299.06</t>
  </si>
  <si>
    <t>460.98</t>
  </si>
  <si>
    <t>-161.92</t>
  </si>
  <si>
    <t>1,129.94</t>
  </si>
  <si>
    <t>333.62</t>
  </si>
  <si>
    <t>796.32</t>
  </si>
  <si>
    <t>-462.71</t>
  </si>
  <si>
    <t xml:space="preserve">ด่าน: ด่านศุลกากรแม่ฮ่องสอน </t>
  </si>
  <si>
    <t>ด่านศุลกากรแม่ฮ่องสอน (ศภ.3)</t>
  </si>
  <si>
    <t>423.87</t>
  </si>
  <si>
    <t>339.25</t>
  </si>
  <si>
    <t>84.62</t>
  </si>
  <si>
    <t>254.62</t>
  </si>
  <si>
    <t>614.38</t>
  </si>
  <si>
    <t>540.39</t>
  </si>
  <si>
    <t>73.99</t>
  </si>
  <si>
    <t>466.40</t>
  </si>
  <si>
    <t>เครื่องดื่มที่ไม่มีแอลกอฮอส์</t>
  </si>
  <si>
    <t>เครื่องดื่มที่มีแอลกอฮอส์</t>
  </si>
  <si>
    <t>อื่น ๆ</t>
  </si>
  <si>
    <t>สินแร่ โลหะอื่น ๆ เศษโลหะอื่น ๆ และผลิตภัณฑ์</t>
  </si>
  <si>
    <t>เครื่องพักกระแสไฟฟ้า หม้อแปลงไฟฟ้าและส่วนประกอบ</t>
  </si>
  <si>
    <t>2562 (มกราคม-พฤศจิกายน)</t>
  </si>
  <si>
    <t>1.21</t>
  </si>
  <si>
    <t>-4.72</t>
  </si>
  <si>
    <t>-2.16</t>
  </si>
  <si>
    <t>9.73</t>
  </si>
  <si>
    <t>-1.23</t>
  </si>
  <si>
    <t>30.31</t>
  </si>
  <si>
    <t>-9.17</t>
  </si>
  <si>
    <t>9.13</t>
  </si>
  <si>
    <t>-2.20</t>
  </si>
  <si>
    <t>25.36</t>
  </si>
  <si>
    <t>-5.66</t>
  </si>
  <si>
    <t>29.70</t>
  </si>
  <si>
    <t>-0.49</t>
  </si>
  <si>
    <t>25.28</t>
  </si>
  <si>
    <t>-14.60</t>
  </si>
  <si>
    <t>6.63</t>
  </si>
  <si>
    <t>-2.22</t>
  </si>
  <si>
    <t>-18.67</t>
  </si>
  <si>
    <t>2.49</t>
  </si>
  <si>
    <t>-4.04</t>
  </si>
  <si>
    <t>2.10</t>
  </si>
  <si>
    <t>-5.90</t>
  </si>
  <si>
    <t>0.41</t>
  </si>
  <si>
    <t>0.28</t>
  </si>
  <si>
    <t>0.17</t>
  </si>
  <si>
    <t>0.10</t>
  </si>
  <si>
    <t>10.72</t>
  </si>
  <si>
    <t>2.45</t>
  </si>
  <si>
    <t>เครื่องสำอาง เครื่องหอมและสบู่</t>
  </si>
  <si>
    <t>มูลค่าการค้าชายแดนไทย - เมียนมา (รายเดือน) ปี 2560 - 2562 (ม.ค. - ธ.ค.)</t>
  </si>
  <si>
    <t>อัตราการเปลี่ยนแปลง (%) 2562/2561 (ม.ค. - ธ.ค.)</t>
  </si>
  <si>
    <t>(ม.ค. - ธ.ค.)</t>
  </si>
  <si>
    <t>1.11</t>
  </si>
  <si>
    <t>-11.78</t>
  </si>
  <si>
    <t>196,402.69</t>
  </si>
  <si>
    <t>102,532.31</t>
  </si>
  <si>
    <t>93,870.38</t>
  </si>
  <si>
    <t>8,661.92</t>
  </si>
  <si>
    <t>-2.55</t>
  </si>
  <si>
    <t>6.53</t>
  </si>
  <si>
    <t>มูลค่าการค้าชายแดนไทย - เมียนมา (รายจังหวัด) ปี 2560 - 2562 (ม.ค. - ธ.ค.)</t>
  </si>
  <si>
    <t>ส่วนแบ่งตลาด ทั้งหมด ปี2562 (ม.ค. - ธ.ค.)</t>
  </si>
  <si>
    <t>-2.05</t>
  </si>
  <si>
    <t>51.66</t>
  </si>
  <si>
    <t>68.72</t>
  </si>
  <si>
    <t>9.74</t>
  </si>
  <si>
    <t>50.02</t>
  </si>
  <si>
    <t>3.37</t>
  </si>
  <si>
    <t>0.91</t>
  </si>
  <si>
    <t>82.82</t>
  </si>
  <si>
    <t>-7.53</t>
  </si>
  <si>
    <t>-4.15</t>
  </si>
  <si>
    <t>15.09</t>
  </si>
  <si>
    <t>5.07</t>
  </si>
  <si>
    <t>-0.43</t>
  </si>
  <si>
    <t>31.90</t>
  </si>
  <si>
    <t>14.41</t>
  </si>
  <si>
    <t>34.76</t>
  </si>
  <si>
    <t>74.50</t>
  </si>
  <si>
    <t>1.40</t>
  </si>
  <si>
    <t>-30.80</t>
  </si>
  <si>
    <t>-39.31</t>
  </si>
  <si>
    <t>0.59</t>
  </si>
  <si>
    <t>0.56</t>
  </si>
  <si>
    <t>มูลค่าการค้าชายแดนไทย - เมียนมา (รายด่าน) ปี 2560 - 2562 (ม.ค. - ธ.ค.)</t>
  </si>
  <si>
    <t>-82.27</t>
  </si>
  <si>
    <t>184.61</t>
  </si>
  <si>
    <t>6.66</t>
  </si>
  <si>
    <t>-24.17</t>
  </si>
  <si>
    <t>-20.04</t>
  </si>
  <si>
    <t>0.62</t>
  </si>
  <si>
    <t>79,604.13</t>
  </si>
  <si>
    <t>70,464.47</t>
  </si>
  <si>
    <t>9,139.66</t>
  </si>
  <si>
    <t>61,324.80</t>
  </si>
  <si>
    <t>3.09</t>
  </si>
  <si>
    <t>82.24</t>
  </si>
  <si>
    <t>70.69</t>
  </si>
  <si>
    <t>0.58</t>
  </si>
  <si>
    <t>78,671.84</t>
  </si>
  <si>
    <t>930.76</t>
  </si>
  <si>
    <t>77,741.08</t>
  </si>
  <si>
    <t>-76,810.32</t>
  </si>
  <si>
    <t>20,236.46</t>
  </si>
  <si>
    <t>15,473.39</t>
  </si>
  <si>
    <t>4,763.07</t>
  </si>
  <si>
    <t>10,710.31</t>
  </si>
  <si>
    <t>14.45</t>
  </si>
  <si>
    <t>11.38</t>
  </si>
  <si>
    <t>12,051.05</t>
  </si>
  <si>
    <t>11,666.40</t>
  </si>
  <si>
    <t>384.65</t>
  </si>
  <si>
    <t>11,281.74</t>
  </si>
  <si>
    <t>2.00</t>
  </si>
  <si>
    <t>-55.19</t>
  </si>
  <si>
    <t>1.02</t>
  </si>
  <si>
    <t>-97.98</t>
  </si>
  <si>
    <t>3,103.79</t>
  </si>
  <si>
    <t>-33.12</t>
  </si>
  <si>
    <t>3.03</t>
  </si>
  <si>
    <t>1,602.48</t>
  </si>
  <si>
    <t>288.73</t>
  </si>
  <si>
    <t>1,313.75</t>
  </si>
  <si>
    <t>-1,025.02</t>
  </si>
  <si>
    <t>-49.07</t>
  </si>
  <si>
    <t>-45.48</t>
  </si>
  <si>
    <t>0.46</t>
  </si>
  <si>
    <t>604.10</t>
  </si>
  <si>
    <t>169.92</t>
  </si>
  <si>
    <t>434.18</t>
  </si>
  <si>
    <t>-264.26</t>
  </si>
  <si>
    <t>-19.53</t>
  </si>
  <si>
    <t>27.02</t>
  </si>
  <si>
    <t>0.42</t>
  </si>
  <si>
    <t>528.84</t>
  </si>
  <si>
    <t>434.86</t>
  </si>
  <si>
    <t>93.98</t>
  </si>
  <si>
    <t>340.87</t>
  </si>
  <si>
    <t>102,532.30</t>
  </si>
  <si>
    <t>ปี 2560-2562 (มกราคม-ธันวาคม)</t>
  </si>
  <si>
    <t>(มกราคม-ธันวาคม)</t>
  </si>
  <si>
    <t>(มค.-ธค.)</t>
  </si>
  <si>
    <t>2562 (มกราคม-ธันวาคม)</t>
  </si>
  <si>
    <t>2561 มกราคม-ธันวาคม</t>
  </si>
  <si>
    <t>ปี 2560-2562  (มกราคม-ธันวาคม)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</si>
</sst>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#,##0.0"/>
    <numFmt numFmtId="188" formatCode="0.0"/>
    <numFmt numFmtId="189" formatCode="#,##0.0_ ;[Red]\-#,##0.0\ "/>
    <numFmt numFmtId="190" formatCode="_-* #,##0.0_-;\-* #,##0.0_-;_-* &quot;-&quot;??_-;_-@_-"/>
    <numFmt numFmtId="191" formatCode="#,##0.00_ ;[Red]\-#,##0.00\ "/>
  </numFmts>
  <fonts count="97" x14ac:knownFonts="1">
    <font>
      <sz val="11"/>
      <color theme="1"/>
      <name val="Tahoma"/>
      <family val="2"/>
      <charset val="222"/>
      <scheme val="minor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UPC"/>
      <family val="1"/>
      <charset val="222"/>
    </font>
    <font>
      <b/>
      <sz val="16"/>
      <name val="AngsanaUPC"/>
      <family val="1"/>
      <charset val="222"/>
    </font>
    <font>
      <b/>
      <sz val="14"/>
      <name val="Angsana New"/>
      <family val="1"/>
    </font>
    <font>
      <sz val="14"/>
      <name val="Angsana New"/>
      <family val="1"/>
    </font>
    <font>
      <sz val="14"/>
      <name val="AngsanaUPC"/>
      <family val="1"/>
      <charset val="222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sz val="14"/>
      <name val="AngsanaUPC"/>
      <family val="1"/>
    </font>
    <font>
      <b/>
      <sz val="16"/>
      <name val="Angsana New"/>
      <family val="1"/>
    </font>
    <font>
      <b/>
      <sz val="14"/>
      <name val="AngsanaUPC"/>
      <family val="1"/>
    </font>
    <font>
      <sz val="13"/>
      <name val="Angsana New"/>
      <family val="1"/>
    </font>
    <font>
      <b/>
      <sz val="18"/>
      <name val="AngsanaUPC"/>
      <family val="1"/>
      <charset val="222"/>
    </font>
    <font>
      <b/>
      <sz val="12"/>
      <name val="AngsanaUPC"/>
      <family val="1"/>
      <charset val="222"/>
    </font>
    <font>
      <sz val="11"/>
      <color indexed="8"/>
      <name val="Tahoma"/>
      <family val="2"/>
      <charset val="222"/>
    </font>
    <font>
      <sz val="11"/>
      <name val="Tahoma"/>
      <family val="2"/>
      <charset val="222"/>
    </font>
    <font>
      <sz val="8"/>
      <name val="Tahoma"/>
      <family val="2"/>
      <charset val="222"/>
    </font>
    <font>
      <sz val="16"/>
      <color indexed="8"/>
      <name val="Tahoma"/>
      <family val="2"/>
      <charset val="222"/>
    </font>
    <font>
      <b/>
      <sz val="16"/>
      <color indexed="8"/>
      <name val="Tahoma"/>
      <family val="2"/>
      <charset val="222"/>
    </font>
    <font>
      <b/>
      <sz val="13"/>
      <name val="AngsanaUPC"/>
      <family val="1"/>
      <charset val="222"/>
    </font>
    <font>
      <b/>
      <sz val="12"/>
      <name val="AngsanaUPC"/>
      <family val="1"/>
    </font>
    <font>
      <sz val="16"/>
      <name val="Tahoma"/>
      <family val="2"/>
      <charset val="222"/>
    </font>
    <font>
      <b/>
      <sz val="11"/>
      <name val="AngsanaUPC"/>
      <family val="1"/>
    </font>
    <font>
      <sz val="12"/>
      <name val="AngsanaUPC"/>
      <family val="1"/>
    </font>
    <font>
      <b/>
      <sz val="12"/>
      <name val="Angsana New"/>
      <family val="1"/>
    </font>
    <font>
      <b/>
      <sz val="10"/>
      <name val="AngsanaUPC"/>
      <family val="1"/>
      <charset val="222"/>
    </font>
    <font>
      <b/>
      <sz val="11"/>
      <name val="AngsanaUPC"/>
      <family val="1"/>
      <charset val="222"/>
    </font>
    <font>
      <b/>
      <u/>
      <sz val="18"/>
      <name val="AngsanaUPC"/>
      <family val="1"/>
    </font>
    <font>
      <sz val="11"/>
      <name val="Angsana New"/>
      <family val="1"/>
    </font>
    <font>
      <sz val="11"/>
      <name val="AngsanaUPC"/>
      <family val="1"/>
      <charset val="222"/>
    </font>
    <font>
      <b/>
      <sz val="11"/>
      <name val="Angsana New"/>
      <family val="1"/>
    </font>
    <font>
      <sz val="14.5"/>
      <name val="Angsana New"/>
      <family val="1"/>
    </font>
    <font>
      <sz val="14.5"/>
      <name val="AngsanaUPC"/>
      <family val="1"/>
      <charset val="222"/>
    </font>
    <font>
      <sz val="12.5"/>
      <name val="AngsanaUPC"/>
      <family val="1"/>
    </font>
    <font>
      <sz val="12.5"/>
      <name val="AngsanaUPC"/>
      <family val="1"/>
      <charset val="222"/>
    </font>
    <font>
      <sz val="12.5"/>
      <name val="Angsana New"/>
      <family val="1"/>
    </font>
    <font>
      <b/>
      <sz val="10"/>
      <name val="AngsanaUPC"/>
      <family val="1"/>
    </font>
    <font>
      <sz val="11"/>
      <name val="AngsanaUPC"/>
      <family val="1"/>
    </font>
    <font>
      <b/>
      <sz val="10"/>
      <name val="Angsana New"/>
      <family val="1"/>
    </font>
    <font>
      <sz val="10"/>
      <name val="Angsana New"/>
      <family val="1"/>
    </font>
    <font>
      <sz val="10"/>
      <name val="AngsanaUPC"/>
      <family val="1"/>
      <charset val="222"/>
    </font>
    <font>
      <b/>
      <sz val="14"/>
      <color indexed="8"/>
      <name val="AngsanaUPC"/>
      <family val="1"/>
      <charset val="222"/>
    </font>
    <font>
      <b/>
      <sz val="12"/>
      <color indexed="8"/>
      <name val="AngsanaUPC"/>
      <family val="1"/>
    </font>
    <font>
      <sz val="12"/>
      <color indexed="8"/>
      <name val="AngsanaUPC"/>
      <family val="1"/>
    </font>
    <font>
      <sz val="10"/>
      <name val="AngsanaUPC"/>
      <family val="1"/>
    </font>
    <font>
      <sz val="9"/>
      <name val="AngsanaUPC"/>
      <family val="1"/>
      <charset val="222"/>
    </font>
    <font>
      <b/>
      <sz val="9"/>
      <name val="Angsana New"/>
      <family val="1"/>
    </font>
    <font>
      <b/>
      <sz val="9"/>
      <name val="AngsanaUPC"/>
      <family val="1"/>
    </font>
    <font>
      <b/>
      <sz val="13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rgb="FF000000"/>
      <name val="Calibri"/>
      <family val="2"/>
    </font>
    <font>
      <sz val="12"/>
      <color theme="1"/>
      <name val="AngsanaUPC"/>
      <family val="1"/>
      <charset val="222"/>
    </font>
    <font>
      <sz val="12"/>
      <color theme="1"/>
      <name val="AngsanaUPC"/>
      <family val="1"/>
    </font>
    <font>
      <sz val="12"/>
      <color rgb="FFC00000"/>
      <name val="AngsanaUPC"/>
      <family val="1"/>
      <charset val="222"/>
    </font>
    <font>
      <b/>
      <sz val="14"/>
      <color rgb="FFC00000"/>
      <name val="Angsana New"/>
      <family val="1"/>
    </font>
    <font>
      <sz val="10"/>
      <color rgb="FF000000"/>
      <name val="AngsanaUPC"/>
      <family val="1"/>
    </font>
    <font>
      <sz val="12"/>
      <color rgb="FFC00000"/>
      <name val="Angsana New"/>
      <family val="1"/>
    </font>
    <font>
      <sz val="16"/>
      <color rgb="FFC00000"/>
      <name val="AngsanaUPC"/>
      <family val="1"/>
      <charset val="222"/>
    </font>
    <font>
      <sz val="12"/>
      <color rgb="FF000000"/>
      <name val="Angsana New"/>
      <family val="1"/>
    </font>
    <font>
      <b/>
      <sz val="10"/>
      <color theme="1"/>
      <name val="AngsanaUPC"/>
      <family val="1"/>
    </font>
    <font>
      <sz val="12"/>
      <color rgb="FF000000"/>
      <name val="AngsanaUPC"/>
      <family val="1"/>
    </font>
    <font>
      <b/>
      <sz val="12"/>
      <color rgb="FFC00000"/>
      <name val="AngsanaUPC"/>
      <family val="1"/>
    </font>
    <font>
      <b/>
      <sz val="14"/>
      <color theme="1"/>
      <name val="AngsanaUPC"/>
      <family val="1"/>
      <charset val="222"/>
    </font>
    <font>
      <b/>
      <sz val="14"/>
      <color rgb="FFC00000"/>
      <name val="AngsanaUPC"/>
      <family val="1"/>
    </font>
    <font>
      <sz val="14"/>
      <color rgb="FFC00000"/>
      <name val="AngsanaUPC"/>
      <family val="1"/>
    </font>
    <font>
      <b/>
      <sz val="9"/>
      <color theme="1"/>
      <name val="AngsanaUPC"/>
      <family val="1"/>
    </font>
    <font>
      <b/>
      <sz val="9"/>
      <color indexed="8"/>
      <name val="AngsanaUPC"/>
      <family val="1"/>
    </font>
    <font>
      <sz val="12"/>
      <color rgb="FFC00000"/>
      <name val="AngsanaUPC"/>
      <family val="1"/>
    </font>
    <font>
      <sz val="16"/>
      <color rgb="FF000000"/>
      <name val="Angsana New"/>
      <family val="1"/>
    </font>
    <font>
      <b/>
      <sz val="16"/>
      <name val="AngsanaUPC"/>
      <family val="1"/>
    </font>
    <font>
      <sz val="9"/>
      <color rgb="FF000000"/>
      <name val="Microsoft Sans Serif"/>
      <family val="2"/>
    </font>
    <font>
      <sz val="9"/>
      <color rgb="FF000000"/>
      <name val="Angsana New"/>
      <family val="1"/>
    </font>
    <font>
      <sz val="11"/>
      <color rgb="FF000000"/>
      <name val="Angsana New"/>
      <family val="1"/>
    </font>
    <font>
      <b/>
      <sz val="14"/>
      <color rgb="FFFF0000"/>
      <name val="AngsanaUPC"/>
      <family val="1"/>
    </font>
    <font>
      <b/>
      <sz val="20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name val="Arial"/>
      <family val="2"/>
    </font>
    <font>
      <b/>
      <sz val="8"/>
      <color theme="1"/>
      <name val="AngsanaUPC"/>
      <family val="1"/>
    </font>
    <font>
      <b/>
      <sz val="8"/>
      <name val="AngsanaUPC"/>
      <family val="1"/>
    </font>
    <font>
      <sz val="16"/>
      <color rgb="FFC00000"/>
      <name val="Angsana New"/>
      <family val="1"/>
    </font>
    <font>
      <sz val="9"/>
      <color rgb="FF000000"/>
      <name val="Times New Roman"/>
      <family val="1"/>
    </font>
    <font>
      <sz val="9"/>
      <color rgb="FFFFFFFF"/>
      <name val="Microsoft Sans Serif"/>
      <family val="2"/>
    </font>
    <font>
      <sz val="12"/>
      <color rgb="FFFF0000"/>
      <name val="Angsana New"/>
      <family val="1"/>
    </font>
    <font>
      <sz val="11"/>
      <color rgb="FFFF0000"/>
      <name val="Angsana New"/>
      <family val="1"/>
    </font>
    <font>
      <b/>
      <sz val="11"/>
      <color rgb="FFFF0000"/>
      <name val="Angsana New"/>
      <family val="1"/>
    </font>
    <font>
      <b/>
      <sz val="12"/>
      <color rgb="FFFF0000"/>
      <name val="Angsana New"/>
      <family val="1"/>
    </font>
    <font>
      <b/>
      <sz val="9"/>
      <color rgb="FFFF0000"/>
      <name val="Angsana New"/>
      <family val="1"/>
    </font>
    <font>
      <sz val="9"/>
      <color rgb="FFFF0000"/>
      <name val="Angsana New"/>
      <family val="1"/>
    </font>
    <font>
      <sz val="12"/>
      <color rgb="FFFF0000"/>
      <name val="AngsanaUPC"/>
      <family val="1"/>
      <charset val="222"/>
    </font>
    <font>
      <sz val="13"/>
      <color rgb="FFFF0000"/>
      <name val="AngsanaUPC"/>
      <family val="1"/>
      <charset val="222"/>
    </font>
    <font>
      <sz val="16"/>
      <color rgb="FFFF0000"/>
      <name val="AngsanaUPC"/>
      <family val="1"/>
      <charset val="222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</fonts>
  <fills count="22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47"/>
      </patternFill>
    </fill>
    <fill>
      <patternFill patternType="solid">
        <fgColor theme="8" tint="0.79998168889431442"/>
        <bgColor indexed="4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  <fill>
      <patternFill patternType="solid">
        <fgColor theme="6" tint="0.59999389629810485"/>
        <bgColor indexed="64"/>
      </patternFill>
    </fill>
    <fill>
      <patternFill patternType="lightGrid">
        <fgColor indexed="9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808080"/>
      </patternFill>
    </fill>
    <fill>
      <patternFill patternType="solid">
        <fgColor rgb="FFFFFFE0"/>
      </patternFill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dotted">
        <color indexed="64"/>
      </left>
      <right/>
      <top/>
      <bottom/>
      <diagonal/>
    </border>
    <border>
      <left style="dotted">
        <color auto="1"/>
      </left>
      <right style="dotted">
        <color auto="1"/>
      </right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indexed="64"/>
      </bottom>
      <diagonal/>
    </border>
  </borders>
  <cellStyleXfs count="5">
    <xf numFmtId="0" fontId="0" fillId="0" borderId="0"/>
    <xf numFmtId="43" fontId="17" fillId="0" borderId="0" applyFont="0" applyFill="0" applyBorder="0" applyAlignment="0" applyProtection="0"/>
    <xf numFmtId="0" fontId="52" fillId="0" borderId="0"/>
    <xf numFmtId="0" fontId="53" fillId="0" borderId="0"/>
    <xf numFmtId="9" fontId="17" fillId="0" borderId="0" applyFont="0" applyFill="0" applyBorder="0" applyAlignment="0" applyProtection="0"/>
  </cellStyleXfs>
  <cellXfs count="669">
    <xf numFmtId="0" fontId="0" fillId="0" borderId="0" xfId="0"/>
    <xf numFmtId="0" fontId="2" fillId="2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/>
    <xf numFmtId="0" fontId="8" fillId="2" borderId="0" xfId="0" applyFont="1" applyFill="1"/>
    <xf numFmtId="187" fontId="10" fillId="0" borderId="3" xfId="0" applyNumberFormat="1" applyFont="1" applyBorder="1" applyAlignment="1">
      <alignment horizontal="center"/>
    </xf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8" fillId="0" borderId="0" xfId="0" applyFont="1"/>
    <xf numFmtId="0" fontId="14" fillId="0" borderId="0" xfId="0" applyFont="1"/>
    <xf numFmtId="0" fontId="9" fillId="5" borderId="0" xfId="0" applyFont="1" applyFill="1"/>
    <xf numFmtId="0" fontId="9" fillId="5" borderId="0" xfId="0" applyFont="1" applyFill="1" applyAlignment="1">
      <alignment horizontal="right"/>
    </xf>
    <xf numFmtId="0" fontId="4" fillId="5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4" fontId="10" fillId="0" borderId="0" xfId="0" applyNumberFormat="1" applyFont="1"/>
    <xf numFmtId="0" fontId="9" fillId="5" borderId="0" xfId="0" applyFont="1" applyFill="1" applyAlignment="1">
      <alignment horizontal="right" indent="2"/>
    </xf>
    <xf numFmtId="9" fontId="9" fillId="5" borderId="0" xfId="4" applyFont="1" applyFill="1"/>
    <xf numFmtId="0" fontId="10" fillId="5" borderId="0" xfId="0" applyFont="1" applyFill="1"/>
    <xf numFmtId="0" fontId="10" fillId="5" borderId="0" xfId="0" applyFont="1" applyFill="1" applyBorder="1" applyAlignment="1"/>
    <xf numFmtId="0" fontId="10" fillId="5" borderId="0" xfId="0" applyFont="1" applyFill="1" applyBorder="1"/>
    <xf numFmtId="0" fontId="10" fillId="5" borderId="4" xfId="0" applyFont="1" applyFill="1" applyBorder="1" applyAlignment="1">
      <alignment wrapText="1"/>
    </xf>
    <xf numFmtId="0" fontId="10" fillId="5" borderId="4" xfId="0" applyFont="1" applyFill="1" applyBorder="1"/>
    <xf numFmtId="0" fontId="4" fillId="5" borderId="0" xfId="0" applyFont="1" applyFill="1" applyBorder="1" applyAlignment="1"/>
    <xf numFmtId="0" fontId="10" fillId="5" borderId="4" xfId="0" applyFont="1" applyFill="1" applyBorder="1" applyAlignment="1">
      <alignment horizontal="right"/>
    </xf>
    <xf numFmtId="4" fontId="10" fillId="5" borderId="3" xfId="0" applyNumberFormat="1" applyFont="1" applyFill="1" applyBorder="1"/>
    <xf numFmtId="4" fontId="10" fillId="5" borderId="5" xfId="0" applyNumberFormat="1" applyFont="1" applyFill="1" applyBorder="1" applyAlignment="1">
      <alignment horizontal="center" wrapText="1"/>
    </xf>
    <xf numFmtId="3" fontId="10" fillId="5" borderId="3" xfId="0" applyNumberFormat="1" applyFont="1" applyFill="1" applyBorder="1"/>
    <xf numFmtId="3" fontId="10" fillId="5" borderId="5" xfId="0" applyNumberFormat="1" applyFont="1" applyFill="1" applyBorder="1" applyAlignment="1">
      <alignment horizontal="center" wrapText="1"/>
    </xf>
    <xf numFmtId="187" fontId="10" fillId="5" borderId="3" xfId="0" applyNumberFormat="1" applyFont="1" applyFill="1" applyBorder="1" applyAlignment="1">
      <alignment horizontal="center"/>
    </xf>
    <xf numFmtId="187" fontId="10" fillId="5" borderId="5" xfId="0" applyNumberFormat="1" applyFont="1" applyFill="1" applyBorder="1" applyAlignment="1">
      <alignment horizontal="center" wrapText="1"/>
    </xf>
    <xf numFmtId="0" fontId="10" fillId="5" borderId="0" xfId="0" applyFont="1" applyFill="1" applyAlignment="1"/>
    <xf numFmtId="3" fontId="10" fillId="5" borderId="6" xfId="0" applyNumberFormat="1" applyFont="1" applyFill="1" applyBorder="1" applyAlignment="1">
      <alignment horizontal="center" wrapText="1"/>
    </xf>
    <xf numFmtId="4" fontId="10" fillId="5" borderId="3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9" fillId="5" borderId="7" xfId="0" applyFont="1" applyFill="1" applyBorder="1" applyAlignment="1"/>
    <xf numFmtId="191" fontId="9" fillId="5" borderId="0" xfId="0" applyNumberFormat="1" applyFont="1" applyFill="1"/>
    <xf numFmtId="43" fontId="2" fillId="0" borderId="0" xfId="1" applyFont="1"/>
    <xf numFmtId="189" fontId="9" fillId="5" borderId="0" xfId="0" applyNumberFormat="1" applyFont="1" applyFill="1" applyBorder="1" applyAlignment="1"/>
    <xf numFmtId="189" fontId="9" fillId="5" borderId="0" xfId="0" applyNumberFormat="1" applyFont="1" applyFill="1" applyAlignment="1">
      <alignment horizontal="right"/>
    </xf>
    <xf numFmtId="49" fontId="8" fillId="0" borderId="0" xfId="4" applyNumberFormat="1" applyFont="1" applyAlignment="1"/>
    <xf numFmtId="49" fontId="8" fillId="0" borderId="0" xfId="0" applyNumberFormat="1" applyFont="1" applyAlignment="1"/>
    <xf numFmtId="49" fontId="8" fillId="0" borderId="0" xfId="0" applyNumberFormat="1" applyFont="1" applyAlignment="1">
      <alignment horizontal="right"/>
    </xf>
    <xf numFmtId="0" fontId="5" fillId="0" borderId="0" xfId="0" applyFont="1" applyAlignment="1">
      <alignment vertical="justify"/>
    </xf>
    <xf numFmtId="0" fontId="9" fillId="3" borderId="0" xfId="0" applyFont="1" applyFill="1" applyAlignment="1">
      <alignment horizontal="right" vertical="center"/>
    </xf>
    <xf numFmtId="0" fontId="9" fillId="5" borderId="0" xfId="0" applyFont="1" applyFill="1" applyAlignment="1">
      <alignment horizontal="right" vertical="center"/>
    </xf>
    <xf numFmtId="0" fontId="4" fillId="5" borderId="3" xfId="0" applyFont="1" applyFill="1" applyBorder="1" applyAlignment="1">
      <alignment horizontal="center" vertical="center"/>
    </xf>
    <xf numFmtId="0" fontId="6" fillId="2" borderId="0" xfId="0" applyFont="1" applyFill="1"/>
    <xf numFmtId="187" fontId="9" fillId="0" borderId="3" xfId="0" applyNumberFormat="1" applyFont="1" applyBorder="1" applyAlignment="1">
      <alignment horizontal="right"/>
    </xf>
    <xf numFmtId="187" fontId="9" fillId="5" borderId="5" xfId="0" applyNumberFormat="1" applyFont="1" applyFill="1" applyBorder="1" applyAlignment="1">
      <alignment horizontal="right" wrapText="1"/>
    </xf>
    <xf numFmtId="188" fontId="9" fillId="0" borderId="3" xfId="0" applyNumberFormat="1" applyFont="1" applyBorder="1" applyAlignment="1">
      <alignment horizontal="right"/>
    </xf>
    <xf numFmtId="187" fontId="8" fillId="5" borderId="5" xfId="0" applyNumberFormat="1" applyFont="1" applyFill="1" applyBorder="1" applyAlignment="1">
      <alignment horizontal="right" wrapText="1"/>
    </xf>
    <xf numFmtId="4" fontId="9" fillId="0" borderId="3" xfId="0" applyNumberFormat="1" applyFont="1" applyBorder="1" applyAlignment="1">
      <alignment horizontal="right"/>
    </xf>
    <xf numFmtId="0" fontId="9" fillId="5" borderId="7" xfId="0" applyFont="1" applyFill="1" applyBorder="1" applyAlignment="1">
      <alignment horizontal="right"/>
    </xf>
    <xf numFmtId="189" fontId="9" fillId="5" borderId="7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90" fontId="9" fillId="0" borderId="3" xfId="1" applyNumberFormat="1" applyFont="1" applyBorder="1" applyAlignment="1">
      <alignment horizontal="right"/>
    </xf>
    <xf numFmtId="187" fontId="9" fillId="0" borderId="3" xfId="0" applyNumberFormat="1" applyFont="1" applyBorder="1" applyAlignment="1">
      <alignment horizontal="center"/>
    </xf>
    <xf numFmtId="187" fontId="9" fillId="5" borderId="5" xfId="0" applyNumberFormat="1" applyFont="1" applyFill="1" applyBorder="1" applyAlignment="1">
      <alignment horizontal="center" wrapText="1"/>
    </xf>
    <xf numFmtId="187" fontId="9" fillId="5" borderId="3" xfId="0" applyNumberFormat="1" applyFont="1" applyFill="1" applyBorder="1" applyAlignment="1">
      <alignment horizontal="center"/>
    </xf>
    <xf numFmtId="187" fontId="9" fillId="5" borderId="5" xfId="0" applyNumberFormat="1" applyFont="1" applyFill="1" applyBorder="1" applyAlignment="1">
      <alignment horizontal="center"/>
    </xf>
    <xf numFmtId="187" fontId="8" fillId="5" borderId="5" xfId="0" applyNumberFormat="1" applyFont="1" applyFill="1" applyBorder="1" applyAlignment="1">
      <alignment horizontal="right"/>
    </xf>
    <xf numFmtId="0" fontId="5" fillId="2" borderId="0" xfId="0" applyFont="1" applyFill="1"/>
    <xf numFmtId="189" fontId="10" fillId="5" borderId="7" xfId="0" applyNumberFormat="1" applyFont="1" applyFill="1" applyBorder="1" applyAlignment="1"/>
    <xf numFmtId="0" fontId="7" fillId="5" borderId="0" xfId="0" applyFont="1" applyFill="1"/>
    <xf numFmtId="4" fontId="11" fillId="0" borderId="3" xfId="0" applyNumberFormat="1" applyFont="1" applyBorder="1" applyAlignment="1">
      <alignment horizontal="right"/>
    </xf>
    <xf numFmtId="4" fontId="6" fillId="5" borderId="3" xfId="0" applyNumberFormat="1" applyFont="1" applyFill="1" applyBorder="1" applyAlignment="1">
      <alignment horizontal="right" wrapText="1"/>
    </xf>
    <xf numFmtId="4" fontId="7" fillId="0" borderId="3" xfId="0" applyNumberFormat="1" applyFont="1" applyBorder="1" applyAlignment="1">
      <alignment horizontal="right"/>
    </xf>
    <xf numFmtId="4" fontId="7" fillId="5" borderId="5" xfId="0" applyNumberFormat="1" applyFont="1" applyFill="1" applyBorder="1" applyAlignment="1">
      <alignment horizontal="right" wrapText="1"/>
    </xf>
    <xf numFmtId="4" fontId="7" fillId="5" borderId="5" xfId="0" applyNumberFormat="1" applyFont="1" applyFill="1" applyBorder="1" applyAlignment="1">
      <alignment horizontal="right"/>
    </xf>
    <xf numFmtId="4" fontId="7" fillId="0" borderId="3" xfId="1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26" fillId="0" borderId="3" xfId="0" applyNumberFormat="1" applyFont="1" applyBorder="1" applyAlignment="1">
      <alignment horizontal="right"/>
    </xf>
    <xf numFmtId="4" fontId="13" fillId="0" borderId="3" xfId="1" applyNumberFormat="1" applyFont="1" applyBorder="1" applyAlignment="1">
      <alignment horizontal="right"/>
    </xf>
    <xf numFmtId="4" fontId="9" fillId="7" borderId="3" xfId="0" applyNumberFormat="1" applyFont="1" applyFill="1" applyBorder="1" applyAlignment="1">
      <alignment horizontal="right"/>
    </xf>
    <xf numFmtId="4" fontId="10" fillId="7" borderId="0" xfId="0" applyNumberFormat="1" applyFont="1" applyFill="1" applyAlignment="1">
      <alignment horizontal="right"/>
    </xf>
    <xf numFmtId="4" fontId="36" fillId="0" borderId="3" xfId="0" applyNumberFormat="1" applyFont="1" applyBorder="1" applyAlignment="1">
      <alignment horizontal="right"/>
    </xf>
    <xf numFmtId="4" fontId="37" fillId="5" borderId="5" xfId="0" applyNumberFormat="1" applyFont="1" applyFill="1" applyBorder="1" applyAlignment="1">
      <alignment horizontal="right"/>
    </xf>
    <xf numFmtId="4" fontId="37" fillId="8" borderId="1" xfId="0" applyNumberFormat="1" applyFont="1" applyFill="1" applyBorder="1" applyAlignment="1">
      <alignment horizontal="right"/>
    </xf>
    <xf numFmtId="4" fontId="37" fillId="0" borderId="3" xfId="0" applyNumberFormat="1" applyFont="1" applyBorder="1" applyAlignment="1">
      <alignment horizontal="right"/>
    </xf>
    <xf numFmtId="4" fontId="38" fillId="0" borderId="0" xfId="0" applyNumberFormat="1" applyFont="1" applyAlignment="1">
      <alignment horizontal="right"/>
    </xf>
    <xf numFmtId="4" fontId="26" fillId="7" borderId="5" xfId="0" applyNumberFormat="1" applyFont="1" applyFill="1" applyBorder="1" applyAlignment="1">
      <alignment horizontal="right"/>
    </xf>
    <xf numFmtId="0" fontId="4" fillId="9" borderId="10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187" fontId="3" fillId="9" borderId="8" xfId="0" applyNumberFormat="1" applyFont="1" applyFill="1" applyBorder="1" applyAlignment="1">
      <alignment horizontal="center"/>
    </xf>
    <xf numFmtId="187" fontId="3" fillId="9" borderId="11" xfId="0" applyNumberFormat="1" applyFont="1" applyFill="1" applyBorder="1" applyAlignment="1">
      <alignment horizontal="center"/>
    </xf>
    <xf numFmtId="187" fontId="3" fillId="9" borderId="8" xfId="4" applyNumberFormat="1" applyFont="1" applyFill="1" applyBorder="1" applyAlignment="1">
      <alignment horizontal="center"/>
    </xf>
    <xf numFmtId="187" fontId="3" fillId="9" borderId="3" xfId="4" applyNumberFormat="1" applyFont="1" applyFill="1" applyBorder="1" applyAlignment="1">
      <alignment horizontal="center"/>
    </xf>
    <xf numFmtId="187" fontId="3" fillId="9" borderId="3" xfId="0" applyNumberFormat="1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wrapText="1"/>
    </xf>
    <xf numFmtId="0" fontId="3" fillId="9" borderId="5" xfId="0" applyFont="1" applyFill="1" applyBorder="1" applyAlignment="1">
      <alignment horizontal="right" wrapText="1"/>
    </xf>
    <xf numFmtId="0" fontId="3" fillId="9" borderId="5" xfId="0" applyFont="1" applyFill="1" applyBorder="1" applyAlignment="1">
      <alignment horizontal="left" wrapText="1"/>
    </xf>
    <xf numFmtId="0" fontId="3" fillId="10" borderId="7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vertical="center"/>
    </xf>
    <xf numFmtId="4" fontId="8" fillId="7" borderId="3" xfId="0" applyNumberFormat="1" applyFont="1" applyFill="1" applyBorder="1" applyAlignment="1">
      <alignment horizontal="right"/>
    </xf>
    <xf numFmtId="0" fontId="16" fillId="9" borderId="5" xfId="0" applyFont="1" applyFill="1" applyBorder="1" applyAlignment="1">
      <alignment horizontal="center" wrapText="1"/>
    </xf>
    <xf numFmtId="4" fontId="9" fillId="5" borderId="5" xfId="0" applyNumberFormat="1" applyFont="1" applyFill="1" applyBorder="1" applyAlignment="1">
      <alignment horizontal="right"/>
    </xf>
    <xf numFmtId="4" fontId="9" fillId="8" borderId="1" xfId="0" applyNumberFormat="1" applyFont="1" applyFill="1" applyBorder="1" applyAlignment="1">
      <alignment horizontal="right"/>
    </xf>
    <xf numFmtId="4" fontId="26" fillId="7" borderId="3" xfId="0" applyNumberFormat="1" applyFont="1" applyFill="1" applyBorder="1" applyAlignment="1">
      <alignment horizontal="right"/>
    </xf>
    <xf numFmtId="4" fontId="26" fillId="0" borderId="3" xfId="0" applyNumberFormat="1" applyFont="1" applyFill="1" applyBorder="1" applyAlignment="1">
      <alignment horizontal="right"/>
    </xf>
    <xf numFmtId="4" fontId="8" fillId="7" borderId="0" xfId="0" applyNumberFormat="1" applyFont="1" applyFill="1" applyAlignment="1">
      <alignment horizontal="right"/>
    </xf>
    <xf numFmtId="0" fontId="29" fillId="9" borderId="5" xfId="0" applyFont="1" applyFill="1" applyBorder="1" applyAlignment="1">
      <alignment horizontal="center" wrapText="1"/>
    </xf>
    <xf numFmtId="0" fontId="54" fillId="5" borderId="7" xfId="4" applyNumberFormat="1" applyFont="1" applyFill="1" applyBorder="1" applyAlignment="1"/>
    <xf numFmtId="0" fontId="54" fillId="0" borderId="7" xfId="0" applyFont="1" applyFill="1" applyBorder="1" applyAlignment="1">
      <alignment horizontal="right"/>
    </xf>
    <xf numFmtId="9" fontId="55" fillId="5" borderId="0" xfId="4" applyFont="1" applyFill="1" applyBorder="1" applyAlignment="1">
      <alignment vertical="center"/>
    </xf>
    <xf numFmtId="0" fontId="16" fillId="0" borderId="0" xfId="0" applyFont="1" applyAlignment="1">
      <alignment horizontal="right"/>
    </xf>
    <xf numFmtId="4" fontId="7" fillId="7" borderId="3" xfId="0" applyNumberFormat="1" applyFont="1" applyFill="1" applyBorder="1" applyAlignment="1">
      <alignment horizontal="right" vertical="center"/>
    </xf>
    <xf numFmtId="187" fontId="44" fillId="0" borderId="0" xfId="1" applyNumberFormat="1" applyFont="1" applyBorder="1" applyAlignment="1">
      <alignment horizontal="right" vertical="center"/>
    </xf>
    <xf numFmtId="4" fontId="4" fillId="12" borderId="5" xfId="0" applyNumberFormat="1" applyFont="1" applyFill="1" applyBorder="1" applyAlignment="1">
      <alignment horizontal="center"/>
    </xf>
    <xf numFmtId="3" fontId="4" fillId="12" borderId="5" xfId="0" applyNumberFormat="1" applyFont="1" applyFill="1" applyBorder="1" applyAlignment="1">
      <alignment horizontal="center" wrapText="1"/>
    </xf>
    <xf numFmtId="3" fontId="4" fillId="12" borderId="5" xfId="0" applyNumberFormat="1" applyFont="1" applyFill="1" applyBorder="1" applyAlignment="1">
      <alignment horizontal="center"/>
    </xf>
    <xf numFmtId="187" fontId="4" fillId="12" borderId="5" xfId="0" applyNumberFormat="1" applyFont="1" applyFill="1" applyBorder="1" applyAlignment="1">
      <alignment horizontal="center"/>
    </xf>
    <xf numFmtId="187" fontId="4" fillId="12" borderId="5" xfId="0" applyNumberFormat="1" applyFont="1" applyFill="1" applyBorder="1" applyAlignment="1">
      <alignment horizontal="center" wrapText="1"/>
    </xf>
    <xf numFmtId="187" fontId="16" fillId="12" borderId="5" xfId="0" applyNumberFormat="1" applyFont="1" applyFill="1" applyBorder="1" applyAlignment="1">
      <alignment horizontal="center"/>
    </xf>
    <xf numFmtId="187" fontId="16" fillId="12" borderId="5" xfId="0" applyNumberFormat="1" applyFont="1" applyFill="1" applyBorder="1" applyAlignment="1">
      <alignment horizontal="center" wrapText="1"/>
    </xf>
    <xf numFmtId="187" fontId="16" fillId="12" borderId="5" xfId="0" applyNumberFormat="1" applyFont="1" applyFill="1" applyBorder="1" applyAlignment="1">
      <alignment horizontal="right"/>
    </xf>
    <xf numFmtId="187" fontId="16" fillId="12" borderId="5" xfId="0" applyNumberFormat="1" applyFont="1" applyFill="1" applyBorder="1" applyAlignment="1">
      <alignment horizontal="right" wrapText="1"/>
    </xf>
    <xf numFmtId="187" fontId="16" fillId="12" borderId="5" xfId="1" applyNumberFormat="1" applyFont="1" applyFill="1" applyBorder="1" applyAlignment="1">
      <alignment horizontal="right"/>
    </xf>
    <xf numFmtId="187" fontId="23" fillId="12" borderId="5" xfId="0" applyNumberFormat="1" applyFont="1" applyFill="1" applyBorder="1" applyAlignment="1">
      <alignment horizontal="right"/>
    </xf>
    <xf numFmtId="4" fontId="16" fillId="12" borderId="5" xfId="0" applyNumberFormat="1" applyFont="1" applyFill="1" applyBorder="1" applyAlignment="1">
      <alignment horizontal="right"/>
    </xf>
    <xf numFmtId="4" fontId="29" fillId="12" borderId="5" xfId="0" applyNumberFormat="1" applyFont="1" applyFill="1" applyBorder="1" applyAlignment="1">
      <alignment horizontal="right"/>
    </xf>
    <xf numFmtId="4" fontId="27" fillId="12" borderId="3" xfId="0" applyNumberFormat="1" applyFont="1" applyFill="1" applyBorder="1" applyAlignment="1">
      <alignment horizontal="right"/>
    </xf>
    <xf numFmtId="4" fontId="23" fillId="12" borderId="5" xfId="0" applyNumberFormat="1" applyFont="1" applyFill="1" applyBorder="1" applyAlignment="1">
      <alignment horizontal="right"/>
    </xf>
    <xf numFmtId="4" fontId="25" fillId="12" borderId="5" xfId="0" applyNumberFormat="1" applyFont="1" applyFill="1" applyBorder="1" applyAlignment="1">
      <alignment horizontal="right"/>
    </xf>
    <xf numFmtId="187" fontId="3" fillId="0" borderId="0" xfId="1" applyNumberFormat="1" applyFont="1" applyBorder="1" applyAlignment="1">
      <alignment horizontal="right" vertical="center"/>
    </xf>
    <xf numFmtId="0" fontId="4" fillId="10" borderId="10" xfId="0" applyFont="1" applyFill="1" applyBorder="1" applyAlignment="1"/>
    <xf numFmtId="0" fontId="20" fillId="9" borderId="10" xfId="0" applyFont="1" applyFill="1" applyBorder="1" applyAlignment="1"/>
    <xf numFmtId="187" fontId="16" fillId="9" borderId="3" xfId="0" applyNumberFormat="1" applyFont="1" applyFill="1" applyBorder="1" applyAlignment="1">
      <alignment horizontal="center"/>
    </xf>
    <xf numFmtId="4" fontId="7" fillId="0" borderId="3" xfId="0" applyNumberFormat="1" applyFont="1" applyBorder="1" applyAlignment="1">
      <alignment horizontal="right" vertical="center"/>
    </xf>
    <xf numFmtId="0" fontId="9" fillId="3" borderId="0" xfId="0" applyFont="1" applyFill="1" applyAlignment="1">
      <alignment horizontal="right"/>
    </xf>
    <xf numFmtId="0" fontId="4" fillId="10" borderId="12" xfId="0" applyFont="1" applyFill="1" applyBorder="1" applyAlignment="1">
      <alignment horizontal="center" vertical="center"/>
    </xf>
    <xf numFmtId="4" fontId="13" fillId="12" borderId="3" xfId="0" applyNumberFormat="1" applyFont="1" applyFill="1" applyBorder="1" applyAlignment="1">
      <alignment horizontal="right" vertical="center"/>
    </xf>
    <xf numFmtId="0" fontId="4" fillId="10" borderId="14" xfId="0" applyFont="1" applyFill="1" applyBorder="1" applyAlignment="1">
      <alignment vertical="center"/>
    </xf>
    <xf numFmtId="0" fontId="4" fillId="10" borderId="15" xfId="0" applyFont="1" applyFill="1" applyBorder="1" applyAlignment="1">
      <alignment vertical="center"/>
    </xf>
    <xf numFmtId="187" fontId="3" fillId="0" borderId="3" xfId="1" applyNumberFormat="1" applyFont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27" fillId="2" borderId="4" xfId="0" applyFont="1" applyFill="1" applyBorder="1" applyAlignment="1">
      <alignment horizontal="right" vertical="center"/>
    </xf>
    <xf numFmtId="0" fontId="27" fillId="2" borderId="4" xfId="0" applyFont="1" applyFill="1" applyBorder="1" applyAlignment="1">
      <alignment horizontal="right"/>
    </xf>
    <xf numFmtId="0" fontId="27" fillId="2" borderId="0" xfId="0" applyFont="1" applyFill="1" applyAlignment="1">
      <alignment horizontal="right"/>
    </xf>
    <xf numFmtId="0" fontId="29" fillId="5" borderId="4" xfId="0" applyFont="1" applyFill="1" applyBorder="1" applyAlignment="1">
      <alignment horizontal="right"/>
    </xf>
    <xf numFmtId="0" fontId="27" fillId="2" borderId="0" xfId="0" applyFont="1" applyFill="1"/>
    <xf numFmtId="0" fontId="26" fillId="13" borderId="7" xfId="0" applyFont="1" applyFill="1" applyBorder="1" applyAlignment="1">
      <alignment horizontal="left"/>
    </xf>
    <xf numFmtId="0" fontId="9" fillId="5" borderId="0" xfId="0" applyFont="1" applyFill="1" applyAlignment="1">
      <alignment horizontal="left"/>
    </xf>
    <xf numFmtId="9" fontId="55" fillId="5" borderId="0" xfId="4" applyFont="1" applyFill="1" applyBorder="1" applyAlignment="1">
      <alignment horizontal="left" vertical="center"/>
    </xf>
    <xf numFmtId="0" fontId="46" fillId="13" borderId="0" xfId="0" applyFont="1" applyFill="1" applyBorder="1" applyAlignment="1"/>
    <xf numFmtId="0" fontId="26" fillId="6" borderId="0" xfId="2" applyFont="1" applyFill="1" applyBorder="1" applyAlignment="1"/>
    <xf numFmtId="187" fontId="23" fillId="5" borderId="0" xfId="0" applyNumberFormat="1" applyFont="1" applyFill="1" applyBorder="1" applyAlignment="1">
      <alignment horizontal="right"/>
    </xf>
    <xf numFmtId="0" fontId="26" fillId="5" borderId="0" xfId="0" applyFont="1" applyFill="1" applyBorder="1" applyAlignment="1"/>
    <xf numFmtId="0" fontId="26" fillId="5" borderId="0" xfId="0" applyFont="1" applyFill="1" applyAlignment="1">
      <alignment horizontal="right"/>
    </xf>
    <xf numFmtId="0" fontId="10" fillId="7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/>
    </xf>
    <xf numFmtId="0" fontId="16" fillId="5" borderId="8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vertical="center"/>
    </xf>
    <xf numFmtId="0" fontId="60" fillId="0" borderId="0" xfId="0" applyFont="1"/>
    <xf numFmtId="49" fontId="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2" fillId="10" borderId="1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wrapText="1"/>
    </xf>
    <xf numFmtId="4" fontId="8" fillId="7" borderId="12" xfId="0" applyNumberFormat="1" applyFont="1" applyFill="1" applyBorder="1" applyAlignment="1">
      <alignment horizontal="right" vertical="center"/>
    </xf>
    <xf numFmtId="4" fontId="25" fillId="12" borderId="12" xfId="0" applyNumberFormat="1" applyFont="1" applyFill="1" applyBorder="1" applyAlignment="1">
      <alignment horizontal="right" vertical="center"/>
    </xf>
    <xf numFmtId="4" fontId="8" fillId="7" borderId="6" xfId="0" applyNumberFormat="1" applyFont="1" applyFill="1" applyBorder="1" applyAlignment="1">
      <alignment horizontal="right" vertical="center"/>
    </xf>
    <xf numFmtId="4" fontId="23" fillId="12" borderId="6" xfId="0" applyNumberFormat="1" applyFont="1" applyFill="1" applyBorder="1" applyAlignment="1">
      <alignment horizontal="right" vertical="center"/>
    </xf>
    <xf numFmtId="4" fontId="29" fillId="12" borderId="6" xfId="0" applyNumberFormat="1" applyFont="1" applyFill="1" applyBorder="1" applyAlignment="1">
      <alignment horizontal="right" vertical="center"/>
    </xf>
    <xf numFmtId="4" fontId="25" fillId="12" borderId="6" xfId="0" applyNumberFormat="1" applyFont="1" applyFill="1" applyBorder="1" applyAlignment="1">
      <alignment horizontal="right" vertical="center"/>
    </xf>
    <xf numFmtId="187" fontId="3" fillId="9" borderId="12" xfId="0" applyNumberFormat="1" applyFont="1" applyFill="1" applyBorder="1" applyAlignment="1">
      <alignment horizontal="center"/>
    </xf>
    <xf numFmtId="187" fontId="16" fillId="9" borderId="6" xfId="0" applyNumberFormat="1" applyFont="1" applyFill="1" applyBorder="1" applyAlignment="1">
      <alignment horizontal="center"/>
    </xf>
    <xf numFmtId="187" fontId="28" fillId="9" borderId="6" xfId="0" applyNumberFormat="1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 wrapText="1"/>
    </xf>
    <xf numFmtId="0" fontId="3" fillId="9" borderId="21" xfId="0" applyFont="1" applyFill="1" applyBorder="1" applyAlignment="1">
      <alignment horizontal="center" wrapText="1"/>
    </xf>
    <xf numFmtId="4" fontId="61" fillId="14" borderId="20" xfId="0" applyNumberFormat="1" applyFont="1" applyFill="1" applyBorder="1" applyAlignment="1">
      <alignment horizontal="right" vertical="center" shrinkToFit="1"/>
    </xf>
    <xf numFmtId="4" fontId="61" fillId="14" borderId="21" xfId="0" applyNumberFormat="1" applyFont="1" applyFill="1" applyBorder="1" applyAlignment="1">
      <alignment horizontal="right" vertical="center" shrinkToFit="1"/>
    </xf>
    <xf numFmtId="4" fontId="25" fillId="12" borderId="20" xfId="0" applyNumberFormat="1" applyFont="1" applyFill="1" applyBorder="1" applyAlignment="1">
      <alignment horizontal="right" vertical="center"/>
    </xf>
    <xf numFmtId="4" fontId="25" fillId="12" borderId="21" xfId="0" applyNumberFormat="1" applyFont="1" applyFill="1" applyBorder="1" applyAlignment="1">
      <alignment horizontal="right" vertical="center"/>
    </xf>
    <xf numFmtId="4" fontId="61" fillId="14" borderId="20" xfId="0" applyNumberFormat="1" applyFont="1" applyFill="1" applyBorder="1" applyAlignment="1">
      <alignment horizontal="right" vertical="center" wrapText="1" shrinkToFit="1"/>
    </xf>
    <xf numFmtId="0" fontId="41" fillId="9" borderId="20" xfId="0" quotePrefix="1" applyFont="1" applyFill="1" applyBorder="1" applyAlignment="1">
      <alignment horizontal="center" wrapText="1"/>
    </xf>
    <xf numFmtId="4" fontId="8" fillId="7" borderId="20" xfId="0" applyNumberFormat="1" applyFont="1" applyFill="1" applyBorder="1" applyAlignment="1">
      <alignment horizontal="right" vertical="center"/>
    </xf>
    <xf numFmtId="4" fontId="27" fillId="12" borderId="20" xfId="0" applyNumberFormat="1" applyFont="1" applyFill="1" applyBorder="1" applyAlignment="1">
      <alignment horizontal="right" vertical="center"/>
    </xf>
    <xf numFmtId="4" fontId="23" fillId="12" borderId="20" xfId="0" applyNumberFormat="1" applyFont="1" applyFill="1" applyBorder="1" applyAlignment="1">
      <alignment horizontal="right" vertical="center"/>
    </xf>
    <xf numFmtId="187" fontId="3" fillId="9" borderId="20" xfId="0" applyNumberFormat="1" applyFont="1" applyFill="1" applyBorder="1" applyAlignment="1">
      <alignment horizontal="center"/>
    </xf>
    <xf numFmtId="187" fontId="3" fillId="9" borderId="10" xfId="4" applyNumberFormat="1" applyFont="1" applyFill="1" applyBorder="1" applyAlignment="1">
      <alignment horizontal="center"/>
    </xf>
    <xf numFmtId="187" fontId="16" fillId="9" borderId="19" xfId="0" applyNumberFormat="1" applyFont="1" applyFill="1" applyBorder="1" applyAlignment="1">
      <alignment horizontal="center"/>
    </xf>
    <xf numFmtId="0" fontId="62" fillId="0" borderId="22" xfId="0" applyFont="1" applyBorder="1" applyAlignment="1">
      <alignment horizontal="left" vertical="center"/>
    </xf>
    <xf numFmtId="4" fontId="43" fillId="0" borderId="20" xfId="1" applyNumberFormat="1" applyFont="1" applyBorder="1" applyAlignment="1">
      <alignment horizontal="right" vertical="center"/>
    </xf>
    <xf numFmtId="43" fontId="43" fillId="0" borderId="20" xfId="1" applyFont="1" applyBorder="1" applyAlignment="1">
      <alignment horizontal="right" vertical="center"/>
    </xf>
    <xf numFmtId="4" fontId="32" fillId="0" borderId="20" xfId="1" applyNumberFormat="1" applyFont="1" applyBorder="1" applyAlignment="1">
      <alignment horizontal="right" vertical="center"/>
    </xf>
    <xf numFmtId="4" fontId="32" fillId="0" borderId="20" xfId="1" applyNumberFormat="1" applyFont="1" applyBorder="1" applyAlignment="1">
      <alignment vertical="center"/>
    </xf>
    <xf numFmtId="4" fontId="58" fillId="14" borderId="32" xfId="0" applyNumberFormat="1" applyFont="1" applyFill="1" applyBorder="1" applyAlignment="1">
      <alignment horizontal="right" vertical="center" wrapText="1" shrinkToFit="1"/>
    </xf>
    <xf numFmtId="0" fontId="62" fillId="0" borderId="23" xfId="0" applyFont="1" applyBorder="1" applyAlignment="1">
      <alignment vertical="center"/>
    </xf>
    <xf numFmtId="0" fontId="62" fillId="0" borderId="24" xfId="0" applyFont="1" applyBorder="1" applyAlignment="1">
      <alignment vertical="center"/>
    </xf>
    <xf numFmtId="0" fontId="25" fillId="15" borderId="22" xfId="0" applyFont="1" applyFill="1" applyBorder="1" applyAlignment="1">
      <alignment horizontal="center" vertical="center"/>
    </xf>
    <xf numFmtId="4" fontId="39" fillId="15" borderId="20" xfId="1" applyNumberFormat="1" applyFont="1" applyFill="1" applyBorder="1" applyAlignment="1">
      <alignment horizontal="right" vertical="center"/>
    </xf>
    <xf numFmtId="43" fontId="39" fillId="15" borderId="20" xfId="1" applyFont="1" applyFill="1" applyBorder="1" applyAlignment="1">
      <alignment horizontal="right" vertical="center"/>
    </xf>
    <xf numFmtId="4" fontId="25" fillId="15" borderId="20" xfId="1" applyNumberFormat="1" applyFont="1" applyFill="1" applyBorder="1" applyAlignment="1">
      <alignment horizontal="right" vertical="center"/>
    </xf>
    <xf numFmtId="4" fontId="25" fillId="15" borderId="20" xfId="1" applyNumberFormat="1" applyFont="1" applyFill="1" applyBorder="1" applyAlignment="1">
      <alignment vertical="center"/>
    </xf>
    <xf numFmtId="4" fontId="39" fillId="15" borderId="19" xfId="1" applyNumberFormat="1" applyFont="1" applyFill="1" applyBorder="1" applyAlignment="1">
      <alignment horizontal="right" vertical="center"/>
    </xf>
    <xf numFmtId="4" fontId="9" fillId="0" borderId="20" xfId="1" applyNumberFormat="1" applyFont="1" applyFill="1" applyBorder="1" applyAlignment="1">
      <alignment horizontal="right" vertical="center"/>
    </xf>
    <xf numFmtId="4" fontId="43" fillId="0" borderId="20" xfId="1" applyNumberFormat="1" applyFont="1" applyFill="1" applyBorder="1" applyAlignment="1">
      <alignment horizontal="right" vertical="center"/>
    </xf>
    <xf numFmtId="4" fontId="43" fillId="0" borderId="20" xfId="1" applyNumberFormat="1" applyFont="1" applyBorder="1" applyAlignment="1">
      <alignment vertical="center"/>
    </xf>
    <xf numFmtId="4" fontId="32" fillId="0" borderId="20" xfId="1" applyNumberFormat="1" applyFont="1" applyFill="1" applyBorder="1" applyAlignment="1">
      <alignment vertical="center"/>
    </xf>
    <xf numFmtId="4" fontId="43" fillId="0" borderId="20" xfId="1" applyNumberFormat="1" applyFont="1" applyFill="1" applyBorder="1" applyAlignment="1">
      <alignment vertical="center"/>
    </xf>
    <xf numFmtId="4" fontId="32" fillId="7" borderId="20" xfId="1" applyNumberFormat="1" applyFont="1" applyFill="1" applyBorder="1" applyAlignment="1">
      <alignment vertical="center"/>
    </xf>
    <xf numFmtId="4" fontId="43" fillId="7" borderId="20" xfId="1" applyNumberFormat="1" applyFont="1" applyFill="1" applyBorder="1" applyAlignment="1">
      <alignment vertical="center"/>
    </xf>
    <xf numFmtId="4" fontId="9" fillId="0" borderId="20" xfId="1" applyNumberFormat="1" applyFont="1" applyBorder="1" applyAlignment="1">
      <alignment horizontal="right" vertical="center"/>
    </xf>
    <xf numFmtId="0" fontId="28" fillId="5" borderId="22" xfId="0" applyFont="1" applyFill="1" applyBorder="1" applyAlignment="1">
      <alignment horizontal="left" vertical="center"/>
    </xf>
    <xf numFmtId="4" fontId="43" fillId="7" borderId="20" xfId="1" applyNumberFormat="1" applyFont="1" applyFill="1" applyBorder="1" applyAlignment="1">
      <alignment horizontal="right" vertical="center"/>
    </xf>
    <xf numFmtId="4" fontId="9" fillId="7" borderId="20" xfId="1" applyNumberFormat="1" applyFont="1" applyFill="1" applyBorder="1" applyAlignment="1">
      <alignment horizontal="right" vertical="center"/>
    </xf>
    <xf numFmtId="4" fontId="39" fillId="12" borderId="20" xfId="1" applyNumberFormat="1" applyFont="1" applyFill="1" applyBorder="1" applyAlignment="1">
      <alignment horizontal="right" vertical="center"/>
    </xf>
    <xf numFmtId="4" fontId="39" fillId="12" borderId="20" xfId="1" applyNumberFormat="1" applyFont="1" applyFill="1" applyBorder="1" applyAlignment="1">
      <alignment vertical="center"/>
    </xf>
    <xf numFmtId="4" fontId="50" fillId="12" borderId="20" xfId="1" applyNumberFormat="1" applyFont="1" applyFill="1" applyBorder="1" applyAlignment="1">
      <alignment vertical="center"/>
    </xf>
    <xf numFmtId="4" fontId="50" fillId="12" borderId="19" xfId="1" applyNumberFormat="1" applyFont="1" applyFill="1" applyBorder="1" applyAlignment="1">
      <alignment vertical="center"/>
    </xf>
    <xf numFmtId="4" fontId="32" fillId="0" borderId="26" xfId="1" applyNumberFormat="1" applyFont="1" applyBorder="1" applyAlignment="1">
      <alignment vertical="center"/>
    </xf>
    <xf numFmtId="4" fontId="25" fillId="15" borderId="26" xfId="1" applyNumberFormat="1" applyFont="1" applyFill="1" applyBorder="1" applyAlignment="1">
      <alignment vertical="center"/>
    </xf>
    <xf numFmtId="4" fontId="39" fillId="15" borderId="27" xfId="1" applyNumberFormat="1" applyFont="1" applyFill="1" applyBorder="1" applyAlignment="1">
      <alignment horizontal="right" vertical="center"/>
    </xf>
    <xf numFmtId="4" fontId="47" fillId="0" borderId="22" xfId="1" applyNumberFormat="1" applyFont="1" applyBorder="1" applyAlignment="1">
      <alignment vertical="center"/>
    </xf>
    <xf numFmtId="4" fontId="47" fillId="0" borderId="19" xfId="1" applyNumberFormat="1" applyFont="1" applyBorder="1" applyAlignment="1">
      <alignment vertical="center"/>
    </xf>
    <xf numFmtId="4" fontId="39" fillId="15" borderId="22" xfId="1" applyNumberFormat="1" applyFont="1" applyFill="1" applyBorder="1" applyAlignment="1">
      <alignment horizontal="right" vertical="center"/>
    </xf>
    <xf numFmtId="4" fontId="39" fillId="15" borderId="26" xfId="1" applyNumberFormat="1" applyFont="1" applyFill="1" applyBorder="1" applyAlignment="1">
      <alignment horizontal="right" vertical="center"/>
    </xf>
    <xf numFmtId="4" fontId="43" fillId="7" borderId="26" xfId="1" applyNumberFormat="1" applyFont="1" applyFill="1" applyBorder="1" applyAlignment="1">
      <alignment vertical="center"/>
    </xf>
    <xf numFmtId="4" fontId="48" fillId="7" borderId="19" xfId="1" applyNumberFormat="1" applyFont="1" applyFill="1" applyBorder="1" applyAlignment="1">
      <alignment vertical="center"/>
    </xf>
    <xf numFmtId="4" fontId="43" fillId="0" borderId="22" xfId="1" applyNumberFormat="1" applyFont="1" applyBorder="1" applyAlignment="1">
      <alignment vertical="center"/>
    </xf>
    <xf numFmtId="4" fontId="43" fillId="0" borderId="19" xfId="1" applyNumberFormat="1" applyFont="1" applyBorder="1" applyAlignment="1">
      <alignment vertical="center"/>
    </xf>
    <xf numFmtId="4" fontId="39" fillId="12" borderId="26" xfId="1" applyNumberFormat="1" applyFont="1" applyFill="1" applyBorder="1" applyAlignment="1">
      <alignment vertical="center"/>
    </xf>
    <xf numFmtId="4" fontId="50" fillId="12" borderId="22" xfId="1" applyNumberFormat="1" applyFont="1" applyFill="1" applyBorder="1" applyAlignment="1">
      <alignment vertical="center"/>
    </xf>
    <xf numFmtId="0" fontId="22" fillId="0" borderId="3" xfId="0" applyFont="1" applyBorder="1" applyAlignment="1">
      <alignment horizontal="left" vertical="center"/>
    </xf>
    <xf numFmtId="4" fontId="10" fillId="0" borderId="3" xfId="0" applyNumberFormat="1" applyFont="1" applyBorder="1" applyAlignment="1">
      <alignment horizontal="center" vertical="center"/>
    </xf>
    <xf numFmtId="187" fontId="10" fillId="0" borderId="3" xfId="0" applyNumberFormat="1" applyFont="1" applyBorder="1" applyAlignment="1">
      <alignment horizontal="center" vertical="center"/>
    </xf>
    <xf numFmtId="187" fontId="7" fillId="0" borderId="3" xfId="1" applyNumberFormat="1" applyFont="1" applyBorder="1" applyAlignment="1">
      <alignment horizontal="right" vertical="center"/>
    </xf>
    <xf numFmtId="4" fontId="26" fillId="0" borderId="3" xfId="0" applyNumberFormat="1" applyFont="1" applyBorder="1" applyAlignment="1">
      <alignment horizontal="right" vertical="center"/>
    </xf>
    <xf numFmtId="4" fontId="9" fillId="0" borderId="3" xfId="1" applyNumberFormat="1" applyFont="1" applyBorder="1" applyAlignment="1">
      <alignment horizontal="right" vertical="center"/>
    </xf>
    <xf numFmtId="4" fontId="9" fillId="0" borderId="3" xfId="0" applyNumberFormat="1" applyFont="1" applyBorder="1" applyAlignment="1">
      <alignment horizontal="right" vertical="center"/>
    </xf>
    <xf numFmtId="4" fontId="9" fillId="7" borderId="3" xfId="1" applyNumberFormat="1" applyFont="1" applyFill="1" applyBorder="1" applyAlignment="1">
      <alignment horizontal="right" vertical="center"/>
    </xf>
    <xf numFmtId="4" fontId="9" fillId="7" borderId="3" xfId="0" applyNumberFormat="1" applyFont="1" applyFill="1" applyBorder="1" applyAlignment="1">
      <alignment horizontal="right" vertical="center"/>
    </xf>
    <xf numFmtId="4" fontId="8" fillId="7" borderId="3" xfId="1" applyNumberFormat="1" applyFont="1" applyFill="1" applyBorder="1" applyAlignment="1">
      <alignment horizontal="right" vertical="center"/>
    </xf>
    <xf numFmtId="4" fontId="8" fillId="7" borderId="3" xfId="1" quotePrefix="1" applyNumberFormat="1" applyFont="1" applyFill="1" applyBorder="1" applyAlignment="1">
      <alignment horizontal="right" vertical="center"/>
    </xf>
    <xf numFmtId="4" fontId="26" fillId="7" borderId="12" xfId="1" applyNumberFormat="1" applyFont="1" applyFill="1" applyBorder="1" applyAlignment="1">
      <alignment horizontal="right" vertical="center"/>
    </xf>
    <xf numFmtId="4" fontId="63" fillId="14" borderId="20" xfId="0" applyNumberFormat="1" applyFont="1" applyFill="1" applyBorder="1" applyAlignment="1">
      <alignment horizontal="right" vertical="center" wrapText="1" shrinkToFit="1"/>
    </xf>
    <xf numFmtId="4" fontId="26" fillId="7" borderId="10" xfId="1" quotePrefix="1" applyNumberFormat="1" applyFont="1" applyFill="1" applyBorder="1" applyAlignment="1">
      <alignment horizontal="right" vertical="center"/>
    </xf>
    <xf numFmtId="4" fontId="26" fillId="7" borderId="19" xfId="1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4" fontId="32" fillId="0" borderId="3" xfId="0" applyNumberFormat="1" applyFont="1" applyBorder="1" applyAlignment="1">
      <alignment horizontal="right" vertical="center"/>
    </xf>
    <xf numFmtId="4" fontId="32" fillId="0" borderId="3" xfId="1" applyNumberFormat="1" applyFont="1" applyBorder="1" applyAlignment="1">
      <alignment horizontal="right" vertical="center"/>
    </xf>
    <xf numFmtId="4" fontId="32" fillId="7" borderId="3" xfId="1" applyNumberFormat="1" applyFont="1" applyFill="1" applyBorder="1" applyAlignment="1">
      <alignment horizontal="right" vertical="center"/>
    </xf>
    <xf numFmtId="4" fontId="32" fillId="7" borderId="3" xfId="0" applyNumberFormat="1" applyFont="1" applyFill="1" applyBorder="1" applyAlignment="1">
      <alignment horizontal="right" vertical="center"/>
    </xf>
    <xf numFmtId="4" fontId="31" fillId="7" borderId="3" xfId="1" applyNumberFormat="1" applyFont="1" applyFill="1" applyBorder="1" applyAlignment="1">
      <alignment horizontal="right" vertical="center"/>
    </xf>
    <xf numFmtId="4" fontId="42" fillId="7" borderId="3" xfId="1" applyNumberFormat="1" applyFont="1" applyFill="1" applyBorder="1" applyAlignment="1">
      <alignment horizontal="right" vertical="center"/>
    </xf>
    <xf numFmtId="4" fontId="43" fillId="7" borderId="3" xfId="1" applyNumberFormat="1" applyFont="1" applyFill="1" applyBorder="1" applyAlignment="1">
      <alignment horizontal="right" vertical="center"/>
    </xf>
    <xf numFmtId="4" fontId="43" fillId="7" borderId="3" xfId="0" applyNumberFormat="1" applyFont="1" applyFill="1" applyBorder="1" applyAlignment="1">
      <alignment horizontal="right" vertical="center"/>
    </xf>
    <xf numFmtId="4" fontId="31" fillId="7" borderId="3" xfId="1" quotePrefix="1" applyNumberFormat="1" applyFont="1" applyFill="1" applyBorder="1" applyAlignment="1">
      <alignment horizontal="right" vertical="center"/>
    </xf>
    <xf numFmtId="0" fontId="29" fillId="0" borderId="3" xfId="0" applyFont="1" applyBorder="1" applyAlignment="1">
      <alignment horizontal="left" vertical="center"/>
    </xf>
    <xf numFmtId="0" fontId="22" fillId="12" borderId="3" xfId="0" applyFont="1" applyFill="1" applyBorder="1" applyAlignment="1">
      <alignment vertical="center"/>
    </xf>
    <xf numFmtId="4" fontId="4" fillId="12" borderId="3" xfId="0" applyNumberFormat="1" applyFont="1" applyFill="1" applyBorder="1" applyAlignment="1">
      <alignment horizontal="center" vertical="center"/>
    </xf>
    <xf numFmtId="187" fontId="4" fillId="12" borderId="3" xfId="0" applyNumberFormat="1" applyFont="1" applyFill="1" applyBorder="1" applyAlignment="1">
      <alignment horizontal="center" vertical="center"/>
    </xf>
    <xf numFmtId="187" fontId="13" fillId="12" borderId="3" xfId="1" applyNumberFormat="1" applyFont="1" applyFill="1" applyBorder="1" applyAlignment="1">
      <alignment horizontal="right" vertical="center"/>
    </xf>
    <xf numFmtId="4" fontId="23" fillId="12" borderId="3" xfId="1" applyNumberFormat="1" applyFont="1" applyFill="1" applyBorder="1" applyAlignment="1">
      <alignment horizontal="right" vertical="center"/>
    </xf>
    <xf numFmtId="4" fontId="64" fillId="12" borderId="3" xfId="1" applyNumberFormat="1" applyFont="1" applyFill="1" applyBorder="1" applyAlignment="1">
      <alignment horizontal="right" vertical="center"/>
    </xf>
    <xf numFmtId="4" fontId="25" fillId="12" borderId="3" xfId="1" applyNumberFormat="1" applyFont="1" applyFill="1" applyBorder="1" applyAlignment="1">
      <alignment horizontal="center" vertical="center"/>
    </xf>
    <xf numFmtId="4" fontId="27" fillId="12" borderId="3" xfId="1" applyNumberFormat="1" applyFont="1" applyFill="1" applyBorder="1" applyAlignment="1">
      <alignment horizontal="right" vertical="center"/>
    </xf>
    <xf numFmtId="4" fontId="41" fillId="12" borderId="3" xfId="1" applyNumberFormat="1" applyFont="1" applyFill="1" applyBorder="1" applyAlignment="1">
      <alignment horizontal="right" vertical="center"/>
    </xf>
    <xf numFmtId="4" fontId="39" fillId="12" borderId="3" xfId="1" applyNumberFormat="1" applyFont="1" applyFill="1" applyBorder="1" applyAlignment="1">
      <alignment horizontal="right" vertical="center"/>
    </xf>
    <xf numFmtId="4" fontId="33" fillId="12" borderId="3" xfId="1" applyNumberFormat="1" applyFont="1" applyFill="1" applyBorder="1" applyAlignment="1">
      <alignment horizontal="right" vertical="center"/>
    </xf>
    <xf numFmtId="4" fontId="25" fillId="12" borderId="3" xfId="1" applyNumberFormat="1" applyFont="1" applyFill="1" applyBorder="1" applyAlignment="1">
      <alignment horizontal="right" vertical="center"/>
    </xf>
    <xf numFmtId="4" fontId="33" fillId="12" borderId="3" xfId="1" quotePrefix="1" applyNumberFormat="1" applyFont="1" applyFill="1" applyBorder="1" applyAlignment="1">
      <alignment horizontal="right" vertical="center"/>
    </xf>
    <xf numFmtId="4" fontId="29" fillId="12" borderId="3" xfId="1" applyNumberFormat="1" applyFont="1" applyFill="1" applyBorder="1" applyAlignment="1">
      <alignment horizontal="right" vertical="center"/>
    </xf>
    <xf numFmtId="4" fontId="25" fillId="12" borderId="12" xfId="1" applyNumberFormat="1" applyFont="1" applyFill="1" applyBorder="1" applyAlignment="1">
      <alignment horizontal="right" vertical="center"/>
    </xf>
    <xf numFmtId="4" fontId="25" fillId="12" borderId="20" xfId="1" applyNumberFormat="1" applyFont="1" applyFill="1" applyBorder="1" applyAlignment="1">
      <alignment horizontal="right" vertical="center"/>
    </xf>
    <xf numFmtId="4" fontId="25" fillId="12" borderId="10" xfId="1" quotePrefix="1" applyNumberFormat="1" applyFont="1" applyFill="1" applyBorder="1" applyAlignment="1">
      <alignment horizontal="right" vertical="center"/>
    </xf>
    <xf numFmtId="4" fontId="25" fillId="12" borderId="19" xfId="1" applyNumberFormat="1" applyFont="1" applyFill="1" applyBorder="1" applyAlignment="1">
      <alignment horizontal="right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/>
    <xf numFmtId="0" fontId="20" fillId="9" borderId="7" xfId="0" applyFont="1" applyFill="1" applyBorder="1" applyAlignment="1"/>
    <xf numFmtId="0" fontId="4" fillId="10" borderId="13" xfId="0" applyFont="1" applyFill="1" applyBorder="1" applyAlignment="1">
      <alignment horizontal="center" vertical="center"/>
    </xf>
    <xf numFmtId="0" fontId="16" fillId="10" borderId="12" xfId="0" applyFont="1" applyFill="1" applyBorder="1" applyAlignment="1">
      <alignment vertical="center"/>
    </xf>
    <xf numFmtId="0" fontId="16" fillId="10" borderId="10" xfId="0" applyFont="1" applyFill="1" applyBorder="1" applyAlignment="1">
      <alignment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9" fillId="15" borderId="22" xfId="0" applyFont="1" applyFill="1" applyBorder="1" applyAlignment="1">
      <alignment horizontal="center" vertical="center"/>
    </xf>
    <xf numFmtId="4" fontId="28" fillId="15" borderId="20" xfId="1" applyNumberFormat="1" applyFont="1" applyFill="1" applyBorder="1" applyAlignment="1">
      <alignment horizontal="right" vertical="center"/>
    </xf>
    <xf numFmtId="43" fontId="28" fillId="15" borderId="20" xfId="1" applyFont="1" applyFill="1" applyBorder="1" applyAlignment="1">
      <alignment horizontal="right" vertical="center"/>
    </xf>
    <xf numFmtId="4" fontId="29" fillId="15" borderId="20" xfId="1" applyNumberFormat="1" applyFont="1" applyFill="1" applyBorder="1" applyAlignment="1">
      <alignment horizontal="right" vertical="center"/>
    </xf>
    <xf numFmtId="4" fontId="29" fillId="15" borderId="20" xfId="1" applyNumberFormat="1" applyFont="1" applyFill="1" applyBorder="1" applyAlignment="1">
      <alignment vertical="center"/>
    </xf>
    <xf numFmtId="4" fontId="29" fillId="15" borderId="26" xfId="1" applyNumberFormat="1" applyFont="1" applyFill="1" applyBorder="1" applyAlignment="1">
      <alignment vertical="center"/>
    </xf>
    <xf numFmtId="4" fontId="28" fillId="15" borderId="22" xfId="1" applyNumberFormat="1" applyFont="1" applyFill="1" applyBorder="1" applyAlignment="1">
      <alignment horizontal="right" vertical="center"/>
    </xf>
    <xf numFmtId="4" fontId="28" fillId="15" borderId="19" xfId="1" applyNumberFormat="1" applyFont="1" applyFill="1" applyBorder="1" applyAlignment="1">
      <alignment horizontal="right" vertical="center"/>
    </xf>
    <xf numFmtId="4" fontId="28" fillId="15" borderId="27" xfId="1" applyNumberFormat="1" applyFont="1" applyFill="1" applyBorder="1" applyAlignment="1">
      <alignment horizontal="right" vertical="center"/>
    </xf>
    <xf numFmtId="4" fontId="28" fillId="15" borderId="26" xfId="1" applyNumberFormat="1" applyFont="1" applyFill="1" applyBorder="1" applyAlignment="1">
      <alignment horizontal="right" vertical="center"/>
    </xf>
    <xf numFmtId="4" fontId="40" fillId="0" borderId="20" xfId="1" applyNumberFormat="1" applyFont="1" applyBorder="1" applyAlignment="1">
      <alignment vertical="center"/>
    </xf>
    <xf numFmtId="0" fontId="28" fillId="0" borderId="22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4" fontId="26" fillId="0" borderId="20" xfId="1" applyNumberFormat="1" applyFont="1" applyBorder="1" applyAlignment="1">
      <alignment horizontal="right" vertical="center"/>
    </xf>
    <xf numFmtId="4" fontId="26" fillId="0" borderId="20" xfId="1" applyNumberFormat="1" applyFont="1" applyFill="1" applyBorder="1" applyAlignment="1">
      <alignment horizontal="right" vertical="center"/>
    </xf>
    <xf numFmtId="4" fontId="40" fillId="0" borderId="20" xfId="1" applyNumberFormat="1" applyFont="1" applyFill="1" applyBorder="1" applyAlignment="1">
      <alignment vertical="center"/>
    </xf>
    <xf numFmtId="4" fontId="40" fillId="0" borderId="26" xfId="1" applyNumberFormat="1" applyFont="1" applyBorder="1" applyAlignment="1">
      <alignment vertical="center"/>
    </xf>
    <xf numFmtId="4" fontId="47" fillId="0" borderId="20" xfId="1" applyNumberFormat="1" applyFont="1" applyFill="1" applyBorder="1" applyAlignment="1">
      <alignment vertical="center"/>
    </xf>
    <xf numFmtId="0" fontId="39" fillId="7" borderId="22" xfId="0" applyFont="1" applyFill="1" applyBorder="1" applyAlignment="1">
      <alignment horizontal="left" vertical="center"/>
    </xf>
    <xf numFmtId="0" fontId="51" fillId="12" borderId="22" xfId="0" applyFont="1" applyFill="1" applyBorder="1" applyAlignment="1">
      <alignment horizontal="center" vertical="center"/>
    </xf>
    <xf numFmtId="187" fontId="6" fillId="12" borderId="3" xfId="0" applyNumberFormat="1" applyFont="1" applyFill="1" applyBorder="1" applyAlignment="1">
      <alignment horizontal="right" vertical="center"/>
    </xf>
    <xf numFmtId="187" fontId="6" fillId="12" borderId="3" xfId="4" applyNumberFormat="1" applyFont="1" applyFill="1" applyBorder="1" applyAlignment="1">
      <alignment vertical="center"/>
    </xf>
    <xf numFmtId="0" fontId="68" fillId="0" borderId="23" xfId="0" applyFont="1" applyBorder="1" applyAlignment="1">
      <alignment vertical="center"/>
    </xf>
    <xf numFmtId="0" fontId="68" fillId="0" borderId="24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56" fillId="5" borderId="0" xfId="0" applyFont="1" applyFill="1" applyAlignment="1">
      <alignment horizontal="right"/>
    </xf>
    <xf numFmtId="0" fontId="56" fillId="5" borderId="0" xfId="0" applyFont="1" applyFill="1" applyAlignment="1">
      <alignment horizontal="right" indent="2"/>
    </xf>
    <xf numFmtId="0" fontId="70" fillId="13" borderId="0" xfId="0" applyFont="1" applyFill="1" applyBorder="1" applyAlignment="1"/>
    <xf numFmtId="0" fontId="70" fillId="6" borderId="0" xfId="2" applyFont="1" applyFill="1" applyBorder="1" applyAlignment="1"/>
    <xf numFmtId="0" fontId="70" fillId="5" borderId="0" xfId="0" applyFont="1" applyFill="1" applyBorder="1" applyAlignment="1"/>
    <xf numFmtId="0" fontId="9" fillId="5" borderId="0" xfId="0" applyFont="1" applyFill="1" applyBorder="1" applyAlignment="1"/>
    <xf numFmtId="4" fontId="71" fillId="14" borderId="20" xfId="0" applyNumberFormat="1" applyFont="1" applyFill="1" applyBorder="1" applyAlignment="1">
      <alignment horizontal="right" vertical="center" wrapText="1" shrinkToFit="1"/>
    </xf>
    <xf numFmtId="4" fontId="72" fillId="12" borderId="2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47" fillId="13" borderId="7" xfId="0" applyFont="1" applyFill="1" applyBorder="1" applyAlignment="1">
      <alignment horizontal="left"/>
    </xf>
    <xf numFmtId="0" fontId="5" fillId="10" borderId="8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 wrapText="1"/>
    </xf>
    <xf numFmtId="4" fontId="23" fillId="12" borderId="12" xfId="0" applyNumberFormat="1" applyFont="1" applyFill="1" applyBorder="1" applyAlignment="1">
      <alignment horizontal="right" vertical="center"/>
    </xf>
    <xf numFmtId="4" fontId="39" fillId="12" borderId="12" xfId="1" applyNumberFormat="1" applyFont="1" applyFill="1" applyBorder="1" applyAlignment="1">
      <alignment horizontal="right" vertical="center"/>
    </xf>
    <xf numFmtId="4" fontId="39" fillId="12" borderId="6" xfId="1" applyNumberFormat="1" applyFont="1" applyFill="1" applyBorder="1" applyAlignment="1">
      <alignment horizontal="right" vertical="center"/>
    </xf>
    <xf numFmtId="4" fontId="49" fillId="12" borderId="12" xfId="1" applyNumberFormat="1" applyFont="1" applyFill="1" applyBorder="1" applyAlignment="1">
      <alignment horizontal="right" vertical="center"/>
    </xf>
    <xf numFmtId="4" fontId="49" fillId="12" borderId="20" xfId="1" applyNumberFormat="1" applyFont="1" applyFill="1" applyBorder="1" applyAlignment="1">
      <alignment horizontal="right" vertical="center"/>
    </xf>
    <xf numFmtId="0" fontId="4" fillId="10" borderId="19" xfId="0" applyFont="1" applyFill="1" applyBorder="1" applyAlignment="1">
      <alignment horizontal="center" vertical="center"/>
    </xf>
    <xf numFmtId="0" fontId="51" fillId="9" borderId="12" xfId="0" applyFont="1" applyFill="1" applyBorder="1" applyAlignment="1">
      <alignment horizontal="center" vertical="center"/>
    </xf>
    <xf numFmtId="0" fontId="23" fillId="9" borderId="6" xfId="0" applyFont="1" applyFill="1" applyBorder="1" applyAlignment="1">
      <alignment horizontal="center" vertical="center"/>
    </xf>
    <xf numFmtId="0" fontId="51" fillId="9" borderId="20" xfId="0" applyFont="1" applyFill="1" applyBorder="1" applyAlignment="1">
      <alignment horizontal="center" vertical="center"/>
    </xf>
    <xf numFmtId="0" fontId="49" fillId="9" borderId="20" xfId="0" quotePrefix="1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4" fontId="73" fillId="14" borderId="33" xfId="0" applyNumberFormat="1" applyFont="1" applyFill="1" applyBorder="1" applyAlignment="1">
      <alignment horizontal="right" vertical="center" wrapText="1" shrinkToFit="1"/>
    </xf>
    <xf numFmtId="4" fontId="31" fillId="7" borderId="12" xfId="1" applyNumberFormat="1" applyFont="1" applyFill="1" applyBorder="1" applyAlignment="1">
      <alignment horizontal="right" vertical="center"/>
    </xf>
    <xf numFmtId="4" fontId="75" fillId="14" borderId="32" xfId="0" applyNumberFormat="1" applyFont="1" applyFill="1" applyBorder="1" applyAlignment="1">
      <alignment horizontal="right" vertical="center" wrapText="1" shrinkToFit="1"/>
    </xf>
    <xf numFmtId="4" fontId="75" fillId="14" borderId="20" xfId="0" applyNumberFormat="1" applyFont="1" applyFill="1" applyBorder="1" applyAlignment="1">
      <alignment horizontal="right" vertical="center" wrapText="1" shrinkToFit="1"/>
    </xf>
    <xf numFmtId="4" fontId="31" fillId="7" borderId="26" xfId="1" applyNumberFormat="1" applyFont="1" applyFill="1" applyBorder="1" applyAlignment="1">
      <alignment horizontal="right" vertical="center"/>
    </xf>
    <xf numFmtId="4" fontId="31" fillId="0" borderId="22" xfId="1" applyNumberFormat="1" applyFont="1" applyBorder="1" applyAlignment="1">
      <alignment vertical="center"/>
    </xf>
    <xf numFmtId="4" fontId="42" fillId="0" borderId="12" xfId="1" applyNumberFormat="1" applyFont="1" applyBorder="1" applyAlignment="1">
      <alignment vertical="center"/>
    </xf>
    <xf numFmtId="4" fontId="31" fillId="0" borderId="20" xfId="1" applyNumberFormat="1" applyFont="1" applyFill="1" applyBorder="1" applyAlignment="1">
      <alignment vertical="center"/>
    </xf>
    <xf numFmtId="4" fontId="7" fillId="7" borderId="6" xfId="0" applyNumberFormat="1" applyFont="1" applyFill="1" applyBorder="1" applyAlignment="1">
      <alignment horizontal="right" vertical="center"/>
    </xf>
    <xf numFmtId="4" fontId="75" fillId="14" borderId="25" xfId="0" applyNumberFormat="1" applyFont="1" applyFill="1" applyBorder="1" applyAlignment="1">
      <alignment horizontal="right" vertical="center" wrapText="1" shrinkToFit="1"/>
    </xf>
    <xf numFmtId="4" fontId="42" fillId="0" borderId="26" xfId="1" applyNumberFormat="1" applyFont="1" applyBorder="1" applyAlignment="1">
      <alignment vertical="center"/>
    </xf>
    <xf numFmtId="4" fontId="31" fillId="0" borderId="26" xfId="1" applyNumberFormat="1" applyFont="1" applyBorder="1" applyAlignment="1">
      <alignment vertical="center"/>
    </xf>
    <xf numFmtId="4" fontId="31" fillId="7" borderId="26" xfId="1" applyNumberFormat="1" applyFont="1" applyFill="1" applyBorder="1" applyAlignment="1">
      <alignment vertical="center"/>
    </xf>
    <xf numFmtId="4" fontId="74" fillId="14" borderId="32" xfId="0" applyNumberFormat="1" applyFont="1" applyFill="1" applyBorder="1" applyAlignment="1">
      <alignment horizontal="right" vertical="center" wrapText="1" shrinkToFit="1"/>
    </xf>
    <xf numFmtId="4" fontId="33" fillId="15" borderId="20" xfId="1" applyNumberFormat="1" applyFont="1" applyFill="1" applyBorder="1" applyAlignment="1">
      <alignment horizontal="right" vertical="center"/>
    </xf>
    <xf numFmtId="4" fontId="31" fillId="0" borderId="24" xfId="1" applyNumberFormat="1" applyFont="1" applyBorder="1" applyAlignment="1">
      <alignment vertical="center"/>
    </xf>
    <xf numFmtId="4" fontId="75" fillId="14" borderId="35" xfId="0" applyNumberFormat="1" applyFont="1" applyFill="1" applyBorder="1" applyAlignment="1">
      <alignment horizontal="right" vertical="center" wrapText="1" shrinkToFit="1"/>
    </xf>
    <xf numFmtId="4" fontId="42" fillId="0" borderId="10" xfId="1" applyNumberFormat="1" applyFont="1" applyBorder="1" applyAlignment="1">
      <alignment vertical="center"/>
    </xf>
    <xf numFmtId="4" fontId="31" fillId="0" borderId="31" xfId="1" applyNumberFormat="1" applyFont="1" applyBorder="1" applyAlignment="1">
      <alignment vertical="center"/>
    </xf>
    <xf numFmtId="4" fontId="33" fillId="15" borderId="26" xfId="1" applyNumberFormat="1" applyFont="1" applyFill="1" applyBorder="1" applyAlignment="1">
      <alignment horizontal="right" vertical="center"/>
    </xf>
    <xf numFmtId="4" fontId="33" fillId="15" borderId="12" xfId="1" applyNumberFormat="1" applyFont="1" applyFill="1" applyBorder="1" applyAlignment="1">
      <alignment horizontal="right" vertical="center"/>
    </xf>
    <xf numFmtId="4" fontId="8" fillId="7" borderId="10" xfId="0" applyNumberFormat="1" applyFont="1" applyFill="1" applyBorder="1" applyAlignment="1">
      <alignment horizontal="right" vertical="center"/>
    </xf>
    <xf numFmtId="4" fontId="31" fillId="7" borderId="20" xfId="0" applyNumberFormat="1" applyFont="1" applyFill="1" applyBorder="1" applyAlignment="1">
      <alignment horizontal="right" vertical="center"/>
    </xf>
    <xf numFmtId="4" fontId="31" fillId="7" borderId="26" xfId="0" applyNumberFormat="1" applyFont="1" applyFill="1" applyBorder="1" applyAlignment="1">
      <alignment horizontal="right" vertical="center"/>
    </xf>
    <xf numFmtId="0" fontId="33" fillId="10" borderId="2" xfId="0" applyFont="1" applyFill="1" applyBorder="1" applyAlignment="1">
      <alignment horizontal="center" vertical="center" wrapText="1"/>
    </xf>
    <xf numFmtId="191" fontId="4" fillId="3" borderId="1" xfId="0" applyNumberFormat="1" applyFont="1" applyFill="1" applyBorder="1"/>
    <xf numFmtId="191" fontId="6" fillId="3" borderId="1" xfId="0" applyNumberFormat="1" applyFont="1" applyFill="1" applyBorder="1" applyAlignment="1">
      <alignment horizontal="center"/>
    </xf>
    <xf numFmtId="191" fontId="6" fillId="3" borderId="1" xfId="0" applyNumberFormat="1" applyFont="1" applyFill="1" applyBorder="1" applyAlignment="1">
      <alignment horizontal="center" vertical="center"/>
    </xf>
    <xf numFmtId="191" fontId="2" fillId="3" borderId="1" xfId="0" applyNumberFormat="1" applyFont="1" applyFill="1" applyBorder="1" applyAlignment="1">
      <alignment horizontal="right" vertical="center"/>
    </xf>
    <xf numFmtId="191" fontId="6" fillId="3" borderId="1" xfId="0" applyNumberFormat="1" applyFont="1" applyFill="1" applyBorder="1" applyAlignment="1">
      <alignment horizontal="right" vertical="center"/>
    </xf>
    <xf numFmtId="191" fontId="34" fillId="3" borderId="1" xfId="0" applyNumberFormat="1" applyFont="1" applyFill="1" applyBorder="1" applyAlignment="1">
      <alignment horizontal="right" vertical="center"/>
    </xf>
    <xf numFmtId="191" fontId="6" fillId="3" borderId="17" xfId="0" applyNumberFormat="1" applyFont="1" applyFill="1" applyBorder="1" applyAlignment="1">
      <alignment horizontal="right" vertical="center"/>
    </xf>
    <xf numFmtId="191" fontId="10" fillId="3" borderId="1" xfId="0" applyNumberFormat="1" applyFont="1" applyFill="1" applyBorder="1" applyAlignment="1">
      <alignment horizontal="right" vertical="center"/>
    </xf>
    <xf numFmtId="191" fontId="11" fillId="3" borderId="1" xfId="0" applyNumberFormat="1" applyFont="1" applyFill="1" applyBorder="1" applyAlignment="1">
      <alignment horizontal="right" vertical="center"/>
    </xf>
    <xf numFmtId="191" fontId="13" fillId="3" borderId="1" xfId="0" applyNumberFormat="1" applyFont="1" applyFill="1" applyBorder="1" applyAlignment="1">
      <alignment horizontal="right" vertical="center"/>
    </xf>
    <xf numFmtId="191" fontId="4" fillId="3" borderId="1" xfId="0" applyNumberFormat="1" applyFont="1" applyFill="1" applyBorder="1" applyAlignment="1">
      <alignment horizontal="left" indent="1"/>
    </xf>
    <xf numFmtId="191" fontId="6" fillId="4" borderId="1" xfId="0" applyNumberFormat="1" applyFont="1" applyFill="1" applyBorder="1" applyAlignment="1">
      <alignment horizontal="center"/>
    </xf>
    <xf numFmtId="191" fontId="6" fillId="4" borderId="1" xfId="0" applyNumberFormat="1" applyFont="1" applyFill="1" applyBorder="1" applyAlignment="1">
      <alignment horizontal="center" vertical="center"/>
    </xf>
    <xf numFmtId="191" fontId="6" fillId="4" borderId="1" xfId="1" applyNumberFormat="1" applyFont="1" applyFill="1" applyBorder="1" applyAlignment="1">
      <alignment horizontal="center" vertical="center"/>
    </xf>
    <xf numFmtId="191" fontId="6" fillId="4" borderId="9" xfId="1" applyNumberFormat="1" applyFont="1" applyFill="1" applyBorder="1" applyAlignment="1">
      <alignment horizontal="center" vertical="center"/>
    </xf>
    <xf numFmtId="191" fontId="2" fillId="5" borderId="1" xfId="0" applyNumberFormat="1" applyFont="1" applyFill="1" applyBorder="1" applyAlignment="1">
      <alignment horizontal="right" vertical="center"/>
    </xf>
    <xf numFmtId="191" fontId="10" fillId="4" borderId="1" xfId="0" applyNumberFormat="1" applyFont="1" applyFill="1" applyBorder="1" applyAlignment="1">
      <alignment horizontal="right" vertical="center"/>
    </xf>
    <xf numFmtId="191" fontId="35" fillId="8" borderId="1" xfId="0" applyNumberFormat="1" applyFont="1" applyFill="1" applyBorder="1" applyAlignment="1">
      <alignment horizontal="right" vertical="center"/>
    </xf>
    <xf numFmtId="191" fontId="10" fillId="8" borderId="1" xfId="0" applyNumberFormat="1" applyFont="1" applyFill="1" applyBorder="1" applyAlignment="1">
      <alignment horizontal="right" vertical="center"/>
    </xf>
    <xf numFmtId="191" fontId="7" fillId="3" borderId="1" xfId="0" applyNumberFormat="1" applyFont="1" applyFill="1" applyBorder="1" applyAlignment="1">
      <alignment horizontal="right" vertical="center"/>
    </xf>
    <xf numFmtId="191" fontId="7" fillId="3" borderId="17" xfId="0" applyNumberFormat="1" applyFont="1" applyFill="1" applyBorder="1" applyAlignment="1">
      <alignment horizontal="right" vertical="center"/>
    </xf>
    <xf numFmtId="191" fontId="67" fillId="3" borderId="1" xfId="0" applyNumberFormat="1" applyFont="1" applyFill="1" applyBorder="1" applyAlignment="1">
      <alignment horizontal="right" vertical="center"/>
    </xf>
    <xf numFmtId="191" fontId="76" fillId="3" borderId="1" xfId="0" applyNumberFormat="1" applyFont="1" applyFill="1" applyBorder="1" applyAlignment="1">
      <alignment horizontal="right" vertical="center"/>
    </xf>
    <xf numFmtId="191" fontId="4" fillId="3" borderId="2" xfId="0" applyNumberFormat="1" applyFont="1" applyFill="1" applyBorder="1" applyAlignment="1">
      <alignment horizontal="left" indent="1"/>
    </xf>
    <xf numFmtId="191" fontId="6" fillId="3" borderId="2" xfId="0" applyNumberFormat="1" applyFont="1" applyFill="1" applyBorder="1" applyAlignment="1">
      <alignment horizontal="center"/>
    </xf>
    <xf numFmtId="191" fontId="6" fillId="3" borderId="2" xfId="0" applyNumberFormat="1" applyFont="1" applyFill="1" applyBorder="1" applyAlignment="1">
      <alignment horizontal="center" vertical="center"/>
    </xf>
    <xf numFmtId="191" fontId="2" fillId="3" borderId="2" xfId="0" applyNumberFormat="1" applyFont="1" applyFill="1" applyBorder="1" applyAlignment="1">
      <alignment horizontal="right" vertical="center"/>
    </xf>
    <xf numFmtId="191" fontId="6" fillId="3" borderId="5" xfId="0" applyNumberFormat="1" applyFont="1" applyFill="1" applyBorder="1" applyAlignment="1">
      <alignment horizontal="right" vertical="center"/>
    </xf>
    <xf numFmtId="191" fontId="34" fillId="3" borderId="2" xfId="0" applyNumberFormat="1" applyFont="1" applyFill="1" applyBorder="1" applyAlignment="1">
      <alignment horizontal="right" vertical="center"/>
    </xf>
    <xf numFmtId="191" fontId="6" fillId="3" borderId="2" xfId="0" applyNumberFormat="1" applyFont="1" applyFill="1" applyBorder="1" applyAlignment="1">
      <alignment horizontal="right" vertical="center"/>
    </xf>
    <xf numFmtId="191" fontId="6" fillId="3" borderId="18" xfId="0" applyNumberFormat="1" applyFont="1" applyFill="1" applyBorder="1" applyAlignment="1">
      <alignment horizontal="right" vertical="center"/>
    </xf>
    <xf numFmtId="191" fontId="10" fillId="3" borderId="2" xfId="0" applyNumberFormat="1" applyFont="1" applyFill="1" applyBorder="1" applyAlignment="1">
      <alignment horizontal="right" vertical="center"/>
    </xf>
    <xf numFmtId="191" fontId="11" fillId="3" borderId="2" xfId="0" applyNumberFormat="1" applyFont="1" applyFill="1" applyBorder="1" applyAlignment="1">
      <alignment horizontal="right" vertical="center"/>
    </xf>
    <xf numFmtId="191" fontId="13" fillId="3" borderId="2" xfId="0" applyNumberFormat="1" applyFont="1" applyFill="1" applyBorder="1" applyAlignment="1">
      <alignment horizontal="right" vertical="center"/>
    </xf>
    <xf numFmtId="191" fontId="6" fillId="3" borderId="9" xfId="0" applyNumberFormat="1" applyFont="1" applyFill="1" applyBorder="1" applyAlignment="1">
      <alignment horizontal="right" vertical="center"/>
    </xf>
    <xf numFmtId="191" fontId="6" fillId="4" borderId="0" xfId="0" applyNumberFormat="1" applyFont="1" applyFill="1" applyBorder="1" applyAlignment="1">
      <alignment horizontal="center"/>
    </xf>
    <xf numFmtId="191" fontId="6" fillId="4" borderId="0" xfId="0" applyNumberFormat="1" applyFont="1" applyFill="1" applyBorder="1" applyAlignment="1">
      <alignment horizontal="center" vertical="center"/>
    </xf>
    <xf numFmtId="191" fontId="2" fillId="4" borderId="1" xfId="0" applyNumberFormat="1" applyFont="1" applyFill="1" applyBorder="1" applyAlignment="1">
      <alignment horizontal="right" vertical="center"/>
    </xf>
    <xf numFmtId="191" fontId="6" fillId="14" borderId="14" xfId="0" applyNumberFormat="1" applyFont="1" applyFill="1" applyBorder="1" applyAlignment="1">
      <alignment horizontal="right" vertical="center"/>
    </xf>
    <xf numFmtId="191" fontId="6" fillId="14" borderId="14" xfId="0" applyNumberFormat="1" applyFont="1" applyFill="1" applyBorder="1" applyAlignment="1">
      <alignment vertical="center"/>
    </xf>
    <xf numFmtId="191" fontId="66" fillId="3" borderId="1" xfId="0" applyNumberFormat="1" applyFont="1" applyFill="1" applyBorder="1" applyAlignment="1">
      <alignment horizontal="right" vertical="center"/>
    </xf>
    <xf numFmtId="4" fontId="31" fillId="14" borderId="20" xfId="0" applyNumberFormat="1" applyFont="1" applyFill="1" applyBorder="1" applyAlignment="1">
      <alignment horizontal="right" vertical="center" wrapText="1" shrinkToFit="1"/>
    </xf>
    <xf numFmtId="4" fontId="27" fillId="15" borderId="20" xfId="1" applyNumberFormat="1" applyFont="1" applyFill="1" applyBorder="1" applyAlignment="1">
      <alignment horizontal="right" vertical="center"/>
    </xf>
    <xf numFmtId="4" fontId="33" fillId="12" borderId="20" xfId="1" applyNumberFormat="1" applyFont="1" applyFill="1" applyBorder="1" applyAlignment="1">
      <alignment vertical="center"/>
    </xf>
    <xf numFmtId="4" fontId="27" fillId="12" borderId="20" xfId="1" applyNumberFormat="1" applyFont="1" applyFill="1" applyBorder="1" applyAlignment="1">
      <alignment vertical="center"/>
    </xf>
    <xf numFmtId="4" fontId="8" fillId="0" borderId="22" xfId="1" applyNumberFormat="1" applyFont="1" applyBorder="1" applyAlignment="1">
      <alignment vertical="center"/>
    </xf>
    <xf numFmtId="4" fontId="27" fillId="15" borderId="22" xfId="1" applyNumberFormat="1" applyFont="1" applyFill="1" applyBorder="1" applyAlignment="1">
      <alignment horizontal="right" vertical="center"/>
    </xf>
    <xf numFmtId="4" fontId="27" fillId="15" borderId="26" xfId="1" applyNumberFormat="1" applyFont="1" applyFill="1" applyBorder="1" applyAlignment="1">
      <alignment horizontal="right" vertical="center"/>
    </xf>
    <xf numFmtId="4" fontId="8" fillId="14" borderId="20" xfId="0" applyNumberFormat="1" applyFont="1" applyFill="1" applyBorder="1" applyAlignment="1">
      <alignment horizontal="right" vertical="center" wrapText="1" shrinkToFit="1"/>
    </xf>
    <xf numFmtId="4" fontId="27" fillId="12" borderId="26" xfId="1" applyNumberFormat="1" applyFont="1" applyFill="1" applyBorder="1" applyAlignment="1">
      <alignment vertical="center"/>
    </xf>
    <xf numFmtId="187" fontId="3" fillId="0" borderId="6" xfId="1" applyNumberFormat="1" applyFont="1" applyBorder="1" applyAlignment="1">
      <alignment horizontal="right" vertical="center"/>
    </xf>
    <xf numFmtId="4" fontId="8" fillId="0" borderId="26" xfId="1" applyNumberFormat="1" applyFont="1" applyBorder="1" applyAlignment="1">
      <alignment horizontal="right" vertical="center"/>
    </xf>
    <xf numFmtId="4" fontId="33" fillId="12" borderId="22" xfId="1" applyNumberFormat="1" applyFont="1" applyFill="1" applyBorder="1" applyAlignment="1">
      <alignment vertical="center"/>
    </xf>
    <xf numFmtId="0" fontId="78" fillId="13" borderId="0" xfId="0" applyFont="1" applyFill="1" applyBorder="1" applyAlignment="1">
      <alignment vertical="center"/>
    </xf>
    <xf numFmtId="0" fontId="46" fillId="13" borderId="0" xfId="0" applyFont="1" applyFill="1" applyBorder="1" applyAlignment="1">
      <alignment vertical="center"/>
    </xf>
    <xf numFmtId="0" fontId="26" fillId="6" borderId="0" xfId="2" applyFont="1" applyFill="1" applyBorder="1" applyAlignment="1">
      <alignment vertical="center"/>
    </xf>
    <xf numFmtId="187" fontId="23" fillId="5" borderId="0" xfId="0" applyNumberFormat="1" applyFont="1" applyFill="1" applyBorder="1" applyAlignment="1">
      <alignment horizontal="right" vertical="center"/>
    </xf>
    <xf numFmtId="4" fontId="54" fillId="5" borderId="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26" fillId="5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9" fillId="2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189" fontId="10" fillId="5" borderId="0" xfId="0" applyNumberFormat="1" applyFont="1" applyFill="1" applyBorder="1" applyAlignment="1">
      <alignment vertical="center"/>
    </xf>
    <xf numFmtId="189" fontId="9" fillId="5" borderId="0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81" fillId="0" borderId="24" xfId="0" applyFont="1" applyBorder="1" applyAlignment="1">
      <alignment vertical="center"/>
    </xf>
    <xf numFmtId="0" fontId="82" fillId="0" borderId="24" xfId="0" applyFont="1" applyBorder="1" applyAlignment="1">
      <alignment vertical="center"/>
    </xf>
    <xf numFmtId="4" fontId="39" fillId="12" borderId="10" xfId="1" applyNumberFormat="1" applyFont="1" applyFill="1" applyBorder="1" applyAlignment="1">
      <alignment horizontal="right" vertical="center"/>
    </xf>
    <xf numFmtId="4" fontId="13" fillId="0" borderId="6" xfId="1" applyNumberFormat="1" applyFont="1" applyBorder="1" applyAlignment="1">
      <alignment horizontal="right"/>
    </xf>
    <xf numFmtId="0" fontId="57" fillId="2" borderId="4" xfId="0" applyFont="1" applyFill="1" applyBorder="1" applyAlignment="1"/>
    <xf numFmtId="0" fontId="57" fillId="2" borderId="4" xfId="0" applyFont="1" applyFill="1" applyBorder="1" applyAlignment="1">
      <alignment vertical="center"/>
    </xf>
    <xf numFmtId="49" fontId="59" fillId="0" borderId="0" xfId="0" applyNumberFormat="1" applyFont="1" applyAlignment="1">
      <alignment horizontal="right"/>
    </xf>
    <xf numFmtId="0" fontId="56" fillId="5" borderId="0" xfId="0" applyFont="1" applyFill="1" applyAlignment="1">
      <alignment vertical="center"/>
    </xf>
    <xf numFmtId="0" fontId="83" fillId="0" borderId="0" xfId="0" applyFont="1" applyAlignment="1">
      <alignment vertical="center"/>
    </xf>
    <xf numFmtId="0" fontId="83" fillId="0" borderId="0" xfId="0" applyFont="1"/>
    <xf numFmtId="191" fontId="5" fillId="3" borderId="14" xfId="0" applyNumberFormat="1" applyFont="1" applyFill="1" applyBorder="1" applyAlignment="1">
      <alignment horizontal="right" vertical="center"/>
    </xf>
    <xf numFmtId="191" fontId="5" fillId="3" borderId="16" xfId="0" applyNumberFormat="1" applyFont="1" applyFill="1" applyBorder="1" applyAlignment="1">
      <alignment horizontal="right" vertical="center"/>
    </xf>
    <xf numFmtId="191" fontId="3" fillId="3" borderId="14" xfId="0" applyNumberFormat="1" applyFont="1" applyFill="1" applyBorder="1" applyAlignment="1">
      <alignment horizontal="right" vertical="center"/>
    </xf>
    <xf numFmtId="191" fontId="3" fillId="3" borderId="17" xfId="0" applyNumberFormat="1" applyFont="1" applyFill="1" applyBorder="1" applyAlignment="1">
      <alignment horizontal="right" vertical="center"/>
    </xf>
    <xf numFmtId="191" fontId="5" fillId="3" borderId="15" xfId="0" applyNumberFormat="1" applyFont="1" applyFill="1" applyBorder="1" applyAlignment="1">
      <alignment horizontal="right" vertical="center"/>
    </xf>
    <xf numFmtId="191" fontId="5" fillId="3" borderId="18" xfId="0" applyNumberFormat="1" applyFont="1" applyFill="1" applyBorder="1" applyAlignment="1">
      <alignment horizontal="right" vertical="center"/>
    </xf>
    <xf numFmtId="191" fontId="5" fillId="14" borderId="14" xfId="0" applyNumberFormat="1" applyFont="1" applyFill="1" applyBorder="1" applyAlignment="1">
      <alignment vertical="center"/>
    </xf>
    <xf numFmtId="191" fontId="5" fillId="14" borderId="17" xfId="0" applyNumberFormat="1" applyFont="1" applyFill="1" applyBorder="1" applyAlignment="1">
      <alignment vertical="center"/>
    </xf>
    <xf numFmtId="4" fontId="8" fillId="7" borderId="22" xfId="0" applyNumberFormat="1" applyFont="1" applyFill="1" applyBorder="1" applyAlignment="1">
      <alignment horizontal="right" vertical="center"/>
    </xf>
    <xf numFmtId="4" fontId="8" fillId="7" borderId="19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4" fontId="8" fillId="0" borderId="26" xfId="1" applyNumberFormat="1" applyFont="1" applyBorder="1" applyAlignment="1">
      <alignment horizontal="right" vertical="center"/>
    </xf>
    <xf numFmtId="49" fontId="73" fillId="14" borderId="33" xfId="0" applyNumberFormat="1" applyFont="1" applyFill="1" applyBorder="1" applyAlignment="1">
      <alignment horizontal="left" vertical="center" wrapText="1" shrinkToFit="1"/>
    </xf>
    <xf numFmtId="49" fontId="84" fillId="19" borderId="33" xfId="0" applyNumberFormat="1" applyFont="1" applyFill="1" applyBorder="1" applyAlignment="1">
      <alignment horizontal="right" vertical="center" wrapText="1" shrinkToFit="1"/>
    </xf>
    <xf numFmtId="0" fontId="22" fillId="9" borderId="3" xfId="0" applyFont="1" applyFill="1" applyBorder="1" applyAlignment="1">
      <alignment horizontal="center" vertical="center"/>
    </xf>
    <xf numFmtId="0" fontId="51" fillId="9" borderId="3" xfId="0" applyFont="1" applyFill="1" applyBorder="1" applyAlignment="1">
      <alignment horizontal="center" vertical="center"/>
    </xf>
    <xf numFmtId="0" fontId="23" fillId="9" borderId="3" xfId="0" applyFont="1" applyFill="1" applyBorder="1" applyAlignment="1">
      <alignment horizontal="center" vertical="center"/>
    </xf>
    <xf numFmtId="187" fontId="27" fillId="0" borderId="0" xfId="1" applyNumberFormat="1" applyFont="1" applyBorder="1" applyAlignment="1">
      <alignment horizontal="right" vertical="center"/>
    </xf>
    <xf numFmtId="4" fontId="7" fillId="7" borderId="2" xfId="0" applyNumberFormat="1" applyFont="1" applyFill="1" applyBorder="1" applyAlignment="1">
      <alignment horizontal="right" vertical="center"/>
    </xf>
    <xf numFmtId="187" fontId="27" fillId="0" borderId="20" xfId="1" applyNumberFormat="1" applyFont="1" applyBorder="1" applyAlignment="1">
      <alignment horizontal="right" vertical="center"/>
    </xf>
    <xf numFmtId="187" fontId="27" fillId="0" borderId="27" xfId="1" applyNumberFormat="1" applyFont="1" applyBorder="1" applyAlignment="1">
      <alignment horizontal="right" vertical="center"/>
    </xf>
    <xf numFmtId="187" fontId="27" fillId="0" borderId="26" xfId="1" applyNumberFormat="1" applyFont="1" applyBorder="1" applyAlignment="1">
      <alignment horizontal="right" vertical="center"/>
    </xf>
    <xf numFmtId="49" fontId="5" fillId="12" borderId="3" xfId="0" applyNumberFormat="1" applyFont="1" applyFill="1" applyBorder="1" applyAlignment="1">
      <alignment horizontal="left" vertical="center" wrapText="1" shrinkToFit="1"/>
    </xf>
    <xf numFmtId="4" fontId="5" fillId="0" borderId="3" xfId="0" applyNumberFormat="1" applyFont="1" applyBorder="1" applyAlignment="1">
      <alignment horizontal="right" vertical="center"/>
    </xf>
    <xf numFmtId="4" fontId="5" fillId="12" borderId="3" xfId="0" applyNumberFormat="1" applyFont="1" applyFill="1" applyBorder="1" applyAlignment="1">
      <alignment horizontal="right" vertical="center"/>
    </xf>
    <xf numFmtId="0" fontId="85" fillId="18" borderId="33" xfId="0" applyNumberFormat="1" applyFont="1" applyFill="1" applyBorder="1" applyAlignment="1">
      <alignment horizontal="center" vertical="center" wrapText="1" shrinkToFit="1"/>
    </xf>
    <xf numFmtId="49" fontId="84" fillId="19" borderId="33" xfId="0" applyNumberFormat="1" applyFont="1" applyFill="1" applyBorder="1" applyAlignment="1">
      <alignment horizontal="left" vertical="center" wrapText="1" shrinkToFit="1"/>
    </xf>
    <xf numFmtId="0" fontId="15" fillId="0" borderId="0" xfId="0" applyFont="1" applyAlignment="1">
      <alignment horizontal="center"/>
    </xf>
    <xf numFmtId="22" fontId="73" fillId="14" borderId="33" xfId="0" applyNumberFormat="1" applyFont="1" applyFill="1" applyBorder="1" applyAlignment="1">
      <alignment horizontal="left" vertical="center" wrapText="1" shrinkToFit="1"/>
    </xf>
    <xf numFmtId="4" fontId="8" fillId="21" borderId="12" xfId="0" applyNumberFormat="1" applyFont="1" applyFill="1" applyBorder="1" applyAlignment="1">
      <alignment horizontal="right" vertical="center"/>
    </xf>
    <xf numFmtId="4" fontId="8" fillId="21" borderId="20" xfId="0" applyNumberFormat="1" applyFont="1" applyFill="1" applyBorder="1" applyAlignment="1">
      <alignment horizontal="right" vertical="center"/>
    </xf>
    <xf numFmtId="4" fontId="8" fillId="21" borderId="6" xfId="0" applyNumberFormat="1" applyFont="1" applyFill="1" applyBorder="1" applyAlignment="1">
      <alignment horizontal="right" vertical="center"/>
    </xf>
    <xf numFmtId="191" fontId="86" fillId="7" borderId="22" xfId="1" applyNumberFormat="1" applyFont="1" applyFill="1" applyBorder="1" applyAlignment="1">
      <alignment horizontal="right" vertical="center"/>
    </xf>
    <xf numFmtId="4" fontId="86" fillId="14" borderId="20" xfId="0" applyNumberFormat="1" applyFont="1" applyFill="1" applyBorder="1" applyAlignment="1">
      <alignment horizontal="right" vertical="center" wrapText="1" shrinkToFit="1"/>
    </xf>
    <xf numFmtId="191" fontId="86" fillId="7" borderId="20" xfId="1" applyNumberFormat="1" applyFont="1" applyFill="1" applyBorder="1" applyAlignment="1">
      <alignment horizontal="right" vertical="center"/>
    </xf>
    <xf numFmtId="191" fontId="86" fillId="7" borderId="19" xfId="1" applyNumberFormat="1" applyFont="1" applyFill="1" applyBorder="1" applyAlignment="1">
      <alignment horizontal="right" vertical="center"/>
    </xf>
    <xf numFmtId="191" fontId="87" fillId="7" borderId="19" xfId="1" applyNumberFormat="1" applyFont="1" applyFill="1" applyBorder="1" applyAlignment="1">
      <alignment horizontal="right" vertical="center"/>
    </xf>
    <xf numFmtId="191" fontId="88" fillId="12" borderId="22" xfId="1" applyNumberFormat="1" applyFont="1" applyFill="1" applyBorder="1" applyAlignment="1">
      <alignment horizontal="right" vertical="center"/>
    </xf>
    <xf numFmtId="191" fontId="89" fillId="12" borderId="20" xfId="1" applyNumberFormat="1" applyFont="1" applyFill="1" applyBorder="1" applyAlignment="1">
      <alignment horizontal="right" vertical="center"/>
    </xf>
    <xf numFmtId="191" fontId="89" fillId="12" borderId="19" xfId="1" applyNumberFormat="1" applyFont="1" applyFill="1" applyBorder="1" applyAlignment="1">
      <alignment horizontal="right" vertical="center"/>
    </xf>
    <xf numFmtId="4" fontId="86" fillId="0" borderId="22" xfId="1" applyNumberFormat="1" applyFont="1" applyBorder="1" applyAlignment="1">
      <alignment vertical="center"/>
    </xf>
    <xf numFmtId="191" fontId="86" fillId="0" borderId="20" xfId="1" applyNumberFormat="1" applyFont="1" applyBorder="1" applyAlignment="1">
      <alignment vertical="center"/>
    </xf>
    <xf numFmtId="191" fontId="87" fillId="0" borderId="19" xfId="1" applyNumberFormat="1" applyFont="1" applyBorder="1" applyAlignment="1">
      <alignment horizontal="right" vertical="center"/>
    </xf>
    <xf numFmtId="4" fontId="89" fillId="15" borderId="22" xfId="1" applyNumberFormat="1" applyFont="1" applyFill="1" applyBorder="1" applyAlignment="1">
      <alignment horizontal="right" vertical="center"/>
    </xf>
    <xf numFmtId="191" fontId="89" fillId="15" borderId="20" xfId="1" applyNumberFormat="1" applyFont="1" applyFill="1" applyBorder="1" applyAlignment="1">
      <alignment horizontal="right" vertical="center"/>
    </xf>
    <xf numFmtId="191" fontId="86" fillId="15" borderId="20" xfId="1" applyNumberFormat="1" applyFont="1" applyFill="1" applyBorder="1" applyAlignment="1">
      <alignment vertical="center"/>
    </xf>
    <xf numFmtId="191" fontId="89" fillId="15" borderId="20" xfId="1" applyNumberFormat="1" applyFont="1" applyFill="1" applyBorder="1" applyAlignment="1">
      <alignment vertical="center"/>
    </xf>
    <xf numFmtId="191" fontId="88" fillId="15" borderId="19" xfId="1" applyNumberFormat="1" applyFont="1" applyFill="1" applyBorder="1" applyAlignment="1">
      <alignment horizontal="right" vertical="center"/>
    </xf>
    <xf numFmtId="191" fontId="86" fillId="0" borderId="22" xfId="1" applyNumberFormat="1" applyFont="1" applyBorder="1" applyAlignment="1">
      <alignment vertical="center"/>
    </xf>
    <xf numFmtId="191" fontId="91" fillId="0" borderId="19" xfId="1" applyNumberFormat="1" applyFont="1" applyBorder="1" applyAlignment="1">
      <alignment horizontal="right" vertical="center"/>
    </xf>
    <xf numFmtId="191" fontId="89" fillId="15" borderId="22" xfId="1" applyNumberFormat="1" applyFont="1" applyFill="1" applyBorder="1" applyAlignment="1">
      <alignment horizontal="right" vertical="center"/>
    </xf>
    <xf numFmtId="191" fontId="90" fillId="15" borderId="19" xfId="1" applyNumberFormat="1" applyFont="1" applyFill="1" applyBorder="1" applyAlignment="1">
      <alignment horizontal="right" vertical="center"/>
    </xf>
    <xf numFmtId="191" fontId="86" fillId="0" borderId="19" xfId="1" applyNumberFormat="1" applyFont="1" applyBorder="1" applyAlignment="1">
      <alignment horizontal="right" vertical="center"/>
    </xf>
    <xf numFmtId="191" fontId="89" fillId="15" borderId="19" xfId="1" applyNumberFormat="1" applyFont="1" applyFill="1" applyBorder="1" applyAlignment="1">
      <alignment horizontal="right" vertical="center"/>
    </xf>
    <xf numFmtId="191" fontId="86" fillId="0" borderId="20" xfId="1" applyNumberFormat="1" applyFont="1" applyFill="1" applyBorder="1" applyAlignment="1">
      <alignment vertical="center"/>
    </xf>
    <xf numFmtId="191" fontId="86" fillId="0" borderId="20" xfId="1" applyNumberFormat="1" applyFont="1" applyBorder="1" applyAlignment="1">
      <alignment horizontal="right" vertical="center"/>
    </xf>
    <xf numFmtId="191" fontId="88" fillId="12" borderId="22" xfId="1" applyNumberFormat="1" applyFont="1" applyFill="1" applyBorder="1" applyAlignment="1">
      <alignment vertical="center"/>
    </xf>
    <xf numFmtId="191" fontId="88" fillId="12" borderId="20" xfId="1" applyNumberFormat="1" applyFont="1" applyFill="1" applyBorder="1" applyAlignment="1">
      <alignment vertical="center"/>
    </xf>
    <xf numFmtId="191" fontId="88" fillId="12" borderId="19" xfId="1" applyNumberFormat="1" applyFont="1" applyFill="1" applyBorder="1" applyAlignment="1">
      <alignment vertical="center"/>
    </xf>
    <xf numFmtId="0" fontId="92" fillId="0" borderId="0" xfId="0" applyFont="1" applyFill="1" applyBorder="1" applyAlignment="1">
      <alignment horizontal="right"/>
    </xf>
    <xf numFmtId="0" fontId="92" fillId="5" borderId="0" xfId="0" applyFont="1" applyFill="1" applyBorder="1" applyAlignment="1"/>
    <xf numFmtId="0" fontId="92" fillId="5" borderId="0" xfId="0" applyFont="1" applyFill="1" applyAlignment="1">
      <alignment horizontal="right"/>
    </xf>
    <xf numFmtId="4" fontId="92" fillId="5" borderId="0" xfId="0" applyNumberFormat="1" applyFont="1" applyFill="1" applyBorder="1" applyAlignment="1">
      <alignment horizontal="right" vertical="center"/>
    </xf>
    <xf numFmtId="4" fontId="92" fillId="5" borderId="0" xfId="0" applyNumberFormat="1" applyFont="1" applyFill="1" applyBorder="1" applyAlignment="1">
      <alignment vertical="center"/>
    </xf>
    <xf numFmtId="0" fontId="92" fillId="5" borderId="0" xfId="0" applyFont="1" applyFill="1" applyBorder="1" applyAlignment="1">
      <alignment vertical="center"/>
    </xf>
    <xf numFmtId="0" fontId="92" fillId="5" borderId="0" xfId="0" applyFont="1" applyFill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93" fillId="5" borderId="0" xfId="0" applyFont="1" applyFill="1" applyAlignment="1">
      <alignment horizontal="right" vertical="center"/>
    </xf>
    <xf numFmtId="0" fontId="92" fillId="3" borderId="0" xfId="0" applyFont="1" applyFill="1" applyAlignment="1">
      <alignment horizontal="right" vertical="center"/>
    </xf>
    <xf numFmtId="0" fontId="86" fillId="2" borderId="0" xfId="0" applyFont="1" applyFill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/>
    <xf numFmtId="0" fontId="4" fillId="11" borderId="12" xfId="0" applyFont="1" applyFill="1" applyBorder="1" applyAlignment="1">
      <alignment horizontal="left"/>
    </xf>
    <xf numFmtId="0" fontId="4" fillId="11" borderId="10" xfId="0" applyFont="1" applyFill="1" applyBorder="1" applyAlignment="1">
      <alignment horizontal="left"/>
    </xf>
    <xf numFmtId="0" fontId="4" fillId="11" borderId="6" xfId="0" applyFont="1" applyFill="1" applyBorder="1" applyAlignment="1">
      <alignment horizontal="left"/>
    </xf>
    <xf numFmtId="191" fontId="4" fillId="10" borderId="12" xfId="0" applyNumberFormat="1" applyFont="1" applyFill="1" applyBorder="1" applyAlignment="1">
      <alignment horizontal="left"/>
    </xf>
    <xf numFmtId="191" fontId="4" fillId="10" borderId="10" xfId="0" applyNumberFormat="1" applyFont="1" applyFill="1" applyBorder="1" applyAlignment="1">
      <alignment horizontal="left"/>
    </xf>
    <xf numFmtId="191" fontId="4" fillId="10" borderId="6" xfId="0" applyNumberFormat="1" applyFont="1" applyFill="1" applyBorder="1" applyAlignment="1">
      <alignment horizontal="left"/>
    </xf>
    <xf numFmtId="0" fontId="4" fillId="10" borderId="8" xfId="0" applyFont="1" applyFill="1" applyBorder="1" applyAlignment="1">
      <alignment horizontal="center" vertical="center"/>
    </xf>
    <xf numFmtId="0" fontId="21" fillId="9" borderId="2" xfId="0" applyFont="1" applyFill="1" applyBorder="1"/>
    <xf numFmtId="0" fontId="20" fillId="9" borderId="2" xfId="0" applyFont="1" applyFill="1" applyBorder="1"/>
    <xf numFmtId="0" fontId="5" fillId="10" borderId="8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16" fillId="10" borderId="11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77" fillId="12" borderId="0" xfId="0" applyFont="1" applyFill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1" fillId="16" borderId="0" xfId="0" applyFont="1" applyFill="1" applyAlignment="1">
      <alignment horizontal="center"/>
    </xf>
    <xf numFmtId="0" fontId="16" fillId="10" borderId="4" xfId="0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horizontal="center" vertical="center"/>
    </xf>
    <xf numFmtId="0" fontId="29" fillId="10" borderId="7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9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/>
    </xf>
    <xf numFmtId="0" fontId="24" fillId="9" borderId="6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85" fillId="18" borderId="33" xfId="0" applyNumberFormat="1" applyFont="1" applyFill="1" applyBorder="1" applyAlignment="1">
      <alignment horizontal="center" vertical="center" wrapText="1" shrinkToFit="1"/>
    </xf>
    <xf numFmtId="0" fontId="15" fillId="5" borderId="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 vertical="center"/>
    </xf>
    <xf numFmtId="0" fontId="84" fillId="14" borderId="0" xfId="0" applyNumberFormat="1" applyFont="1" applyFill="1" applyBorder="1" applyAlignment="1">
      <alignment horizontal="left" vertical="top" wrapText="1" shrinkToFit="1"/>
    </xf>
    <xf numFmtId="0" fontId="4" fillId="9" borderId="12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2" fillId="9" borderId="8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15" fillId="9" borderId="12" xfId="0" applyFont="1" applyFill="1" applyBorder="1" applyAlignment="1">
      <alignment horizontal="center"/>
    </xf>
    <xf numFmtId="0" fontId="15" fillId="9" borderId="10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/>
    </xf>
    <xf numFmtId="49" fontId="84" fillId="19" borderId="33" xfId="0" applyNumberFormat="1" applyFont="1" applyFill="1" applyBorder="1" applyAlignment="1">
      <alignment horizontal="left" vertical="center" wrapText="1" shrinkToFit="1"/>
    </xf>
    <xf numFmtId="0" fontId="72" fillId="0" borderId="4" xfId="0" applyFont="1" applyBorder="1" applyAlignment="1">
      <alignment horizontal="center"/>
    </xf>
    <xf numFmtId="0" fontId="72" fillId="0" borderId="36" xfId="0" applyFont="1" applyBorder="1" applyAlignment="1">
      <alignment horizontal="center"/>
    </xf>
    <xf numFmtId="4" fontId="8" fillId="0" borderId="20" xfId="1" applyNumberFormat="1" applyFont="1" applyBorder="1" applyAlignment="1">
      <alignment vertical="center"/>
    </xf>
    <xf numFmtId="0" fontId="73" fillId="20" borderId="33" xfId="0" applyNumberFormat="1" applyFont="1" applyFill="1" applyBorder="1" applyAlignment="1">
      <alignment horizontal="left" vertical="center" wrapText="1" shrinkToFit="1"/>
    </xf>
    <xf numFmtId="0" fontId="10" fillId="0" borderId="0" xfId="0" quotePrefix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191" fontId="86" fillId="0" borderId="19" xfId="1" applyNumberFormat="1" applyFont="1" applyBorder="1" applyAlignment="1">
      <alignment horizontal="right" vertical="center"/>
    </xf>
    <xf numFmtId="191" fontId="86" fillId="0" borderId="20" xfId="1" applyNumberFormat="1" applyFont="1" applyBorder="1" applyAlignment="1">
      <alignment vertical="center"/>
    </xf>
    <xf numFmtId="191" fontId="86" fillId="0" borderId="20" xfId="1" applyNumberFormat="1" applyFont="1" applyBorder="1" applyAlignment="1">
      <alignment horizontal="right" vertical="center"/>
    </xf>
    <xf numFmtId="0" fontId="3" fillId="17" borderId="12" xfId="0" applyFont="1" applyFill="1" applyBorder="1" applyAlignment="1">
      <alignment horizontal="left" vertical="center"/>
    </xf>
    <xf numFmtId="0" fontId="3" fillId="17" borderId="10" xfId="0" applyFont="1" applyFill="1" applyBorder="1" applyAlignment="1">
      <alignment horizontal="left" vertical="center"/>
    </xf>
    <xf numFmtId="0" fontId="3" fillId="17" borderId="7" xfId="0" applyFont="1" applyFill="1" applyBorder="1" applyAlignment="1">
      <alignment horizontal="left" vertical="center"/>
    </xf>
    <xf numFmtId="0" fontId="3" fillId="17" borderId="11" xfId="0" applyFont="1" applyFill="1" applyBorder="1" applyAlignment="1">
      <alignment horizontal="left" vertical="center"/>
    </xf>
    <xf numFmtId="4" fontId="32" fillId="0" borderId="28" xfId="1" applyNumberFormat="1" applyFont="1" applyBorder="1" applyAlignment="1">
      <alignment vertical="center"/>
    </xf>
    <xf numFmtId="4" fontId="32" fillId="0" borderId="25" xfId="1" applyNumberFormat="1" applyFont="1" applyBorder="1" applyAlignment="1">
      <alignment vertical="center"/>
    </xf>
    <xf numFmtId="4" fontId="31" fillId="0" borderId="30" xfId="1" applyNumberFormat="1" applyFont="1" applyBorder="1" applyAlignment="1">
      <alignment vertical="center"/>
    </xf>
    <xf numFmtId="4" fontId="31" fillId="0" borderId="31" xfId="1" applyNumberFormat="1" applyFont="1" applyBorder="1" applyAlignment="1">
      <alignment vertical="center"/>
    </xf>
    <xf numFmtId="4" fontId="86" fillId="0" borderId="22" xfId="1" applyNumberFormat="1" applyFont="1" applyBorder="1" applyAlignment="1">
      <alignment horizontal="right" vertical="center"/>
    </xf>
    <xf numFmtId="4" fontId="43" fillId="0" borderId="28" xfId="1" applyNumberFormat="1" applyFont="1" applyBorder="1" applyAlignment="1">
      <alignment vertical="center"/>
    </xf>
    <xf numFmtId="4" fontId="43" fillId="0" borderId="25" xfId="1" applyNumberFormat="1" applyFont="1" applyBorder="1" applyAlignment="1">
      <alignment vertical="center"/>
    </xf>
    <xf numFmtId="4" fontId="43" fillId="0" borderId="16" xfId="1" applyNumberFormat="1" applyFont="1" applyBorder="1" applyAlignment="1">
      <alignment vertical="center"/>
    </xf>
    <xf numFmtId="4" fontId="43" fillId="0" borderId="18" xfId="1" applyNumberFormat="1" applyFont="1" applyBorder="1" applyAlignment="1">
      <alignment vertical="center"/>
    </xf>
    <xf numFmtId="4" fontId="31" fillId="0" borderId="7" xfId="1" applyNumberFormat="1" applyFont="1" applyBorder="1" applyAlignment="1">
      <alignment horizontal="right" vertical="center"/>
    </xf>
    <xf numFmtId="4" fontId="31" fillId="0" borderId="4" xfId="1" applyNumberFormat="1" applyFont="1" applyBorder="1" applyAlignment="1">
      <alignment horizontal="right" vertical="center"/>
    </xf>
    <xf numFmtId="4" fontId="31" fillId="0" borderId="28" xfId="1" applyNumberFormat="1" applyFont="1" applyBorder="1" applyAlignment="1">
      <alignment vertical="center"/>
    </xf>
    <xf numFmtId="4" fontId="31" fillId="0" borderId="25" xfId="1" applyNumberFormat="1" applyFont="1" applyBorder="1" applyAlignment="1">
      <alignment vertical="center"/>
    </xf>
    <xf numFmtId="4" fontId="32" fillId="0" borderId="30" xfId="1" applyNumberFormat="1" applyFont="1" applyBorder="1" applyAlignment="1">
      <alignment vertical="center"/>
    </xf>
    <xf numFmtId="4" fontId="32" fillId="0" borderId="31" xfId="1" applyNumberFormat="1" applyFont="1" applyBorder="1" applyAlignment="1">
      <alignment vertical="center"/>
    </xf>
    <xf numFmtId="4" fontId="47" fillId="0" borderId="23" xfId="1" applyNumberFormat="1" applyFont="1" applyBorder="1" applyAlignment="1">
      <alignment horizontal="right" vertical="center"/>
    </xf>
    <xf numFmtId="4" fontId="47" fillId="0" borderId="24" xfId="1" applyNumberFormat="1" applyFont="1" applyBorder="1" applyAlignment="1">
      <alignment horizontal="right" vertical="center"/>
    </xf>
    <xf numFmtId="4" fontId="8" fillId="0" borderId="22" xfId="1" applyNumberFormat="1" applyFont="1" applyBorder="1" applyAlignment="1">
      <alignment horizontal="right" vertical="center"/>
    </xf>
    <xf numFmtId="4" fontId="8" fillId="0" borderId="26" xfId="1" applyNumberFormat="1" applyFont="1" applyBorder="1" applyAlignment="1">
      <alignment horizontal="right" vertical="center"/>
    </xf>
    <xf numFmtId="4" fontId="42" fillId="0" borderId="13" xfId="1" applyNumberFormat="1" applyFont="1" applyBorder="1" applyAlignment="1">
      <alignment vertical="center"/>
    </xf>
    <xf numFmtId="4" fontId="42" fillId="0" borderId="15" xfId="1" applyNumberFormat="1" applyFont="1" applyBorder="1" applyAlignment="1">
      <alignment vertical="center"/>
    </xf>
    <xf numFmtId="4" fontId="31" fillId="7" borderId="34" xfId="1" applyNumberFormat="1" applyFont="1" applyFill="1" applyBorder="1" applyAlignment="1">
      <alignment horizontal="center" vertical="center"/>
    </xf>
    <xf numFmtId="4" fontId="31" fillId="7" borderId="31" xfId="1" applyNumberFormat="1" applyFont="1" applyFill="1" applyBorder="1" applyAlignment="1">
      <alignment horizontal="center" vertical="center"/>
    </xf>
    <xf numFmtId="4" fontId="31" fillId="0" borderId="13" xfId="1" applyNumberFormat="1" applyFont="1" applyBorder="1" applyAlignment="1">
      <alignment horizontal="center" vertical="center"/>
    </xf>
    <xf numFmtId="4" fontId="31" fillId="0" borderId="15" xfId="1" applyNumberFormat="1" applyFont="1" applyBorder="1" applyAlignment="1">
      <alignment horizontal="center" vertical="center"/>
    </xf>
    <xf numFmtId="4" fontId="75" fillId="14" borderId="29" xfId="0" applyNumberFormat="1" applyFont="1" applyFill="1" applyBorder="1" applyAlignment="1">
      <alignment horizontal="center" vertical="center" wrapText="1" shrinkToFit="1"/>
    </xf>
    <xf numFmtId="4" fontId="75" fillId="14" borderId="25" xfId="0" applyNumberFormat="1" applyFont="1" applyFill="1" applyBorder="1" applyAlignment="1">
      <alignment horizontal="center" vertical="center" wrapText="1" shrinkToFit="1"/>
    </xf>
    <xf numFmtId="4" fontId="43" fillId="0" borderId="23" xfId="1" applyNumberFormat="1" applyFont="1" applyBorder="1" applyAlignment="1">
      <alignment horizontal="right" vertical="center"/>
    </xf>
    <xf numFmtId="4" fontId="43" fillId="0" borderId="24" xfId="1" applyNumberFormat="1" applyFont="1" applyBorder="1" applyAlignment="1">
      <alignment horizontal="right" vertical="center"/>
    </xf>
    <xf numFmtId="0" fontId="13" fillId="17" borderId="23" xfId="0" applyFont="1" applyFill="1" applyBorder="1" applyAlignment="1">
      <alignment horizontal="left" vertical="center"/>
    </xf>
    <xf numFmtId="0" fontId="13" fillId="17" borderId="28" xfId="0" applyFont="1" applyFill="1" applyBorder="1" applyAlignment="1">
      <alignment horizontal="left" vertical="center"/>
    </xf>
    <xf numFmtId="0" fontId="13" fillId="17" borderId="29" xfId="0" applyFont="1" applyFill="1" applyBorder="1" applyAlignment="1">
      <alignment horizontal="left" vertical="center"/>
    </xf>
    <xf numFmtId="0" fontId="13" fillId="17" borderId="17" xfId="0" applyFont="1" applyFill="1" applyBorder="1" applyAlignment="1">
      <alignment horizontal="left" vertical="center"/>
    </xf>
    <xf numFmtId="0" fontId="13" fillId="17" borderId="16" xfId="0" applyFont="1" applyFill="1" applyBorder="1" applyAlignment="1">
      <alignment horizontal="left" vertical="center"/>
    </xf>
    <xf numFmtId="0" fontId="3" fillId="17" borderId="23" xfId="0" applyFont="1" applyFill="1" applyBorder="1" applyAlignment="1">
      <alignment horizontal="left" vertical="center"/>
    </xf>
    <xf numFmtId="0" fontId="3" fillId="17" borderId="28" xfId="0" applyFont="1" applyFill="1" applyBorder="1" applyAlignment="1">
      <alignment horizontal="left" vertical="center"/>
    </xf>
    <xf numFmtId="0" fontId="3" fillId="17" borderId="29" xfId="0" applyFont="1" applyFill="1" applyBorder="1" applyAlignment="1">
      <alignment horizontal="left" vertical="center"/>
    </xf>
    <xf numFmtId="0" fontId="3" fillId="17" borderId="17" xfId="0" applyFont="1" applyFill="1" applyBorder="1" applyAlignment="1">
      <alignment horizontal="left" vertical="center"/>
    </xf>
    <xf numFmtId="0" fontId="65" fillId="17" borderId="23" xfId="0" applyFont="1" applyFill="1" applyBorder="1" applyAlignment="1">
      <alignment horizontal="left" vertical="center"/>
    </xf>
    <xf numFmtId="0" fontId="65" fillId="17" borderId="28" xfId="0" applyFont="1" applyFill="1" applyBorder="1" applyAlignment="1">
      <alignment horizontal="left" vertical="center"/>
    </xf>
    <xf numFmtId="0" fontId="65" fillId="17" borderId="29" xfId="0" applyFont="1" applyFill="1" applyBorder="1" applyAlignment="1">
      <alignment horizontal="left" vertical="center"/>
    </xf>
    <xf numFmtId="0" fontId="65" fillId="17" borderId="17" xfId="0" applyFont="1" applyFill="1" applyBorder="1" applyAlignment="1">
      <alignment horizontal="left" vertical="center"/>
    </xf>
    <xf numFmtId="4" fontId="42" fillId="0" borderId="28" xfId="1" applyNumberFormat="1" applyFont="1" applyBorder="1" applyAlignment="1">
      <alignment vertical="center"/>
    </xf>
    <xf numFmtId="4" fontId="42" fillId="0" borderId="25" xfId="1" applyNumberFormat="1" applyFont="1" applyBorder="1" applyAlignment="1">
      <alignment vertical="center"/>
    </xf>
    <xf numFmtId="4" fontId="42" fillId="0" borderId="30" xfId="1" applyNumberFormat="1" applyFont="1" applyBorder="1" applyAlignment="1">
      <alignment vertical="center"/>
    </xf>
    <xf numFmtId="4" fontId="42" fillId="0" borderId="31" xfId="1" applyNumberFormat="1" applyFont="1" applyBorder="1" applyAlignment="1">
      <alignment vertical="center"/>
    </xf>
    <xf numFmtId="191" fontId="86" fillId="0" borderId="22" xfId="1" applyNumberFormat="1" applyFont="1" applyBorder="1" applyAlignment="1">
      <alignment horizontal="right" vertical="center"/>
    </xf>
    <xf numFmtId="4" fontId="43" fillId="0" borderId="23" xfId="1" applyNumberFormat="1" applyFont="1" applyBorder="1" applyAlignment="1">
      <alignment vertical="center"/>
    </xf>
    <xf numFmtId="4" fontId="43" fillId="0" borderId="24" xfId="1" applyNumberFormat="1" applyFont="1" applyBorder="1" applyAlignment="1">
      <alignment vertical="center"/>
    </xf>
    <xf numFmtId="191" fontId="86" fillId="0" borderId="20" xfId="1" applyNumberFormat="1" applyFont="1" applyBorder="1" applyAlignment="1">
      <alignment horizontal="center" vertical="center"/>
    </xf>
    <xf numFmtId="191" fontId="87" fillId="0" borderId="20" xfId="1" applyNumberFormat="1" applyFont="1" applyBorder="1" applyAlignment="1">
      <alignment vertical="center"/>
    </xf>
    <xf numFmtId="0" fontId="5" fillId="9" borderId="8" xfId="0" quotePrefix="1" applyFont="1" applyFill="1" applyBorder="1" applyAlignment="1">
      <alignment horizontal="center" vertical="center" wrapText="1"/>
    </xf>
    <xf numFmtId="0" fontId="5" fillId="9" borderId="2" xfId="0" quotePrefix="1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/>
    </xf>
    <xf numFmtId="0" fontId="27" fillId="9" borderId="8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0" fillId="0" borderId="4" xfId="0" applyFont="1" applyBorder="1" applyAlignment="1">
      <alignment horizontal="left"/>
    </xf>
    <xf numFmtId="0" fontId="5" fillId="9" borderId="8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49" fontId="95" fillId="14" borderId="3" xfId="0" applyNumberFormat="1" applyFont="1" applyFill="1" applyBorder="1" applyAlignment="1">
      <alignment horizontal="left" vertical="center" wrapText="1" shrinkToFit="1"/>
    </xf>
    <xf numFmtId="4" fontId="95" fillId="14" borderId="3" xfId="0" applyNumberFormat="1" applyFont="1" applyFill="1" applyBorder="1" applyAlignment="1">
      <alignment horizontal="right" vertical="center" wrapText="1" shrinkToFit="1"/>
    </xf>
    <xf numFmtId="4" fontId="96" fillId="14" borderId="3" xfId="0" applyNumberFormat="1" applyFont="1" applyFill="1" applyBorder="1" applyAlignment="1">
      <alignment horizontal="right" vertical="center" wrapText="1" shrinkToFit="1"/>
    </xf>
    <xf numFmtId="4" fontId="96" fillId="12" borderId="3" xfId="0" applyNumberFormat="1" applyFont="1" applyFill="1" applyBorder="1" applyAlignment="1">
      <alignment horizontal="right" vertical="center" wrapText="1" shrinkToFit="1"/>
    </xf>
  </cellXfs>
  <cellStyles count="5">
    <cellStyle name="Comma" xfId="1" builtinId="3"/>
    <cellStyle name="Normal" xfId="0" builtinId="0"/>
    <cellStyle name="Normal 2 2" xfId="2"/>
    <cellStyle name="Normal 3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114300</xdr:rowOff>
    </xdr:from>
    <xdr:to>
      <xdr:col>2</xdr:col>
      <xdr:colOff>0</xdr:colOff>
      <xdr:row>5</xdr:row>
      <xdr:rowOff>247650</xdr:rowOff>
    </xdr:to>
    <xdr:sp macro="" textlink="">
      <xdr:nvSpPr>
        <xdr:cNvPr id="58528" name="AutoShape 1"/>
        <xdr:cNvSpPr>
          <a:spLocks noChangeArrowheads="1"/>
        </xdr:cNvSpPr>
      </xdr:nvSpPr>
      <xdr:spPr bwMode="auto">
        <a:xfrm>
          <a:off x="533400" y="2305050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5</xdr:row>
      <xdr:rowOff>247650</xdr:rowOff>
    </xdr:to>
    <xdr:sp macro="" textlink="">
      <xdr:nvSpPr>
        <xdr:cNvPr id="58529" name="AutoShape 2"/>
        <xdr:cNvSpPr>
          <a:spLocks noChangeArrowheads="1"/>
        </xdr:cNvSpPr>
      </xdr:nvSpPr>
      <xdr:spPr bwMode="auto">
        <a:xfrm>
          <a:off x="533400" y="2305050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5</xdr:row>
      <xdr:rowOff>247650</xdr:rowOff>
    </xdr:to>
    <xdr:sp macro="" textlink="">
      <xdr:nvSpPr>
        <xdr:cNvPr id="58530" name="AutoShape 3"/>
        <xdr:cNvSpPr>
          <a:spLocks noChangeArrowheads="1"/>
        </xdr:cNvSpPr>
      </xdr:nvSpPr>
      <xdr:spPr bwMode="auto">
        <a:xfrm>
          <a:off x="533400" y="2305050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171450</xdr:colOff>
      <xdr:row>5</xdr:row>
      <xdr:rowOff>114300</xdr:rowOff>
    </xdr:from>
    <xdr:to>
      <xdr:col>7</xdr:col>
      <xdr:colOff>276225</xdr:colOff>
      <xdr:row>5</xdr:row>
      <xdr:rowOff>247650</xdr:rowOff>
    </xdr:to>
    <xdr:sp macro="" textlink="">
      <xdr:nvSpPr>
        <xdr:cNvPr id="58531" name="AutoShape 4"/>
        <xdr:cNvSpPr>
          <a:spLocks noChangeArrowheads="1"/>
        </xdr:cNvSpPr>
      </xdr:nvSpPr>
      <xdr:spPr bwMode="auto">
        <a:xfrm>
          <a:off x="533400" y="2305050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142875</xdr:colOff>
      <xdr:row>5</xdr:row>
      <xdr:rowOff>114300</xdr:rowOff>
    </xdr:from>
    <xdr:to>
      <xdr:col>10</xdr:col>
      <xdr:colOff>247650</xdr:colOff>
      <xdr:row>5</xdr:row>
      <xdr:rowOff>247650</xdr:rowOff>
    </xdr:to>
    <xdr:sp macro="" textlink="">
      <xdr:nvSpPr>
        <xdr:cNvPr id="58532" name="AutoShape 5"/>
        <xdr:cNvSpPr>
          <a:spLocks noChangeArrowheads="1"/>
        </xdr:cNvSpPr>
      </xdr:nvSpPr>
      <xdr:spPr bwMode="auto">
        <a:xfrm>
          <a:off x="533400" y="2305050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104775</xdr:colOff>
      <xdr:row>5</xdr:row>
      <xdr:rowOff>114300</xdr:rowOff>
    </xdr:from>
    <xdr:to>
      <xdr:col>14</xdr:col>
      <xdr:colOff>209550</xdr:colOff>
      <xdr:row>5</xdr:row>
      <xdr:rowOff>247650</xdr:rowOff>
    </xdr:to>
    <xdr:sp macro="" textlink="">
      <xdr:nvSpPr>
        <xdr:cNvPr id="58533" name="AutoShape 6"/>
        <xdr:cNvSpPr>
          <a:spLocks noChangeArrowheads="1"/>
        </xdr:cNvSpPr>
      </xdr:nvSpPr>
      <xdr:spPr bwMode="auto">
        <a:xfrm>
          <a:off x="533400" y="2305050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5</xdr:row>
      <xdr:rowOff>114300</xdr:rowOff>
    </xdr:from>
    <xdr:to>
      <xdr:col>17</xdr:col>
      <xdr:colOff>180975</xdr:colOff>
      <xdr:row>5</xdr:row>
      <xdr:rowOff>247650</xdr:rowOff>
    </xdr:to>
    <xdr:sp macro="" textlink="">
      <xdr:nvSpPr>
        <xdr:cNvPr id="58534" name="AutoShape 7"/>
        <xdr:cNvSpPr>
          <a:spLocks noChangeArrowheads="1"/>
        </xdr:cNvSpPr>
      </xdr:nvSpPr>
      <xdr:spPr bwMode="auto">
        <a:xfrm>
          <a:off x="533400" y="2305050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104775</xdr:colOff>
      <xdr:row>5</xdr:row>
      <xdr:rowOff>114300</xdr:rowOff>
    </xdr:from>
    <xdr:to>
      <xdr:col>21</xdr:col>
      <xdr:colOff>209550</xdr:colOff>
      <xdr:row>5</xdr:row>
      <xdr:rowOff>247650</xdr:rowOff>
    </xdr:to>
    <xdr:sp macro="" textlink="">
      <xdr:nvSpPr>
        <xdr:cNvPr id="58535" name="AutoShape 8"/>
        <xdr:cNvSpPr>
          <a:spLocks noChangeArrowheads="1"/>
        </xdr:cNvSpPr>
      </xdr:nvSpPr>
      <xdr:spPr bwMode="auto">
        <a:xfrm>
          <a:off x="533400" y="2305050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104775</xdr:colOff>
      <xdr:row>5</xdr:row>
      <xdr:rowOff>114300</xdr:rowOff>
    </xdr:from>
    <xdr:to>
      <xdr:col>24</xdr:col>
      <xdr:colOff>209550</xdr:colOff>
      <xdr:row>5</xdr:row>
      <xdr:rowOff>247650</xdr:rowOff>
    </xdr:to>
    <xdr:sp macro="" textlink="">
      <xdr:nvSpPr>
        <xdr:cNvPr id="58536" name="AutoShape 9"/>
        <xdr:cNvSpPr>
          <a:spLocks noChangeArrowheads="1"/>
        </xdr:cNvSpPr>
      </xdr:nvSpPr>
      <xdr:spPr bwMode="auto">
        <a:xfrm>
          <a:off x="533400" y="2305050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76200</xdr:colOff>
      <xdr:row>21</xdr:row>
      <xdr:rowOff>85725</xdr:rowOff>
    </xdr:from>
    <xdr:to>
      <xdr:col>34</xdr:col>
      <xdr:colOff>142875</xdr:colOff>
      <xdr:row>21</xdr:row>
      <xdr:rowOff>190500</xdr:rowOff>
    </xdr:to>
    <xdr:sp macro="" textlink="">
      <xdr:nvSpPr>
        <xdr:cNvPr id="58537" name="AutoShape 10"/>
        <xdr:cNvSpPr>
          <a:spLocks noChangeArrowheads="1"/>
        </xdr:cNvSpPr>
      </xdr:nvSpPr>
      <xdr:spPr bwMode="auto">
        <a:xfrm>
          <a:off x="533400" y="9096375"/>
          <a:ext cx="0" cy="10477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85725</xdr:colOff>
      <xdr:row>5</xdr:row>
      <xdr:rowOff>95250</xdr:rowOff>
    </xdr:from>
    <xdr:to>
      <xdr:col>28</xdr:col>
      <xdr:colOff>190500</xdr:colOff>
      <xdr:row>5</xdr:row>
      <xdr:rowOff>228600</xdr:rowOff>
    </xdr:to>
    <xdr:sp macro="" textlink="">
      <xdr:nvSpPr>
        <xdr:cNvPr id="58538" name="AutoShape 11"/>
        <xdr:cNvSpPr>
          <a:spLocks noChangeArrowheads="1"/>
        </xdr:cNvSpPr>
      </xdr:nvSpPr>
      <xdr:spPr bwMode="auto">
        <a:xfrm>
          <a:off x="533400" y="2286000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66675</xdr:colOff>
      <xdr:row>5</xdr:row>
      <xdr:rowOff>104775</xdr:rowOff>
    </xdr:from>
    <xdr:to>
      <xdr:col>31</xdr:col>
      <xdr:colOff>171450</xdr:colOff>
      <xdr:row>5</xdr:row>
      <xdr:rowOff>238125</xdr:rowOff>
    </xdr:to>
    <xdr:sp macro="" textlink="">
      <xdr:nvSpPr>
        <xdr:cNvPr id="58539" name="AutoShape 12"/>
        <xdr:cNvSpPr>
          <a:spLocks noChangeArrowheads="1"/>
        </xdr:cNvSpPr>
      </xdr:nvSpPr>
      <xdr:spPr bwMode="auto">
        <a:xfrm>
          <a:off x="533400" y="2295525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76200</xdr:colOff>
      <xdr:row>5</xdr:row>
      <xdr:rowOff>95250</xdr:rowOff>
    </xdr:from>
    <xdr:to>
      <xdr:col>38</xdr:col>
      <xdr:colOff>180975</xdr:colOff>
      <xdr:row>5</xdr:row>
      <xdr:rowOff>228600</xdr:rowOff>
    </xdr:to>
    <xdr:sp macro="" textlink="">
      <xdr:nvSpPr>
        <xdr:cNvPr id="58540" name="AutoShape 15"/>
        <xdr:cNvSpPr>
          <a:spLocks noChangeArrowheads="1"/>
        </xdr:cNvSpPr>
      </xdr:nvSpPr>
      <xdr:spPr bwMode="auto">
        <a:xfrm>
          <a:off x="533400" y="2286000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57150</xdr:colOff>
      <xdr:row>5</xdr:row>
      <xdr:rowOff>114300</xdr:rowOff>
    </xdr:from>
    <xdr:to>
      <xdr:col>35</xdr:col>
      <xdr:colOff>152400</xdr:colOff>
      <xdr:row>5</xdr:row>
      <xdr:rowOff>247650</xdr:rowOff>
    </xdr:to>
    <xdr:sp macro="" textlink="">
      <xdr:nvSpPr>
        <xdr:cNvPr id="58541" name="AutoShape 16"/>
        <xdr:cNvSpPr>
          <a:spLocks noChangeArrowheads="1"/>
        </xdr:cNvSpPr>
      </xdr:nvSpPr>
      <xdr:spPr bwMode="auto">
        <a:xfrm>
          <a:off x="533400" y="2305050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133350</xdr:colOff>
      <xdr:row>21</xdr:row>
      <xdr:rowOff>76200</xdr:rowOff>
    </xdr:from>
    <xdr:to>
      <xdr:col>40</xdr:col>
      <xdr:colOff>238125</xdr:colOff>
      <xdr:row>21</xdr:row>
      <xdr:rowOff>209550</xdr:rowOff>
    </xdr:to>
    <xdr:sp macro="" textlink="">
      <xdr:nvSpPr>
        <xdr:cNvPr id="58542" name="AutoShape 13"/>
        <xdr:cNvSpPr>
          <a:spLocks noChangeArrowheads="1"/>
        </xdr:cNvSpPr>
      </xdr:nvSpPr>
      <xdr:spPr bwMode="auto">
        <a:xfrm>
          <a:off x="533400" y="9086850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142875</xdr:colOff>
      <xdr:row>21</xdr:row>
      <xdr:rowOff>38100</xdr:rowOff>
    </xdr:from>
    <xdr:to>
      <xdr:col>43</xdr:col>
      <xdr:colOff>247650</xdr:colOff>
      <xdr:row>21</xdr:row>
      <xdr:rowOff>171450</xdr:rowOff>
    </xdr:to>
    <xdr:sp macro="" textlink="">
      <xdr:nvSpPr>
        <xdr:cNvPr id="58543" name="AutoShape 13"/>
        <xdr:cNvSpPr>
          <a:spLocks noChangeArrowheads="1"/>
        </xdr:cNvSpPr>
      </xdr:nvSpPr>
      <xdr:spPr bwMode="auto">
        <a:xfrm>
          <a:off x="533400" y="9048750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55</xdr:col>
      <xdr:colOff>28575</xdr:colOff>
      <xdr:row>5</xdr:row>
      <xdr:rowOff>95250</xdr:rowOff>
    </xdr:from>
    <xdr:to>
      <xdr:col>55</xdr:col>
      <xdr:colOff>133350</xdr:colOff>
      <xdr:row>5</xdr:row>
      <xdr:rowOff>228600</xdr:rowOff>
    </xdr:to>
    <xdr:sp macro="" textlink="">
      <xdr:nvSpPr>
        <xdr:cNvPr id="58544" name="AutoShape 13"/>
        <xdr:cNvSpPr>
          <a:spLocks noChangeArrowheads="1"/>
        </xdr:cNvSpPr>
      </xdr:nvSpPr>
      <xdr:spPr bwMode="auto">
        <a:xfrm>
          <a:off x="533400" y="2286000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76200</xdr:colOff>
      <xdr:row>5</xdr:row>
      <xdr:rowOff>85725</xdr:rowOff>
    </xdr:from>
    <xdr:to>
      <xdr:col>57</xdr:col>
      <xdr:colOff>180975</xdr:colOff>
      <xdr:row>5</xdr:row>
      <xdr:rowOff>219075</xdr:rowOff>
    </xdr:to>
    <xdr:sp macro="" textlink="">
      <xdr:nvSpPr>
        <xdr:cNvPr id="58545" name="AutoShape 15"/>
        <xdr:cNvSpPr>
          <a:spLocks noChangeArrowheads="1"/>
        </xdr:cNvSpPr>
      </xdr:nvSpPr>
      <xdr:spPr bwMode="auto">
        <a:xfrm>
          <a:off x="533400" y="2276475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133350</xdr:colOff>
      <xdr:row>21</xdr:row>
      <xdr:rowOff>38100</xdr:rowOff>
    </xdr:from>
    <xdr:to>
      <xdr:col>46</xdr:col>
      <xdr:colOff>228600</xdr:colOff>
      <xdr:row>21</xdr:row>
      <xdr:rowOff>171450</xdr:rowOff>
    </xdr:to>
    <xdr:sp macro="" textlink="">
      <xdr:nvSpPr>
        <xdr:cNvPr id="58546" name="AutoShape 10"/>
        <xdr:cNvSpPr>
          <a:spLocks noChangeArrowheads="1"/>
        </xdr:cNvSpPr>
      </xdr:nvSpPr>
      <xdr:spPr bwMode="auto">
        <a:xfrm>
          <a:off x="533400" y="9048750"/>
          <a:ext cx="0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76200</xdr:colOff>
      <xdr:row>20</xdr:row>
      <xdr:rowOff>85725</xdr:rowOff>
    </xdr:from>
    <xdr:to>
      <xdr:col>34</xdr:col>
      <xdr:colOff>142875</xdr:colOff>
      <xdr:row>20</xdr:row>
      <xdr:rowOff>190500</xdr:rowOff>
    </xdr:to>
    <xdr:sp macro="" textlink="">
      <xdr:nvSpPr>
        <xdr:cNvPr id="58547" name="AutoShape 10"/>
        <xdr:cNvSpPr>
          <a:spLocks noChangeArrowheads="1"/>
        </xdr:cNvSpPr>
      </xdr:nvSpPr>
      <xdr:spPr bwMode="auto">
        <a:xfrm>
          <a:off x="533400" y="8753475"/>
          <a:ext cx="0" cy="10477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133350</xdr:colOff>
      <xdr:row>20</xdr:row>
      <xdr:rowOff>76200</xdr:rowOff>
    </xdr:from>
    <xdr:to>
      <xdr:col>40</xdr:col>
      <xdr:colOff>238125</xdr:colOff>
      <xdr:row>20</xdr:row>
      <xdr:rowOff>209550</xdr:rowOff>
    </xdr:to>
    <xdr:sp macro="" textlink="">
      <xdr:nvSpPr>
        <xdr:cNvPr id="58548" name="AutoShape 13"/>
        <xdr:cNvSpPr>
          <a:spLocks noChangeArrowheads="1"/>
        </xdr:cNvSpPr>
      </xdr:nvSpPr>
      <xdr:spPr bwMode="auto">
        <a:xfrm>
          <a:off x="533400" y="8743950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142875</xdr:colOff>
      <xdr:row>20</xdr:row>
      <xdr:rowOff>38100</xdr:rowOff>
    </xdr:from>
    <xdr:to>
      <xdr:col>43</xdr:col>
      <xdr:colOff>247650</xdr:colOff>
      <xdr:row>20</xdr:row>
      <xdr:rowOff>171450</xdr:rowOff>
    </xdr:to>
    <xdr:sp macro="" textlink="">
      <xdr:nvSpPr>
        <xdr:cNvPr id="58549" name="AutoShape 13"/>
        <xdr:cNvSpPr>
          <a:spLocks noChangeArrowheads="1"/>
        </xdr:cNvSpPr>
      </xdr:nvSpPr>
      <xdr:spPr bwMode="auto">
        <a:xfrm>
          <a:off x="533400" y="8705850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133350</xdr:colOff>
      <xdr:row>20</xdr:row>
      <xdr:rowOff>38100</xdr:rowOff>
    </xdr:from>
    <xdr:to>
      <xdr:col>46</xdr:col>
      <xdr:colOff>228600</xdr:colOff>
      <xdr:row>20</xdr:row>
      <xdr:rowOff>171450</xdr:rowOff>
    </xdr:to>
    <xdr:sp macro="" textlink="">
      <xdr:nvSpPr>
        <xdr:cNvPr id="58550" name="AutoShape 10"/>
        <xdr:cNvSpPr>
          <a:spLocks noChangeArrowheads="1"/>
        </xdr:cNvSpPr>
      </xdr:nvSpPr>
      <xdr:spPr bwMode="auto">
        <a:xfrm>
          <a:off x="533400" y="8705850"/>
          <a:ext cx="0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247650</xdr:colOff>
      <xdr:row>20</xdr:row>
      <xdr:rowOff>28575</xdr:rowOff>
    </xdr:from>
    <xdr:to>
      <xdr:col>49</xdr:col>
      <xdr:colOff>352425</xdr:colOff>
      <xdr:row>20</xdr:row>
      <xdr:rowOff>152400</xdr:rowOff>
    </xdr:to>
    <xdr:sp macro="" textlink="">
      <xdr:nvSpPr>
        <xdr:cNvPr id="58551" name="AutoShape 3"/>
        <xdr:cNvSpPr>
          <a:spLocks noChangeArrowheads="1"/>
        </xdr:cNvSpPr>
      </xdr:nvSpPr>
      <xdr:spPr bwMode="auto">
        <a:xfrm>
          <a:off x="533400" y="8696325"/>
          <a:ext cx="0" cy="123825"/>
        </a:xfrm>
        <a:prstGeom prst="flowChartExtra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38100</xdr:colOff>
      <xdr:row>19</xdr:row>
      <xdr:rowOff>228600</xdr:rowOff>
    </xdr:from>
    <xdr:to>
      <xdr:col>30</xdr:col>
      <xdr:colOff>142875</xdr:colOff>
      <xdr:row>20</xdr:row>
      <xdr:rowOff>180975</xdr:rowOff>
    </xdr:to>
    <xdr:sp macro="" textlink="">
      <xdr:nvSpPr>
        <xdr:cNvPr id="58552" name="AutoShape 9"/>
        <xdr:cNvSpPr>
          <a:spLocks noChangeArrowheads="1"/>
        </xdr:cNvSpPr>
      </xdr:nvSpPr>
      <xdr:spPr bwMode="auto">
        <a:xfrm>
          <a:off x="533400" y="8553450"/>
          <a:ext cx="0" cy="29527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57150</xdr:colOff>
      <xdr:row>20</xdr:row>
      <xdr:rowOff>57150</xdr:rowOff>
    </xdr:from>
    <xdr:to>
      <xdr:col>48</xdr:col>
      <xdr:colOff>142875</xdr:colOff>
      <xdr:row>20</xdr:row>
      <xdr:rowOff>219075</xdr:rowOff>
    </xdr:to>
    <xdr:sp macro="" textlink="">
      <xdr:nvSpPr>
        <xdr:cNvPr id="58553" name="AutoShape 16"/>
        <xdr:cNvSpPr>
          <a:spLocks noChangeArrowheads="1"/>
        </xdr:cNvSpPr>
      </xdr:nvSpPr>
      <xdr:spPr bwMode="auto">
        <a:xfrm>
          <a:off x="533400" y="8724900"/>
          <a:ext cx="0" cy="161925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</xdr:colOff>
      <xdr:row>13</xdr:row>
      <xdr:rowOff>28575</xdr:rowOff>
    </xdr:from>
    <xdr:to>
      <xdr:col>28</xdr:col>
      <xdr:colOff>85725</xdr:colOff>
      <xdr:row>13</xdr:row>
      <xdr:rowOff>152400</xdr:rowOff>
    </xdr:to>
    <xdr:sp macro="" textlink="">
      <xdr:nvSpPr>
        <xdr:cNvPr id="57538" name="AutoShape 10"/>
        <xdr:cNvSpPr>
          <a:spLocks noChangeArrowheads="1"/>
        </xdr:cNvSpPr>
      </xdr:nvSpPr>
      <xdr:spPr bwMode="auto">
        <a:xfrm>
          <a:off x="666750" y="5581650"/>
          <a:ext cx="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161925</xdr:colOff>
      <xdr:row>13</xdr:row>
      <xdr:rowOff>38100</xdr:rowOff>
    </xdr:from>
    <xdr:to>
      <xdr:col>45</xdr:col>
      <xdr:colOff>28575</xdr:colOff>
      <xdr:row>13</xdr:row>
      <xdr:rowOff>171450</xdr:rowOff>
    </xdr:to>
    <xdr:sp macro="" textlink="">
      <xdr:nvSpPr>
        <xdr:cNvPr id="57540" name="AutoShape 13"/>
        <xdr:cNvSpPr>
          <a:spLocks noChangeArrowheads="1"/>
        </xdr:cNvSpPr>
      </xdr:nvSpPr>
      <xdr:spPr bwMode="auto">
        <a:xfrm>
          <a:off x="1981200" y="5591175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38100</xdr:colOff>
      <xdr:row>12</xdr:row>
      <xdr:rowOff>228600</xdr:rowOff>
    </xdr:from>
    <xdr:to>
      <xdr:col>29</xdr:col>
      <xdr:colOff>142875</xdr:colOff>
      <xdr:row>13</xdr:row>
      <xdr:rowOff>180975</xdr:rowOff>
    </xdr:to>
    <xdr:sp macro="" textlink="">
      <xdr:nvSpPr>
        <xdr:cNvPr id="57541" name="AutoShape 9"/>
        <xdr:cNvSpPr>
          <a:spLocks noChangeArrowheads="1"/>
        </xdr:cNvSpPr>
      </xdr:nvSpPr>
      <xdr:spPr bwMode="auto">
        <a:xfrm>
          <a:off x="666750" y="5486400"/>
          <a:ext cx="0" cy="2476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76200</xdr:colOff>
      <xdr:row>14</xdr:row>
      <xdr:rowOff>85725</xdr:rowOff>
    </xdr:from>
    <xdr:to>
      <xdr:col>33</xdr:col>
      <xdr:colOff>142875</xdr:colOff>
      <xdr:row>14</xdr:row>
      <xdr:rowOff>190500</xdr:rowOff>
    </xdr:to>
    <xdr:sp macro="" textlink="">
      <xdr:nvSpPr>
        <xdr:cNvPr id="57542" name="AutoShape 10"/>
        <xdr:cNvSpPr>
          <a:spLocks noChangeArrowheads="1"/>
        </xdr:cNvSpPr>
      </xdr:nvSpPr>
      <xdr:spPr bwMode="auto">
        <a:xfrm>
          <a:off x="666750" y="5934075"/>
          <a:ext cx="0" cy="10477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133350</xdr:colOff>
      <xdr:row>14</xdr:row>
      <xdr:rowOff>76200</xdr:rowOff>
    </xdr:from>
    <xdr:to>
      <xdr:col>39</xdr:col>
      <xdr:colOff>238125</xdr:colOff>
      <xdr:row>14</xdr:row>
      <xdr:rowOff>209550</xdr:rowOff>
    </xdr:to>
    <xdr:sp macro="" textlink="">
      <xdr:nvSpPr>
        <xdr:cNvPr id="57543" name="AutoShape 13"/>
        <xdr:cNvSpPr>
          <a:spLocks noChangeArrowheads="1"/>
        </xdr:cNvSpPr>
      </xdr:nvSpPr>
      <xdr:spPr bwMode="auto">
        <a:xfrm>
          <a:off x="666750" y="5924550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76200</xdr:colOff>
      <xdr:row>13</xdr:row>
      <xdr:rowOff>85725</xdr:rowOff>
    </xdr:from>
    <xdr:to>
      <xdr:col>33</xdr:col>
      <xdr:colOff>142875</xdr:colOff>
      <xdr:row>13</xdr:row>
      <xdr:rowOff>190500</xdr:rowOff>
    </xdr:to>
    <xdr:sp macro="" textlink="">
      <xdr:nvSpPr>
        <xdr:cNvPr id="57544" name="AutoShape 10"/>
        <xdr:cNvSpPr>
          <a:spLocks noChangeArrowheads="1"/>
        </xdr:cNvSpPr>
      </xdr:nvSpPr>
      <xdr:spPr bwMode="auto">
        <a:xfrm>
          <a:off x="666750" y="5638800"/>
          <a:ext cx="0" cy="10477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133350</xdr:colOff>
      <xdr:row>13</xdr:row>
      <xdr:rowOff>76200</xdr:rowOff>
    </xdr:from>
    <xdr:to>
      <xdr:col>39</xdr:col>
      <xdr:colOff>238125</xdr:colOff>
      <xdr:row>13</xdr:row>
      <xdr:rowOff>209550</xdr:rowOff>
    </xdr:to>
    <xdr:sp macro="" textlink="">
      <xdr:nvSpPr>
        <xdr:cNvPr id="57545" name="AutoShape 13"/>
        <xdr:cNvSpPr>
          <a:spLocks noChangeArrowheads="1"/>
        </xdr:cNvSpPr>
      </xdr:nvSpPr>
      <xdr:spPr bwMode="auto">
        <a:xfrm>
          <a:off x="666750" y="5629275"/>
          <a:ext cx="0" cy="133350"/>
        </a:xfrm>
        <a:prstGeom prst="flowChartExtract">
          <a:avLst/>
        </a:prstGeom>
        <a:solidFill>
          <a:srgbClr val="FFFFFF"/>
        </a:solidFill>
        <a:ln w="1905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38100</xdr:colOff>
      <xdr:row>12</xdr:row>
      <xdr:rowOff>228600</xdr:rowOff>
    </xdr:from>
    <xdr:to>
      <xdr:col>29</xdr:col>
      <xdr:colOff>142875</xdr:colOff>
      <xdr:row>13</xdr:row>
      <xdr:rowOff>180975</xdr:rowOff>
    </xdr:to>
    <xdr:sp macro="" textlink="">
      <xdr:nvSpPr>
        <xdr:cNvPr id="57546" name="AutoShape 9"/>
        <xdr:cNvSpPr>
          <a:spLocks noChangeArrowheads="1"/>
        </xdr:cNvSpPr>
      </xdr:nvSpPr>
      <xdr:spPr bwMode="auto">
        <a:xfrm>
          <a:off x="666750" y="5486400"/>
          <a:ext cx="0" cy="2476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view="pageLayout" topLeftCell="A2" zoomScale="140" zoomScaleNormal="94" zoomScalePageLayoutView="140" workbookViewId="0">
      <selection activeCell="U8" sqref="U8:V8"/>
    </sheetView>
  </sheetViews>
  <sheetFormatPr defaultColWidth="9.125" defaultRowHeight="30" customHeight="1" x14ac:dyDescent="0.5"/>
  <cols>
    <col min="1" max="1" width="14.375" style="1" customWidth="1"/>
    <col min="2" max="3" width="0" style="1" hidden="1" customWidth="1"/>
    <col min="4" max="4" width="6.875" style="1" hidden="1" customWidth="1"/>
    <col min="5" max="5" width="6.75" style="1" hidden="1" customWidth="1"/>
    <col min="6" max="6" width="7.125" style="1" hidden="1" customWidth="1"/>
    <col min="7" max="7" width="2.375" style="1" hidden="1" customWidth="1"/>
    <col min="8" max="8" width="8.625" style="1" hidden="1" customWidth="1"/>
    <col min="9" max="9" width="8.125" style="1" hidden="1" customWidth="1"/>
    <col min="10" max="10" width="8" style="1" hidden="1" customWidth="1"/>
    <col min="11" max="11" width="8.625" style="1" hidden="1" customWidth="1"/>
    <col min="12" max="13" width="8.125" style="1" hidden="1" customWidth="1"/>
    <col min="14" max="14" width="11.75" style="1" hidden="1" customWidth="1"/>
    <col min="15" max="15" width="11.375" style="1" hidden="1" customWidth="1"/>
    <col min="16" max="16" width="10.625" style="1" hidden="1" customWidth="1"/>
    <col min="17" max="18" width="10.125" style="1" hidden="1" customWidth="1"/>
    <col min="19" max="22" width="8.875" style="1" customWidth="1"/>
    <col min="23" max="23" width="6.875" style="1" hidden="1" customWidth="1"/>
    <col min="24" max="26" width="6" style="1" customWidth="1"/>
    <col min="27" max="28" width="7.75" style="1" hidden="1" customWidth="1"/>
    <col min="29" max="30" width="6.625" style="1" hidden="1" customWidth="1"/>
    <col min="31" max="33" width="5.75" style="1" customWidth="1"/>
    <col min="34" max="16384" width="9.125" style="1"/>
  </cols>
  <sheetData>
    <row r="1" spans="1:41" ht="30" customHeight="1" x14ac:dyDescent="0.6">
      <c r="A1" s="540" t="s">
        <v>88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</row>
    <row r="2" spans="1:41" ht="30" customHeight="1" x14ac:dyDescent="0.55000000000000004">
      <c r="A2" s="545" t="s">
        <v>121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</row>
    <row r="3" spans="1:41" ht="30" customHeight="1" x14ac:dyDescent="0.55000000000000004">
      <c r="A3" s="545" t="s">
        <v>394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</row>
    <row r="4" spans="1:41" ht="30" customHeight="1" x14ac:dyDescent="0.5">
      <c r="W4" s="49"/>
      <c r="X4" s="49"/>
      <c r="Y4" s="49"/>
      <c r="Z4" s="49"/>
      <c r="AA4" s="49"/>
      <c r="AB4" s="49"/>
      <c r="AC4" s="49"/>
      <c r="AD4" s="49"/>
      <c r="AE4" s="49"/>
      <c r="AF4" s="49"/>
      <c r="AG4" s="144" t="s">
        <v>46</v>
      </c>
    </row>
    <row r="5" spans="1:41" s="2" customFormat="1" ht="23.25" customHeight="1" x14ac:dyDescent="0.5">
      <c r="A5" s="522" t="s">
        <v>7</v>
      </c>
      <c r="B5" s="97"/>
      <c r="C5" s="97"/>
      <c r="D5" s="131" t="s">
        <v>8</v>
      </c>
      <c r="E5" s="132"/>
      <c r="F5" s="132"/>
      <c r="G5" s="132"/>
      <c r="H5" s="132"/>
      <c r="I5" s="132"/>
      <c r="J5" s="132"/>
      <c r="K5" s="132"/>
      <c r="L5" s="132"/>
      <c r="M5" s="132"/>
      <c r="N5" s="531">
        <v>2556</v>
      </c>
      <c r="O5" s="532" t="s">
        <v>8</v>
      </c>
      <c r="P5" s="527"/>
      <c r="Q5" s="527"/>
      <c r="R5" s="527"/>
      <c r="S5" s="527"/>
      <c r="T5" s="527"/>
      <c r="U5" s="527"/>
      <c r="V5" s="529"/>
      <c r="W5" s="548" t="s">
        <v>153</v>
      </c>
      <c r="X5" s="548"/>
      <c r="Y5" s="548"/>
      <c r="Z5" s="549"/>
      <c r="AA5" s="136"/>
      <c r="AB5" s="280" t="s">
        <v>119</v>
      </c>
      <c r="AC5" s="281"/>
      <c r="AD5" s="536" t="s">
        <v>119</v>
      </c>
      <c r="AE5" s="536"/>
      <c r="AF5" s="536"/>
      <c r="AG5" s="537"/>
    </row>
    <row r="6" spans="1:41" s="2" customFormat="1" ht="23.25" customHeight="1" x14ac:dyDescent="0.5">
      <c r="A6" s="541"/>
      <c r="B6" s="97"/>
      <c r="C6" s="97"/>
      <c r="D6" s="277"/>
      <c r="E6" s="278"/>
      <c r="F6" s="278"/>
      <c r="G6" s="278"/>
      <c r="H6" s="278"/>
      <c r="I6" s="278"/>
      <c r="J6" s="278"/>
      <c r="K6" s="278"/>
      <c r="L6" s="132"/>
      <c r="M6" s="278"/>
      <c r="N6" s="531"/>
      <c r="O6" s="533"/>
      <c r="P6" s="534"/>
      <c r="Q6" s="534"/>
      <c r="R6" s="534"/>
      <c r="S6" s="534"/>
      <c r="T6" s="534"/>
      <c r="U6" s="534"/>
      <c r="V6" s="535"/>
      <c r="W6" s="550"/>
      <c r="X6" s="550"/>
      <c r="Y6" s="550"/>
      <c r="Z6" s="551"/>
      <c r="AA6" s="279"/>
      <c r="AB6" s="276"/>
      <c r="AC6" s="276"/>
      <c r="AD6" s="546" t="s">
        <v>120</v>
      </c>
      <c r="AE6" s="546"/>
      <c r="AF6" s="546"/>
      <c r="AG6" s="547"/>
    </row>
    <row r="7" spans="1:41" s="2" customFormat="1" ht="30" customHeight="1" x14ac:dyDescent="0.2">
      <c r="A7" s="541"/>
      <c r="B7" s="543">
        <v>2544</v>
      </c>
      <c r="C7" s="543">
        <v>2545</v>
      </c>
      <c r="D7" s="522">
        <v>2546</v>
      </c>
      <c r="E7" s="522">
        <v>2547</v>
      </c>
      <c r="F7" s="522">
        <v>2548</v>
      </c>
      <c r="G7" s="522">
        <v>2549</v>
      </c>
      <c r="H7" s="522">
        <v>2550</v>
      </c>
      <c r="I7" s="522">
        <v>2552</v>
      </c>
      <c r="J7" s="522">
        <v>2553</v>
      </c>
      <c r="K7" s="522">
        <v>2554</v>
      </c>
      <c r="L7" s="98">
        <v>2554</v>
      </c>
      <c r="M7" s="527">
        <v>2555</v>
      </c>
      <c r="N7" s="531"/>
      <c r="O7" s="522">
        <v>2557</v>
      </c>
      <c r="P7" s="138"/>
      <c r="Q7" s="529">
        <v>2558</v>
      </c>
      <c r="R7" s="529">
        <v>2559</v>
      </c>
      <c r="S7" s="529">
        <v>2560</v>
      </c>
      <c r="T7" s="529">
        <v>2561</v>
      </c>
      <c r="U7" s="165">
        <v>2561</v>
      </c>
      <c r="V7" s="327">
        <v>2562</v>
      </c>
      <c r="W7" s="525" t="s">
        <v>80</v>
      </c>
      <c r="X7" s="525" t="s">
        <v>125</v>
      </c>
      <c r="Y7" s="525" t="s">
        <v>126</v>
      </c>
      <c r="Z7" s="321" t="s">
        <v>150</v>
      </c>
      <c r="AA7" s="525">
        <v>2556</v>
      </c>
      <c r="AB7" s="525">
        <v>2557</v>
      </c>
      <c r="AC7" s="525">
        <v>2558</v>
      </c>
      <c r="AD7" s="538">
        <v>2559</v>
      </c>
      <c r="AE7" s="538">
        <v>2560</v>
      </c>
      <c r="AF7" s="538">
        <v>2561</v>
      </c>
      <c r="AG7" s="320">
        <v>2562</v>
      </c>
    </row>
    <row r="8" spans="1:41" s="2" customFormat="1" ht="30" customHeight="1" x14ac:dyDescent="0.5">
      <c r="A8" s="542"/>
      <c r="B8" s="544"/>
      <c r="C8" s="544"/>
      <c r="D8" s="523"/>
      <c r="E8" s="524"/>
      <c r="F8" s="524"/>
      <c r="G8" s="524"/>
      <c r="H8" s="524"/>
      <c r="I8" s="524"/>
      <c r="J8" s="524"/>
      <c r="K8" s="524"/>
      <c r="L8" s="99"/>
      <c r="M8" s="528"/>
      <c r="N8" s="531"/>
      <c r="O8" s="542"/>
      <c r="P8" s="139"/>
      <c r="Q8" s="530"/>
      <c r="R8" s="530"/>
      <c r="S8" s="530"/>
      <c r="T8" s="530"/>
      <c r="U8" s="552" t="s">
        <v>395</v>
      </c>
      <c r="V8" s="552"/>
      <c r="W8" s="526"/>
      <c r="X8" s="526"/>
      <c r="Y8" s="526"/>
      <c r="Z8" s="358" t="s">
        <v>396</v>
      </c>
      <c r="AA8" s="526"/>
      <c r="AB8" s="526"/>
      <c r="AC8" s="526"/>
      <c r="AD8" s="539"/>
      <c r="AE8" s="539"/>
      <c r="AF8" s="539"/>
      <c r="AG8" s="358" t="s">
        <v>396</v>
      </c>
      <c r="AH8" s="3"/>
      <c r="AI8" s="3"/>
      <c r="AJ8" s="3"/>
      <c r="AK8" s="3"/>
      <c r="AL8" s="3"/>
      <c r="AM8" s="3"/>
      <c r="AN8" s="3"/>
      <c r="AO8" s="3"/>
    </row>
    <row r="9" spans="1:41" s="3" customFormat="1" ht="30" customHeight="1" x14ac:dyDescent="0.5">
      <c r="A9" s="516" t="s">
        <v>122</v>
      </c>
      <c r="B9" s="517"/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8"/>
    </row>
    <row r="10" spans="1:41" s="3" customFormat="1" ht="30" customHeight="1" x14ac:dyDescent="0.5">
      <c r="A10" s="359" t="s">
        <v>9</v>
      </c>
      <c r="B10" s="360">
        <f t="shared" ref="B10:H10" si="0">+B11+B12</f>
        <v>51530.6</v>
      </c>
      <c r="C10" s="360">
        <f t="shared" si="0"/>
        <v>52858.8</v>
      </c>
      <c r="D10" s="361">
        <f t="shared" si="0"/>
        <v>55411.3</v>
      </c>
      <c r="E10" s="361">
        <f t="shared" si="0"/>
        <v>78863</v>
      </c>
      <c r="F10" s="361">
        <f t="shared" si="0"/>
        <v>100295.64</v>
      </c>
      <c r="G10" s="361">
        <f t="shared" si="0"/>
        <v>117556.908</v>
      </c>
      <c r="H10" s="362">
        <f t="shared" si="0"/>
        <v>113073.74</v>
      </c>
      <c r="I10" s="363">
        <f t="shared" ref="I10:V10" si="1">+I11+I12</f>
        <v>148628.29</v>
      </c>
      <c r="J10" s="363">
        <f t="shared" si="1"/>
        <v>155631.63</v>
      </c>
      <c r="K10" s="364">
        <f t="shared" si="1"/>
        <v>192390.97</v>
      </c>
      <c r="L10" s="364">
        <f t="shared" si="1"/>
        <v>192390.97</v>
      </c>
      <c r="M10" s="364">
        <f t="shared" si="1"/>
        <v>211343.65999999997</v>
      </c>
      <c r="N10" s="362">
        <f>+N11+N12</f>
        <v>238211.61</v>
      </c>
      <c r="O10" s="362">
        <f>+O11+O12</f>
        <v>263546.22000000003</v>
      </c>
      <c r="P10" s="362">
        <f>+P11+P12</f>
        <v>263546.22000000003</v>
      </c>
      <c r="Q10" s="362">
        <f t="shared" si="1"/>
        <v>261872.90999999997</v>
      </c>
      <c r="R10" s="363">
        <f>+R11+R12</f>
        <v>230139.07</v>
      </c>
      <c r="S10" s="363">
        <f>+S11+S12</f>
        <v>230491.26</v>
      </c>
      <c r="T10" s="365">
        <f t="shared" ref="T10" si="2">+T11+T12</f>
        <v>246138.89</v>
      </c>
      <c r="U10" s="444">
        <f>+U11+U12</f>
        <v>225516.01</v>
      </c>
      <c r="V10" s="445">
        <f t="shared" si="1"/>
        <v>217950.6</v>
      </c>
      <c r="W10" s="366">
        <f t="shared" ref="W10:Y12" si="3">SUM(R10-Q10)*100/Q10</f>
        <v>-12.118030841754488</v>
      </c>
      <c r="X10" s="367">
        <f t="shared" si="3"/>
        <v>0.15303355488487996</v>
      </c>
      <c r="Y10" s="367">
        <f t="shared" si="3"/>
        <v>6.7888170683782123</v>
      </c>
      <c r="Z10" s="368">
        <f>SUM(V10-U10)*100/U10</f>
        <v>-3.3547108251870914</v>
      </c>
      <c r="AA10" s="367">
        <v>100</v>
      </c>
      <c r="AB10" s="367">
        <v>100</v>
      </c>
      <c r="AC10" s="367">
        <v>100</v>
      </c>
      <c r="AD10" s="367">
        <v>100</v>
      </c>
      <c r="AE10" s="367">
        <v>100</v>
      </c>
      <c r="AF10" s="367">
        <v>100</v>
      </c>
      <c r="AG10" s="367">
        <v>100</v>
      </c>
    </row>
    <row r="11" spans="1:41" s="3" customFormat="1" ht="30" customHeight="1" x14ac:dyDescent="0.5">
      <c r="A11" s="369" t="s">
        <v>1</v>
      </c>
      <c r="B11" s="370">
        <v>15742.9</v>
      </c>
      <c r="C11" s="370">
        <v>13935.3</v>
      </c>
      <c r="D11" s="371">
        <v>18197.8</v>
      </c>
      <c r="E11" s="372">
        <v>24344.22</v>
      </c>
      <c r="F11" s="373">
        <v>28382.22</v>
      </c>
      <c r="G11" s="372">
        <v>28849.003000000001</v>
      </c>
      <c r="H11" s="374">
        <v>33043.11</v>
      </c>
      <c r="I11" s="375">
        <v>52652.37</v>
      </c>
      <c r="J11" s="375">
        <v>65631.179999999993</v>
      </c>
      <c r="K11" s="376">
        <v>85879.95</v>
      </c>
      <c r="L11" s="376">
        <v>85879.95</v>
      </c>
      <c r="M11" s="376">
        <v>96523.51</v>
      </c>
      <c r="N11" s="377">
        <v>114520.67</v>
      </c>
      <c r="O11" s="377">
        <v>136270.14000000001</v>
      </c>
      <c r="P11" s="377">
        <v>136270.14000000001</v>
      </c>
      <c r="Q11" s="377">
        <v>140687.32999999999</v>
      </c>
      <c r="R11" s="378">
        <v>146534.57</v>
      </c>
      <c r="S11" s="378">
        <v>146142.29999999999</v>
      </c>
      <c r="T11" s="379">
        <v>148185.57</v>
      </c>
      <c r="U11" s="446">
        <v>136790.21</v>
      </c>
      <c r="V11" s="447">
        <v>123733.32</v>
      </c>
      <c r="W11" s="366">
        <f t="shared" si="3"/>
        <v>4.1561951598626692</v>
      </c>
      <c r="X11" s="380">
        <f t="shared" si="3"/>
        <v>-0.26769792274957277</v>
      </c>
      <c r="Y11" s="367">
        <f t="shared" si="3"/>
        <v>1.3981372949515771</v>
      </c>
      <c r="Z11" s="381">
        <f>SUM(V11-U11)*100/U11</f>
        <v>-9.5451933292594457</v>
      </c>
      <c r="AA11" s="367">
        <v>100</v>
      </c>
      <c r="AB11" s="367">
        <v>100</v>
      </c>
      <c r="AC11" s="367">
        <v>100</v>
      </c>
      <c r="AD11" s="367">
        <v>100</v>
      </c>
      <c r="AE11" s="367">
        <v>100</v>
      </c>
      <c r="AF11" s="367">
        <v>100</v>
      </c>
      <c r="AG11" s="367">
        <v>100</v>
      </c>
    </row>
    <row r="12" spans="1:41" s="3" customFormat="1" ht="30" customHeight="1" x14ac:dyDescent="0.5">
      <c r="A12" s="369" t="s">
        <v>2</v>
      </c>
      <c r="B12" s="370">
        <v>35787.699999999997</v>
      </c>
      <c r="C12" s="370">
        <v>38923.5</v>
      </c>
      <c r="D12" s="371">
        <v>37213.5</v>
      </c>
      <c r="E12" s="372">
        <v>54518.78</v>
      </c>
      <c r="F12" s="373">
        <v>71913.42</v>
      </c>
      <c r="G12" s="372">
        <v>88707.904999999999</v>
      </c>
      <c r="H12" s="374">
        <v>80030.63</v>
      </c>
      <c r="I12" s="375">
        <v>95975.92</v>
      </c>
      <c r="J12" s="375">
        <v>90000.45</v>
      </c>
      <c r="K12" s="376">
        <v>106511.02</v>
      </c>
      <c r="L12" s="376">
        <v>106511.02</v>
      </c>
      <c r="M12" s="376">
        <v>114820.15</v>
      </c>
      <c r="N12" s="377">
        <v>123690.94</v>
      </c>
      <c r="O12" s="377">
        <v>127276.08</v>
      </c>
      <c r="P12" s="377">
        <v>127276.08</v>
      </c>
      <c r="Q12" s="377">
        <v>121185.58</v>
      </c>
      <c r="R12" s="378">
        <v>83604.5</v>
      </c>
      <c r="S12" s="378">
        <v>84348.96</v>
      </c>
      <c r="T12" s="379">
        <v>97953.32</v>
      </c>
      <c r="U12" s="446">
        <v>88725.8</v>
      </c>
      <c r="V12" s="447">
        <v>94217.279999999999</v>
      </c>
      <c r="W12" s="366">
        <f t="shared" si="3"/>
        <v>-31.011181363327221</v>
      </c>
      <c r="X12" s="367">
        <f t="shared" si="3"/>
        <v>0.89045446118331717</v>
      </c>
      <c r="Y12" s="367">
        <f t="shared" si="3"/>
        <v>16.128663589924521</v>
      </c>
      <c r="Z12" s="368">
        <f>SUM(V12-U12)*100/U12</f>
        <v>6.1892707645352258</v>
      </c>
      <c r="AA12" s="367">
        <v>100</v>
      </c>
      <c r="AB12" s="367">
        <v>100</v>
      </c>
      <c r="AC12" s="367">
        <v>100</v>
      </c>
      <c r="AD12" s="367">
        <v>100</v>
      </c>
      <c r="AE12" s="367">
        <v>100</v>
      </c>
      <c r="AF12" s="367">
        <v>100</v>
      </c>
      <c r="AG12" s="367">
        <v>100</v>
      </c>
    </row>
    <row r="13" spans="1:41" s="3" customFormat="1" ht="30" customHeight="1" x14ac:dyDescent="0.5">
      <c r="A13" s="382" t="s">
        <v>3</v>
      </c>
      <c r="B13" s="383">
        <f t="shared" ref="B13:H13" si="4">+B11-B12</f>
        <v>-20044.799999999996</v>
      </c>
      <c r="C13" s="383">
        <f t="shared" si="4"/>
        <v>-24988.2</v>
      </c>
      <c r="D13" s="384">
        <f t="shared" si="4"/>
        <v>-19015.7</v>
      </c>
      <c r="E13" s="384">
        <f t="shared" si="4"/>
        <v>-30174.559999999998</v>
      </c>
      <c r="F13" s="384">
        <f t="shared" si="4"/>
        <v>-43531.199999999997</v>
      </c>
      <c r="G13" s="384">
        <f t="shared" si="4"/>
        <v>-59858.902000000002</v>
      </c>
      <c r="H13" s="385">
        <f t="shared" si="4"/>
        <v>-46987.520000000004</v>
      </c>
      <c r="I13" s="385">
        <f t="shared" ref="I13:V13" si="5">+I11-I12</f>
        <v>-43323.549999999996</v>
      </c>
      <c r="J13" s="386">
        <f t="shared" si="5"/>
        <v>-24369.270000000004</v>
      </c>
      <c r="K13" s="387">
        <f t="shared" si="5"/>
        <v>-20631.070000000007</v>
      </c>
      <c r="L13" s="387">
        <f t="shared" si="5"/>
        <v>-20631.070000000007</v>
      </c>
      <c r="M13" s="387">
        <f t="shared" si="5"/>
        <v>-18296.64</v>
      </c>
      <c r="N13" s="385">
        <f>+N11-N12</f>
        <v>-9170.2700000000041</v>
      </c>
      <c r="O13" s="385">
        <f>+O11-O12</f>
        <v>8994.0600000000122</v>
      </c>
      <c r="P13" s="385">
        <f>+P11-P12</f>
        <v>8994.0600000000122</v>
      </c>
      <c r="Q13" s="385">
        <f t="shared" si="5"/>
        <v>19501.749999999985</v>
      </c>
      <c r="R13" s="388">
        <f>+R11-R12</f>
        <v>62930.070000000007</v>
      </c>
      <c r="S13" s="388">
        <f>+S11-S12</f>
        <v>61793.339999999982</v>
      </c>
      <c r="T13" s="389">
        <f t="shared" ref="T13" si="6">+T11-T12</f>
        <v>50232.25</v>
      </c>
      <c r="U13" s="448">
        <f>+U11-U12</f>
        <v>48064.409999999989</v>
      </c>
      <c r="V13" s="449">
        <f t="shared" si="5"/>
        <v>29516.040000000008</v>
      </c>
      <c r="W13" s="390"/>
      <c r="X13" s="391"/>
      <c r="Y13" s="391"/>
      <c r="Z13" s="392"/>
      <c r="AA13" s="391"/>
      <c r="AB13" s="391"/>
      <c r="AC13" s="391"/>
      <c r="AD13" s="391"/>
      <c r="AE13" s="391"/>
      <c r="AF13" s="391"/>
      <c r="AG13" s="392"/>
    </row>
    <row r="14" spans="1:41" s="3" customFormat="1" ht="30" customHeight="1" x14ac:dyDescent="0.5">
      <c r="A14" s="519" t="s">
        <v>66</v>
      </c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1"/>
    </row>
    <row r="15" spans="1:41" s="3" customFormat="1" ht="30" customHeight="1" x14ac:dyDescent="0.5">
      <c r="A15" s="359" t="s">
        <v>9</v>
      </c>
      <c r="B15" s="360">
        <f t="shared" ref="B15:I15" si="7">+B16+B17</f>
        <v>40169.31</v>
      </c>
      <c r="C15" s="360">
        <f t="shared" si="7"/>
        <v>41051.42</v>
      </c>
      <c r="D15" s="361">
        <f t="shared" si="7"/>
        <v>45428.39</v>
      </c>
      <c r="E15" s="361">
        <f t="shared" si="7"/>
        <v>67992.63</v>
      </c>
      <c r="F15" s="361">
        <f t="shared" si="7"/>
        <v>84272.99</v>
      </c>
      <c r="G15" s="361">
        <f t="shared" si="7"/>
        <v>99295.909999999989</v>
      </c>
      <c r="H15" s="362">
        <f t="shared" si="7"/>
        <v>97450.79</v>
      </c>
      <c r="I15" s="393">
        <f t="shared" si="7"/>
        <v>134766.39999999999</v>
      </c>
      <c r="J15" s="363">
        <f>J16+J17</f>
        <v>137869.29</v>
      </c>
      <c r="K15" s="364">
        <f>K16+K17</f>
        <v>164375.26</v>
      </c>
      <c r="L15" s="364">
        <f>L16+L17</f>
        <v>164375.26</v>
      </c>
      <c r="M15" s="364">
        <f t="shared" ref="M15:R15" si="8">+M16+M17</f>
        <v>180471.53</v>
      </c>
      <c r="N15" s="362">
        <f t="shared" si="8"/>
        <v>196861.58000000002</v>
      </c>
      <c r="O15" s="362">
        <f t="shared" si="8"/>
        <v>215709.34999999998</v>
      </c>
      <c r="P15" s="362">
        <f t="shared" si="8"/>
        <v>214387.22999999998</v>
      </c>
      <c r="Q15" s="362">
        <f t="shared" si="8"/>
        <v>217964.64</v>
      </c>
      <c r="R15" s="363">
        <f t="shared" si="8"/>
        <v>187905.28999999998</v>
      </c>
      <c r="S15" s="363">
        <f>+S16+S17</f>
        <v>184331.01223699999</v>
      </c>
      <c r="T15" s="365">
        <f t="shared" ref="T15" si="9">+T16+T17</f>
        <v>193328.57</v>
      </c>
      <c r="U15" s="444">
        <f>+U16+U17</f>
        <v>176836.93</v>
      </c>
      <c r="V15" s="445">
        <f>+V16+V17-0.01</f>
        <v>180737.18</v>
      </c>
      <c r="W15" s="366">
        <f t="shared" ref="W15:Y17" si="10">SUM(R15-Q15)*100/Q15</f>
        <v>-13.790929574631939</v>
      </c>
      <c r="X15" s="380">
        <f t="shared" si="10"/>
        <v>-1.9021698447127227</v>
      </c>
      <c r="Y15" s="380">
        <f t="shared" si="10"/>
        <v>4.881195873557937</v>
      </c>
      <c r="Z15" s="368">
        <f>SUM(V15-U15)*100/U15</f>
        <v>2.2055630574450711</v>
      </c>
      <c r="AA15" s="367">
        <f t="shared" ref="AA15:AB17" si="11">+N15/N10*100</f>
        <v>82.641471589063201</v>
      </c>
      <c r="AB15" s="367">
        <f t="shared" si="11"/>
        <v>81.848774002526</v>
      </c>
      <c r="AC15" s="367">
        <f t="shared" ref="AC15:AF17" si="12">SUM(Q15/Q10)*100</f>
        <v>83.232985038429533</v>
      </c>
      <c r="AD15" s="367">
        <f t="shared" si="12"/>
        <v>81.648583180595963</v>
      </c>
      <c r="AE15" s="367">
        <f t="shared" si="12"/>
        <v>79.973102770577924</v>
      </c>
      <c r="AF15" s="367">
        <f t="shared" si="12"/>
        <v>78.544503877465274</v>
      </c>
      <c r="AG15" s="368">
        <f>SUM(V15/V10)*100</f>
        <v>82.925754735247338</v>
      </c>
    </row>
    <row r="16" spans="1:41" s="3" customFormat="1" ht="30" customHeight="1" x14ac:dyDescent="0.5">
      <c r="A16" s="369" t="s">
        <v>1</v>
      </c>
      <c r="B16" s="370">
        <v>8951.41</v>
      </c>
      <c r="C16" s="394">
        <v>7301.21</v>
      </c>
      <c r="D16" s="371">
        <v>13337.55</v>
      </c>
      <c r="E16" s="395">
        <v>19294.38</v>
      </c>
      <c r="F16" s="371">
        <v>20152.509999999998</v>
      </c>
      <c r="G16" s="395">
        <v>18898.009999999998</v>
      </c>
      <c r="H16" s="396">
        <v>22180.53</v>
      </c>
      <c r="I16" s="375">
        <v>42604.39</v>
      </c>
      <c r="J16" s="375">
        <v>50854.43</v>
      </c>
      <c r="K16" s="376">
        <v>60599.26</v>
      </c>
      <c r="L16" s="376">
        <v>60599.26</v>
      </c>
      <c r="M16" s="376">
        <v>69975.66</v>
      </c>
      <c r="N16" s="377">
        <v>79447.199999999997</v>
      </c>
      <c r="O16" s="377">
        <v>94006.67</v>
      </c>
      <c r="P16" s="377">
        <v>94006.67</v>
      </c>
      <c r="Q16" s="377">
        <v>100819.3</v>
      </c>
      <c r="R16" s="378">
        <v>109267.17</v>
      </c>
      <c r="S16" s="397">
        <v>108966.179518</v>
      </c>
      <c r="T16" s="398">
        <v>105213.51</v>
      </c>
      <c r="U16" s="450">
        <v>96555.82</v>
      </c>
      <c r="V16" s="451">
        <v>93778.11</v>
      </c>
      <c r="W16" s="366">
        <f t="shared" si="10"/>
        <v>8.3792190582557069</v>
      </c>
      <c r="X16" s="380">
        <f t="shared" si="10"/>
        <v>-0.27546286958836197</v>
      </c>
      <c r="Y16" s="380">
        <f t="shared" si="10"/>
        <v>-3.4438846388847746</v>
      </c>
      <c r="Z16" s="399">
        <f>SUM(V16-U16)*100/U16</f>
        <v>-2.8767918909497183</v>
      </c>
      <c r="AA16" s="367">
        <f t="shared" si="11"/>
        <v>69.373677258437269</v>
      </c>
      <c r="AB16" s="367">
        <f t="shared" si="11"/>
        <v>68.98552390127432</v>
      </c>
      <c r="AC16" s="367">
        <f t="shared" si="12"/>
        <v>71.661961315208714</v>
      </c>
      <c r="AD16" s="367">
        <f t="shared" si="12"/>
        <v>74.567503081354786</v>
      </c>
      <c r="AE16" s="367">
        <f t="shared" si="12"/>
        <v>74.561697412727185</v>
      </c>
      <c r="AF16" s="367">
        <f t="shared" si="12"/>
        <v>71.001184528291105</v>
      </c>
      <c r="AG16" s="368">
        <f>SUM(V16/V11)*100</f>
        <v>75.790506550701124</v>
      </c>
    </row>
    <row r="17" spans="1:48" s="3" customFormat="1" ht="30" customHeight="1" x14ac:dyDescent="0.5">
      <c r="A17" s="369" t="s">
        <v>2</v>
      </c>
      <c r="B17" s="370">
        <v>31217.9</v>
      </c>
      <c r="C17" s="394">
        <v>33750.21</v>
      </c>
      <c r="D17" s="371">
        <v>32090.84</v>
      </c>
      <c r="E17" s="395">
        <v>48698.25</v>
      </c>
      <c r="F17" s="371">
        <v>64120.480000000003</v>
      </c>
      <c r="G17" s="395">
        <v>80397.899999999994</v>
      </c>
      <c r="H17" s="396">
        <v>75270.259999999995</v>
      </c>
      <c r="I17" s="375">
        <v>92162.01</v>
      </c>
      <c r="J17" s="375">
        <v>87014.86</v>
      </c>
      <c r="K17" s="376">
        <v>103776</v>
      </c>
      <c r="L17" s="376">
        <v>103776</v>
      </c>
      <c r="M17" s="376">
        <v>110495.87</v>
      </c>
      <c r="N17" s="377">
        <v>117414.38</v>
      </c>
      <c r="O17" s="377">
        <v>121702.68</v>
      </c>
      <c r="P17" s="377">
        <v>120380.56</v>
      </c>
      <c r="Q17" s="377">
        <v>117145.34</v>
      </c>
      <c r="R17" s="378">
        <v>78638.12</v>
      </c>
      <c r="S17" s="397">
        <v>75364.832718999998</v>
      </c>
      <c r="T17" s="398">
        <v>88115.06</v>
      </c>
      <c r="U17" s="450">
        <v>80281.11</v>
      </c>
      <c r="V17" s="451">
        <v>86959.08</v>
      </c>
      <c r="W17" s="366">
        <f t="shared" si="10"/>
        <v>-32.871320361526969</v>
      </c>
      <c r="X17" s="380">
        <f t="shared" si="10"/>
        <v>-4.1624688904058198</v>
      </c>
      <c r="Y17" s="380">
        <f t="shared" si="10"/>
        <v>16.918006477291069</v>
      </c>
      <c r="Z17" s="368">
        <f>SUM(V17-U17)*100/U17</f>
        <v>8.3182332680751436</v>
      </c>
      <c r="AA17" s="367">
        <f t="shared" si="11"/>
        <v>94.925610558057045</v>
      </c>
      <c r="AB17" s="367">
        <f t="shared" si="11"/>
        <v>95.621015354966929</v>
      </c>
      <c r="AC17" s="367">
        <f t="shared" si="12"/>
        <v>96.666071986452508</v>
      </c>
      <c r="AD17" s="367">
        <f t="shared" si="12"/>
        <v>94.059673821385203</v>
      </c>
      <c r="AE17" s="367">
        <f t="shared" si="12"/>
        <v>89.348858265709495</v>
      </c>
      <c r="AF17" s="367">
        <f t="shared" si="12"/>
        <v>89.956175043377797</v>
      </c>
      <c r="AG17" s="368">
        <f>SUM(V17/V12)*100</f>
        <v>92.296317618169411</v>
      </c>
    </row>
    <row r="18" spans="1:48" s="3" customFormat="1" ht="30" customHeight="1" x14ac:dyDescent="0.5">
      <c r="A18" s="382" t="s">
        <v>3</v>
      </c>
      <c r="B18" s="383">
        <f t="shared" ref="B18:H18" si="13">+B16-B17</f>
        <v>-22266.49</v>
      </c>
      <c r="C18" s="383">
        <f t="shared" si="13"/>
        <v>-26449</v>
      </c>
      <c r="D18" s="384">
        <f t="shared" si="13"/>
        <v>-18753.29</v>
      </c>
      <c r="E18" s="384">
        <f t="shared" si="13"/>
        <v>-29403.87</v>
      </c>
      <c r="F18" s="384">
        <f t="shared" si="13"/>
        <v>-43967.97</v>
      </c>
      <c r="G18" s="384">
        <f t="shared" si="13"/>
        <v>-61499.89</v>
      </c>
      <c r="H18" s="385">
        <f t="shared" si="13"/>
        <v>-53089.729999999996</v>
      </c>
      <c r="I18" s="385">
        <f t="shared" ref="I18:Q18" si="14">+I16-I17</f>
        <v>-49557.619999999995</v>
      </c>
      <c r="J18" s="388">
        <f t="shared" si="14"/>
        <v>-36160.43</v>
      </c>
      <c r="K18" s="387">
        <f t="shared" si="14"/>
        <v>-43176.74</v>
      </c>
      <c r="L18" s="387">
        <f t="shared" si="14"/>
        <v>-43176.74</v>
      </c>
      <c r="M18" s="387">
        <f t="shared" si="14"/>
        <v>-40520.209999999992</v>
      </c>
      <c r="N18" s="385">
        <f>+N16-N17</f>
        <v>-37967.180000000008</v>
      </c>
      <c r="O18" s="385">
        <f>+O16-O17</f>
        <v>-27696.009999999995</v>
      </c>
      <c r="P18" s="385">
        <f>+P16-P17</f>
        <v>-26373.89</v>
      </c>
      <c r="Q18" s="385">
        <f t="shared" si="14"/>
        <v>-16326.039999999994</v>
      </c>
      <c r="R18" s="388">
        <f>+R16-R17</f>
        <v>30629.050000000003</v>
      </c>
      <c r="S18" s="388">
        <f>+S16-S17</f>
        <v>33601.346799000006</v>
      </c>
      <c r="T18" s="389">
        <f>+T16-T17</f>
        <v>17098.449999999997</v>
      </c>
      <c r="U18" s="448">
        <f>+U16-U17</f>
        <v>16274.710000000006</v>
      </c>
      <c r="V18" s="449">
        <f>+V16-V17</f>
        <v>6819.0299999999988</v>
      </c>
      <c r="W18" s="390"/>
      <c r="X18" s="391"/>
      <c r="Y18" s="391"/>
      <c r="Z18" s="392"/>
      <c r="AA18" s="391"/>
      <c r="AB18" s="391"/>
      <c r="AC18" s="391"/>
      <c r="AD18" s="391"/>
      <c r="AE18" s="391"/>
      <c r="AF18" s="391"/>
      <c r="AG18" s="391"/>
      <c r="AH18" s="55"/>
      <c r="AI18" s="55"/>
      <c r="AJ18" s="55"/>
      <c r="AK18" s="55"/>
      <c r="AL18" s="55"/>
      <c r="AM18" s="55"/>
      <c r="AN18" s="55"/>
      <c r="AO18" s="55"/>
    </row>
    <row r="19" spans="1:48" s="4" customFormat="1" ht="19.5" customHeight="1" x14ac:dyDescent="0.4">
      <c r="A19" s="319" t="s">
        <v>83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8"/>
      <c r="X19" s="148"/>
      <c r="Y19" s="148"/>
      <c r="Z19" s="148"/>
      <c r="AA19" s="148"/>
      <c r="AB19" s="148"/>
      <c r="AC19" s="14"/>
      <c r="AD19" s="14"/>
      <c r="AE19" s="14"/>
      <c r="AF19" s="14"/>
      <c r="AG19" s="135" t="s">
        <v>89</v>
      </c>
      <c r="AP19" s="55"/>
      <c r="AQ19" s="55"/>
      <c r="AR19" s="55"/>
      <c r="AS19" s="55"/>
      <c r="AT19" s="55"/>
      <c r="AU19" s="55"/>
      <c r="AV19" s="55"/>
    </row>
    <row r="20" spans="1:48" s="4" customFormat="1" ht="18" customHeight="1" x14ac:dyDescent="0.4">
      <c r="A20" s="150" t="s">
        <v>91</v>
      </c>
      <c r="B20" s="151"/>
      <c r="C20" s="152"/>
      <c r="D20" s="152"/>
      <c r="E20" s="152"/>
      <c r="F20" s="152"/>
      <c r="G20" s="150" t="s">
        <v>91</v>
      </c>
      <c r="H20" s="151"/>
      <c r="I20" s="152"/>
      <c r="J20" s="152"/>
      <c r="K20" s="152"/>
      <c r="L20" s="152"/>
      <c r="M20" s="150" t="s">
        <v>91</v>
      </c>
      <c r="N20" s="151"/>
      <c r="O20" s="152"/>
      <c r="P20" s="152"/>
      <c r="Q20" s="152"/>
      <c r="R20" s="152"/>
      <c r="S20" s="150"/>
      <c r="T20" s="150"/>
      <c r="U20" s="151"/>
      <c r="V20" s="152"/>
      <c r="W20" s="152"/>
      <c r="X20" s="152"/>
      <c r="Y20" s="152"/>
      <c r="Z20" s="152"/>
      <c r="AG20" s="154" t="s">
        <v>62</v>
      </c>
    </row>
    <row r="21" spans="1:48" s="4" customFormat="1" ht="18" customHeight="1" x14ac:dyDescent="0.4">
      <c r="A21" s="153" t="s">
        <v>127</v>
      </c>
      <c r="B21" s="151"/>
      <c r="C21" s="152"/>
      <c r="D21" s="152"/>
      <c r="E21" s="152"/>
      <c r="F21" s="152"/>
      <c r="G21" s="153" t="s">
        <v>92</v>
      </c>
      <c r="H21" s="151"/>
      <c r="I21" s="152"/>
      <c r="J21" s="152"/>
      <c r="K21" s="152"/>
      <c r="L21" s="152"/>
      <c r="M21" s="153" t="s">
        <v>92</v>
      </c>
      <c r="N21" s="151"/>
      <c r="O21" s="152"/>
      <c r="P21" s="152"/>
      <c r="Q21" s="152"/>
      <c r="R21" s="152"/>
      <c r="S21" s="153"/>
      <c r="T21" s="153"/>
      <c r="U21" s="151"/>
      <c r="V21" s="152"/>
      <c r="W21" s="152"/>
      <c r="X21" s="152"/>
      <c r="Y21" s="152"/>
      <c r="Z21" s="152"/>
      <c r="AG21" s="154" t="s">
        <v>6</v>
      </c>
    </row>
    <row r="22" spans="1:48" s="4" customFormat="1" ht="18" customHeight="1" x14ac:dyDescent="0.4">
      <c r="A22" s="150" t="s">
        <v>94</v>
      </c>
      <c r="B22" s="150" t="s">
        <v>128</v>
      </c>
      <c r="C22" s="150" t="s">
        <v>129</v>
      </c>
      <c r="D22" s="150" t="s">
        <v>130</v>
      </c>
      <c r="E22" s="150" t="s">
        <v>131</v>
      </c>
      <c r="F22" s="150" t="s">
        <v>132</v>
      </c>
      <c r="G22" s="150" t="s">
        <v>133</v>
      </c>
      <c r="H22" s="150" t="s">
        <v>134</v>
      </c>
      <c r="I22" s="150" t="s">
        <v>135</v>
      </c>
      <c r="J22" s="150" t="s">
        <v>136</v>
      </c>
      <c r="K22" s="150" t="s">
        <v>137</v>
      </c>
      <c r="L22" s="150" t="s">
        <v>138</v>
      </c>
      <c r="M22" s="150" t="s">
        <v>139</v>
      </c>
      <c r="N22" s="150" t="s">
        <v>140</v>
      </c>
      <c r="O22" s="150" t="s">
        <v>141</v>
      </c>
      <c r="P22" s="150" t="s">
        <v>142</v>
      </c>
      <c r="Q22" s="150" t="s">
        <v>143</v>
      </c>
      <c r="R22" s="11"/>
      <c r="S22" s="150"/>
      <c r="T22" s="150"/>
      <c r="U22" s="153"/>
      <c r="V22" s="11"/>
      <c r="W22" s="11"/>
      <c r="X22" s="11"/>
      <c r="Y22" s="11"/>
      <c r="Z22" s="11"/>
      <c r="AG22" s="46"/>
    </row>
    <row r="23" spans="1:48" s="4" customFormat="1" ht="18" customHeight="1" x14ac:dyDescent="0.5">
      <c r="A23" s="4" t="s">
        <v>144</v>
      </c>
      <c r="AH23" s="1"/>
      <c r="AI23" s="1"/>
      <c r="AJ23" s="1"/>
      <c r="AK23" s="1"/>
      <c r="AL23" s="1"/>
      <c r="AM23" s="1"/>
      <c r="AN23" s="1"/>
      <c r="AO23" s="1"/>
    </row>
    <row r="24" spans="1:48" ht="18" customHeight="1" x14ac:dyDescent="0.5">
      <c r="A24" s="412" t="s">
        <v>161</v>
      </c>
    </row>
    <row r="28" spans="1:48" ht="30" customHeight="1" x14ac:dyDescent="0.5">
      <c r="AG28" s="1" t="s">
        <v>54</v>
      </c>
    </row>
  </sheetData>
  <mergeCells count="37">
    <mergeCell ref="Q7:Q8"/>
    <mergeCell ref="W5:Z6"/>
    <mergeCell ref="T7:T8"/>
    <mergeCell ref="U8:V8"/>
    <mergeCell ref="Y7:Y8"/>
    <mergeCell ref="A1:AG1"/>
    <mergeCell ref="R7:R8"/>
    <mergeCell ref="A5:A8"/>
    <mergeCell ref="C7:C8"/>
    <mergeCell ref="E7:E8"/>
    <mergeCell ref="A2:AG2"/>
    <mergeCell ref="O7:O8"/>
    <mergeCell ref="A3:AG3"/>
    <mergeCell ref="G7:G8"/>
    <mergeCell ref="B7:B8"/>
    <mergeCell ref="I7:I8"/>
    <mergeCell ref="AD7:AD8"/>
    <mergeCell ref="F7:F8"/>
    <mergeCell ref="AD6:AG6"/>
    <mergeCell ref="AE7:AE8"/>
    <mergeCell ref="W7:W8"/>
    <mergeCell ref="A9:AG9"/>
    <mergeCell ref="A14:AG14"/>
    <mergeCell ref="D7:D8"/>
    <mergeCell ref="K7:K8"/>
    <mergeCell ref="AC7:AC8"/>
    <mergeCell ref="M7:M8"/>
    <mergeCell ref="S7:S8"/>
    <mergeCell ref="H7:H8"/>
    <mergeCell ref="X7:X8"/>
    <mergeCell ref="J7:J8"/>
    <mergeCell ref="N5:N8"/>
    <mergeCell ref="O5:V6"/>
    <mergeCell ref="AD5:AG5"/>
    <mergeCell ref="AA7:AA8"/>
    <mergeCell ref="AB7:AB8"/>
    <mergeCell ref="AF7:AF8"/>
  </mergeCells>
  <phoneticPr fontId="19" type="noConversion"/>
  <pageMargins left="1.1023622047244095" right="0.23622047244094491" top="1.3385826771653544" bottom="0.74803149606299213" header="0.31496062992125984" footer="0.31496062992125984"/>
  <pageSetup scale="95" orientation="portrait" r:id="rId1"/>
  <headerFooter>
    <oddHeader xml:space="preserve">&amp;C&amp;"AngsanaUPC,Regular"&amp;16- 20-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5"/>
  <sheetViews>
    <sheetView view="pageLayout" topLeftCell="B10" zoomScale="130" zoomScaleNormal="79" zoomScalePageLayoutView="130" workbookViewId="0">
      <selection activeCell="BX18" sqref="BX18:CC18"/>
    </sheetView>
  </sheetViews>
  <sheetFormatPr defaultColWidth="9.125" defaultRowHeight="34.5" customHeight="1" x14ac:dyDescent="0.5"/>
  <cols>
    <col min="1" max="1" width="1" style="20" hidden="1" customWidth="1"/>
    <col min="2" max="2" width="8" style="20" customWidth="1"/>
    <col min="3" max="4" width="6.625" style="20" hidden="1" customWidth="1"/>
    <col min="5" max="5" width="9.125" style="20" hidden="1" customWidth="1"/>
    <col min="6" max="6" width="7.125" style="20" hidden="1" customWidth="1"/>
    <col min="7" max="7" width="7.625" style="20" hidden="1" customWidth="1"/>
    <col min="8" max="8" width="6.75" style="20" hidden="1" customWidth="1"/>
    <col min="9" max="9" width="6.375" style="20" hidden="1" customWidth="1"/>
    <col min="10" max="10" width="7.875" style="20" hidden="1" customWidth="1"/>
    <col min="11" max="11" width="5.125" style="20" hidden="1" customWidth="1"/>
    <col min="12" max="12" width="9.125" style="20" hidden="1" customWidth="1"/>
    <col min="13" max="13" width="3.375" style="20" hidden="1" customWidth="1"/>
    <col min="14" max="14" width="8.875" style="20" hidden="1" customWidth="1"/>
    <col min="15" max="15" width="7" style="20" hidden="1" customWidth="1"/>
    <col min="16" max="16" width="5" style="20" hidden="1" customWidth="1"/>
    <col min="17" max="17" width="10" style="20" hidden="1" customWidth="1"/>
    <col min="18" max="18" width="7.125" style="20" hidden="1" customWidth="1"/>
    <col min="19" max="19" width="9.75" style="20" hidden="1" customWidth="1"/>
    <col min="20" max="20" width="7.625" style="20" hidden="1" customWidth="1"/>
    <col min="21" max="21" width="5.875" style="20" hidden="1" customWidth="1"/>
    <col min="22" max="22" width="6.75" style="20" hidden="1" customWidth="1"/>
    <col min="23" max="23" width="5.75" style="20" hidden="1" customWidth="1"/>
    <col min="24" max="24" width="5.625" style="20" hidden="1" customWidth="1"/>
    <col min="25" max="25" width="7.75" style="20" hidden="1" customWidth="1"/>
    <col min="26" max="26" width="7" style="20" hidden="1" customWidth="1"/>
    <col min="27" max="27" width="4.375" style="20" hidden="1" customWidth="1"/>
    <col min="28" max="28" width="5.625" style="20" hidden="1" customWidth="1"/>
    <col min="29" max="29" width="4.875" style="20" hidden="1" customWidth="1"/>
    <col min="30" max="30" width="1.875" style="20" hidden="1" customWidth="1"/>
    <col min="31" max="31" width="7.375" style="20" hidden="1" customWidth="1"/>
    <col min="32" max="32" width="5.125" style="20" hidden="1" customWidth="1"/>
    <col min="33" max="33" width="6.875" style="20" hidden="1" customWidth="1"/>
    <col min="34" max="34" width="8.875" style="20" hidden="1" customWidth="1"/>
    <col min="35" max="35" width="6.375" style="20" hidden="1" customWidth="1"/>
    <col min="36" max="36" width="5.125" style="20" hidden="1" customWidth="1"/>
    <col min="37" max="37" width="1" style="20" hidden="1" customWidth="1"/>
    <col min="38" max="38" width="6.125" style="20" hidden="1" customWidth="1"/>
    <col min="39" max="39" width="5.125" style="20" hidden="1" customWidth="1"/>
    <col min="40" max="40" width="7" style="20" hidden="1" customWidth="1"/>
    <col min="41" max="42" width="6.125" style="20" hidden="1" customWidth="1"/>
    <col min="43" max="43" width="7" style="20" hidden="1" customWidth="1"/>
    <col min="44" max="44" width="6.75" style="20" hidden="1" customWidth="1"/>
    <col min="45" max="45" width="7.375" style="20" hidden="1" customWidth="1"/>
    <col min="46" max="46" width="6.75" style="20" hidden="1" customWidth="1"/>
    <col min="47" max="47" width="6.625" style="20" hidden="1" customWidth="1"/>
    <col min="48" max="48" width="7.375" style="20" hidden="1" customWidth="1"/>
    <col min="49" max="49" width="6.75" style="20" hidden="1" customWidth="1"/>
    <col min="50" max="50" width="7.125" style="20" hidden="1" customWidth="1"/>
    <col min="51" max="51" width="6.125" style="20" hidden="1" customWidth="1"/>
    <col min="52" max="52" width="7.125" style="20" hidden="1" customWidth="1"/>
    <col min="53" max="53" width="7.375" style="20" hidden="1" customWidth="1"/>
    <col min="54" max="54" width="6.625" style="20" hidden="1" customWidth="1"/>
    <col min="55" max="55" width="6.125" style="20" hidden="1" customWidth="1"/>
    <col min="56" max="56" width="5.75" style="20" hidden="1" customWidth="1"/>
    <col min="57" max="57" width="6.875" style="20" hidden="1" customWidth="1"/>
    <col min="58" max="58" width="5.625" style="20" hidden="1" customWidth="1"/>
    <col min="59" max="63" width="6.625" style="20" hidden="1" customWidth="1"/>
    <col min="64" max="64" width="7.375" style="20" hidden="1" customWidth="1"/>
    <col min="65" max="65" width="7.125" style="20" hidden="1" customWidth="1"/>
    <col min="66" max="67" width="6.125" style="20" hidden="1" customWidth="1"/>
    <col min="68" max="68" width="7.375" style="20" customWidth="1"/>
    <col min="69" max="69" width="7.125" style="20" customWidth="1"/>
    <col min="70" max="74" width="6.125" style="20" customWidth="1"/>
    <col min="75" max="75" width="6.625" style="20" customWidth="1"/>
    <col min="76" max="76" width="7" style="20" customWidth="1"/>
    <col min="77" max="77" width="7.25" style="20" customWidth="1"/>
    <col min="78" max="78" width="4.875" style="20" customWidth="1"/>
    <col min="79" max="79" width="6.625" style="20" customWidth="1"/>
    <col min="80" max="80" width="5.125" style="20" customWidth="1"/>
    <col min="81" max="81" width="6.875" style="20" customWidth="1"/>
    <col min="82" max="82" width="13" style="20" customWidth="1"/>
    <col min="83" max="83" width="12.125" style="20" customWidth="1"/>
    <col min="84" max="84" width="4.25" style="20" customWidth="1"/>
    <col min="85" max="16384" width="9.125" style="20"/>
  </cols>
  <sheetData>
    <row r="1" spans="2:103" ht="34.5" customHeight="1" x14ac:dyDescent="0.5"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</row>
    <row r="2" spans="2:103" ht="34.5" customHeight="1" x14ac:dyDescent="0.55000000000000004">
      <c r="B2" s="562" t="s">
        <v>67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P2" s="562"/>
      <c r="AQ2" s="562"/>
      <c r="AR2" s="562"/>
      <c r="AS2" s="562"/>
      <c r="AT2" s="562"/>
      <c r="AU2" s="562"/>
      <c r="AV2" s="562"/>
      <c r="AW2" s="562"/>
      <c r="AX2" s="562"/>
      <c r="AY2" s="562"/>
      <c r="AZ2" s="562"/>
      <c r="BA2" s="562"/>
      <c r="BB2" s="562"/>
      <c r="BC2" s="562"/>
      <c r="BD2" s="562"/>
      <c r="BE2" s="562"/>
      <c r="BF2" s="562"/>
      <c r="BG2" s="562"/>
      <c r="BH2" s="562"/>
      <c r="BI2" s="562"/>
      <c r="BJ2" s="562"/>
      <c r="BK2" s="562"/>
      <c r="BL2" s="562"/>
      <c r="BM2" s="562"/>
      <c r="BN2" s="562"/>
      <c r="BO2" s="562"/>
      <c r="BP2" s="562"/>
      <c r="BQ2" s="562"/>
      <c r="BR2" s="562"/>
      <c r="BS2" s="562"/>
      <c r="BT2" s="562"/>
      <c r="BU2" s="562"/>
      <c r="BV2" s="562"/>
      <c r="BW2" s="562"/>
      <c r="BX2" s="562"/>
      <c r="BY2" s="562"/>
      <c r="BZ2" s="562"/>
      <c r="CA2" s="562"/>
      <c r="CB2" s="562"/>
      <c r="CC2" s="562"/>
      <c r="CG2" s="571" t="s">
        <v>304</v>
      </c>
      <c r="CH2" s="571"/>
      <c r="CI2" s="571"/>
      <c r="CJ2" s="571"/>
      <c r="CK2" s="571"/>
      <c r="CL2" s="571"/>
      <c r="CM2" s="571"/>
      <c r="CN2" s="571"/>
      <c r="CO2" s="571"/>
      <c r="CP2" s="571"/>
      <c r="CQ2" s="571"/>
      <c r="CR2" s="571"/>
      <c r="CS2" s="571"/>
      <c r="CT2" s="571"/>
      <c r="CU2" s="571"/>
      <c r="CV2" s="571"/>
      <c r="CW2"/>
      <c r="CX2"/>
      <c r="CY2"/>
    </row>
    <row r="3" spans="2:103" ht="34.5" customHeight="1" x14ac:dyDescent="0.55000000000000004">
      <c r="B3" s="562" t="s">
        <v>394</v>
      </c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2"/>
      <c r="AO3" s="562"/>
      <c r="AP3" s="562"/>
      <c r="AQ3" s="562"/>
      <c r="AR3" s="562"/>
      <c r="AS3" s="562"/>
      <c r="AT3" s="562"/>
      <c r="AU3" s="562"/>
      <c r="AV3" s="562"/>
      <c r="AW3" s="562"/>
      <c r="AX3" s="562"/>
      <c r="AY3" s="562"/>
      <c r="AZ3" s="562"/>
      <c r="BA3" s="562"/>
      <c r="BB3" s="562"/>
      <c r="BC3" s="562"/>
      <c r="BD3" s="562"/>
      <c r="BE3" s="562"/>
      <c r="BF3" s="562"/>
      <c r="BG3" s="562"/>
      <c r="BH3" s="562"/>
      <c r="BI3" s="562"/>
      <c r="BJ3" s="562"/>
      <c r="BK3" s="562"/>
      <c r="BL3" s="562"/>
      <c r="BM3" s="562"/>
      <c r="BN3" s="562"/>
      <c r="BO3" s="562"/>
      <c r="BP3" s="562"/>
      <c r="BQ3" s="562"/>
      <c r="BR3" s="562"/>
      <c r="BS3" s="562"/>
      <c r="BT3" s="562"/>
      <c r="BU3" s="562"/>
      <c r="BV3" s="562"/>
      <c r="BW3" s="562"/>
      <c r="BX3" s="562"/>
      <c r="BY3" s="562"/>
      <c r="BZ3" s="562"/>
      <c r="CA3" s="562"/>
      <c r="CB3" s="562"/>
      <c r="CC3" s="562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</row>
    <row r="4" spans="2:103" ht="34.5" customHeight="1" x14ac:dyDescent="0.5">
      <c r="B4" s="23"/>
      <c r="D4" s="24"/>
      <c r="E4" s="24"/>
      <c r="F4" s="22"/>
      <c r="J4" s="24"/>
      <c r="K4" s="25"/>
      <c r="L4" s="26"/>
      <c r="M4" s="26"/>
      <c r="N4" s="26"/>
      <c r="O4" s="26"/>
      <c r="P4" s="26"/>
      <c r="Q4" s="26"/>
      <c r="R4" s="26"/>
      <c r="S4" s="26"/>
      <c r="T4" s="26"/>
      <c r="AA4" s="26"/>
      <c r="CA4" s="22"/>
      <c r="CB4" s="146" t="s">
        <v>46</v>
      </c>
      <c r="CC4" s="145"/>
      <c r="CG4" s="561" t="s">
        <v>8</v>
      </c>
      <c r="CH4" s="561"/>
      <c r="CI4" s="561"/>
      <c r="CJ4" s="561"/>
      <c r="CK4" s="561"/>
      <c r="CL4" s="561"/>
      <c r="CM4" s="561"/>
      <c r="CN4" s="561"/>
      <c r="CO4" s="561"/>
      <c r="CP4" s="561"/>
      <c r="CQ4" s="561"/>
      <c r="CR4" s="561"/>
      <c r="CS4" s="561"/>
      <c r="CT4" s="561"/>
      <c r="CU4" s="561"/>
      <c r="CV4" s="561"/>
      <c r="CW4" s="561"/>
      <c r="CX4" s="561" t="s">
        <v>305</v>
      </c>
      <c r="CY4" s="561"/>
    </row>
    <row r="5" spans="2:103" ht="34.5" customHeight="1" x14ac:dyDescent="0.5">
      <c r="B5" s="563" t="s">
        <v>10</v>
      </c>
      <c r="C5" s="565">
        <v>2547</v>
      </c>
      <c r="D5" s="566"/>
      <c r="E5" s="567"/>
      <c r="F5" s="92"/>
      <c r="G5" s="565">
        <v>2548</v>
      </c>
      <c r="H5" s="566"/>
      <c r="I5" s="566"/>
      <c r="J5" s="566"/>
      <c r="K5" s="566"/>
      <c r="L5" s="567"/>
      <c r="M5" s="93"/>
      <c r="N5" s="565">
        <v>2549</v>
      </c>
      <c r="O5" s="566"/>
      <c r="P5" s="566"/>
      <c r="Q5" s="566"/>
      <c r="R5" s="566"/>
      <c r="S5" s="567"/>
      <c r="T5" s="93"/>
      <c r="U5" s="565">
        <v>2550</v>
      </c>
      <c r="V5" s="566"/>
      <c r="W5" s="566"/>
      <c r="X5" s="566"/>
      <c r="Y5" s="566"/>
      <c r="Z5" s="570"/>
      <c r="AA5" s="93"/>
      <c r="AB5" s="565">
        <v>2551</v>
      </c>
      <c r="AC5" s="566"/>
      <c r="AD5" s="566"/>
      <c r="AE5" s="566"/>
      <c r="AF5" s="566"/>
      <c r="AG5" s="570"/>
      <c r="AH5" s="553">
        <v>2552</v>
      </c>
      <c r="AI5" s="556"/>
      <c r="AJ5" s="556"/>
      <c r="AK5" s="556"/>
      <c r="AL5" s="556"/>
      <c r="AM5" s="556"/>
      <c r="AN5" s="557"/>
      <c r="AO5" s="558">
        <v>2553</v>
      </c>
      <c r="AP5" s="559"/>
      <c r="AQ5" s="560"/>
      <c r="AR5" s="558">
        <v>2554</v>
      </c>
      <c r="AS5" s="559"/>
      <c r="AT5" s="560"/>
      <c r="AU5" s="558">
        <v>2555</v>
      </c>
      <c r="AV5" s="559"/>
      <c r="AW5" s="560"/>
      <c r="AX5" s="558">
        <v>2556</v>
      </c>
      <c r="AY5" s="559"/>
      <c r="AZ5" s="559"/>
      <c r="BA5" s="560"/>
      <c r="BB5" s="553">
        <v>2557</v>
      </c>
      <c r="BC5" s="554"/>
      <c r="BD5" s="554"/>
      <c r="BE5" s="554"/>
      <c r="BF5" s="554"/>
      <c r="BG5" s="555"/>
      <c r="BH5" s="553">
        <v>2558</v>
      </c>
      <c r="BI5" s="554"/>
      <c r="BJ5" s="554"/>
      <c r="BK5" s="555"/>
      <c r="BL5" s="553">
        <v>2559</v>
      </c>
      <c r="BM5" s="554"/>
      <c r="BN5" s="554"/>
      <c r="BO5" s="555"/>
      <c r="BP5" s="553">
        <v>2560</v>
      </c>
      <c r="BQ5" s="554"/>
      <c r="BR5" s="554"/>
      <c r="BS5" s="555"/>
      <c r="BT5" s="553">
        <v>2561</v>
      </c>
      <c r="BU5" s="554"/>
      <c r="BV5" s="554"/>
      <c r="BW5" s="555"/>
      <c r="BX5" s="553" t="s">
        <v>397</v>
      </c>
      <c r="BY5" s="554"/>
      <c r="BZ5" s="554"/>
      <c r="CA5" s="554"/>
      <c r="CB5" s="554"/>
      <c r="CC5" s="555"/>
      <c r="CD5" s="568" t="s">
        <v>398</v>
      </c>
      <c r="CE5" s="569"/>
      <c r="CG5" s="561" t="s">
        <v>10</v>
      </c>
      <c r="CH5" s="561">
        <v>2560</v>
      </c>
      <c r="CI5" s="561"/>
      <c r="CJ5" s="561"/>
      <c r="CK5" s="561"/>
      <c r="CL5" s="561">
        <v>2561</v>
      </c>
      <c r="CM5" s="561"/>
      <c r="CN5" s="561"/>
      <c r="CO5" s="561"/>
      <c r="CP5" s="561" t="s">
        <v>306</v>
      </c>
      <c r="CQ5" s="561"/>
      <c r="CR5" s="561"/>
      <c r="CS5" s="561"/>
      <c r="CT5" s="561"/>
      <c r="CU5" s="561"/>
      <c r="CV5" s="561"/>
      <c r="CW5" s="561"/>
      <c r="CX5" s="561" t="s">
        <v>1</v>
      </c>
      <c r="CY5" s="561" t="s">
        <v>2</v>
      </c>
    </row>
    <row r="6" spans="2:103" ht="34.5" customHeight="1" x14ac:dyDescent="0.5">
      <c r="B6" s="564"/>
      <c r="C6" s="94" t="s">
        <v>1</v>
      </c>
      <c r="D6" s="94" t="s">
        <v>2</v>
      </c>
      <c r="E6" s="94" t="s">
        <v>3</v>
      </c>
      <c r="F6" s="94">
        <v>47</v>
      </c>
      <c r="G6" s="94" t="s">
        <v>1</v>
      </c>
      <c r="H6" s="95" t="s">
        <v>11</v>
      </c>
      <c r="I6" s="94">
        <v>47</v>
      </c>
      <c r="J6" s="94" t="s">
        <v>2</v>
      </c>
      <c r="K6" s="95" t="s">
        <v>11</v>
      </c>
      <c r="L6" s="94" t="s">
        <v>3</v>
      </c>
      <c r="M6" s="94">
        <v>48</v>
      </c>
      <c r="N6" s="94" t="s">
        <v>1</v>
      </c>
      <c r="O6" s="96" t="s">
        <v>12</v>
      </c>
      <c r="P6" s="94">
        <v>48</v>
      </c>
      <c r="Q6" s="94" t="s">
        <v>2</v>
      </c>
      <c r="R6" s="96" t="s">
        <v>12</v>
      </c>
      <c r="S6" s="94" t="s">
        <v>3</v>
      </c>
      <c r="T6" s="94">
        <v>49</v>
      </c>
      <c r="U6" s="94" t="s">
        <v>1</v>
      </c>
      <c r="V6" s="96" t="s">
        <v>12</v>
      </c>
      <c r="W6" s="94">
        <v>49</v>
      </c>
      <c r="X6" s="94" t="s">
        <v>2</v>
      </c>
      <c r="Y6" s="96" t="s">
        <v>12</v>
      </c>
      <c r="Z6" s="94" t="s">
        <v>3</v>
      </c>
      <c r="AA6" s="94">
        <v>50</v>
      </c>
      <c r="AB6" s="94" t="s">
        <v>1</v>
      </c>
      <c r="AC6" s="94" t="s">
        <v>12</v>
      </c>
      <c r="AD6" s="94">
        <v>50</v>
      </c>
      <c r="AE6" s="94" t="s">
        <v>2</v>
      </c>
      <c r="AF6" s="94" t="s">
        <v>12</v>
      </c>
      <c r="AG6" s="94" t="s">
        <v>3</v>
      </c>
      <c r="AH6" s="94">
        <v>51</v>
      </c>
      <c r="AI6" s="94" t="s">
        <v>1</v>
      </c>
      <c r="AJ6" s="94" t="s">
        <v>12</v>
      </c>
      <c r="AK6" s="94">
        <v>51</v>
      </c>
      <c r="AL6" s="94" t="s">
        <v>2</v>
      </c>
      <c r="AM6" s="94" t="s">
        <v>12</v>
      </c>
      <c r="AN6" s="94" t="s">
        <v>3</v>
      </c>
      <c r="AO6" s="94" t="s">
        <v>1</v>
      </c>
      <c r="AP6" s="94" t="s">
        <v>2</v>
      </c>
      <c r="AQ6" s="94" t="s">
        <v>3</v>
      </c>
      <c r="AR6" s="94" t="s">
        <v>1</v>
      </c>
      <c r="AS6" s="94" t="s">
        <v>2</v>
      </c>
      <c r="AT6" s="94" t="s">
        <v>3</v>
      </c>
      <c r="AU6" s="94" t="s">
        <v>1</v>
      </c>
      <c r="AV6" s="94" t="s">
        <v>2</v>
      </c>
      <c r="AW6" s="101" t="s">
        <v>3</v>
      </c>
      <c r="AX6" s="94" t="s">
        <v>5</v>
      </c>
      <c r="AY6" s="94" t="s">
        <v>1</v>
      </c>
      <c r="AZ6" s="94" t="s">
        <v>2</v>
      </c>
      <c r="BA6" s="101" t="s">
        <v>3</v>
      </c>
      <c r="BB6" s="94" t="s">
        <v>5</v>
      </c>
      <c r="BC6" s="94" t="s">
        <v>1</v>
      </c>
      <c r="BD6" s="95" t="s">
        <v>61</v>
      </c>
      <c r="BE6" s="94" t="s">
        <v>2</v>
      </c>
      <c r="BF6" s="95" t="s">
        <v>12</v>
      </c>
      <c r="BG6" s="101" t="s">
        <v>3</v>
      </c>
      <c r="BH6" s="94" t="s">
        <v>5</v>
      </c>
      <c r="BI6" s="94" t="s">
        <v>1</v>
      </c>
      <c r="BJ6" s="94" t="s">
        <v>2</v>
      </c>
      <c r="BK6" s="107" t="s">
        <v>3</v>
      </c>
      <c r="BL6" s="166" t="s">
        <v>5</v>
      </c>
      <c r="BM6" s="176" t="s">
        <v>1</v>
      </c>
      <c r="BN6" s="177" t="s">
        <v>2</v>
      </c>
      <c r="BO6" s="107" t="s">
        <v>3</v>
      </c>
      <c r="BP6" s="166" t="s">
        <v>5</v>
      </c>
      <c r="BQ6" s="176" t="s">
        <v>1</v>
      </c>
      <c r="BR6" s="176" t="s">
        <v>2</v>
      </c>
      <c r="BS6" s="101" t="s">
        <v>3</v>
      </c>
      <c r="BT6" s="166" t="s">
        <v>5</v>
      </c>
      <c r="BU6" s="176" t="s">
        <v>1</v>
      </c>
      <c r="BV6" s="176" t="s">
        <v>2</v>
      </c>
      <c r="BW6" s="101" t="s">
        <v>3</v>
      </c>
      <c r="BX6" s="166" t="s">
        <v>5</v>
      </c>
      <c r="BY6" s="176" t="s">
        <v>1</v>
      </c>
      <c r="BZ6" s="183" t="s">
        <v>82</v>
      </c>
      <c r="CA6" s="176" t="s">
        <v>2</v>
      </c>
      <c r="CB6" s="183" t="s">
        <v>82</v>
      </c>
      <c r="CC6" s="107" t="s">
        <v>3</v>
      </c>
      <c r="CD6" s="48" t="s">
        <v>1</v>
      </c>
      <c r="CE6" s="16" t="s">
        <v>2</v>
      </c>
      <c r="CG6" s="561"/>
      <c r="CH6" s="561" t="s">
        <v>9</v>
      </c>
      <c r="CI6" s="561" t="s">
        <v>1</v>
      </c>
      <c r="CJ6" s="561" t="s">
        <v>2</v>
      </c>
      <c r="CK6" s="561" t="s">
        <v>3</v>
      </c>
      <c r="CL6" s="561" t="s">
        <v>9</v>
      </c>
      <c r="CM6" s="561" t="s">
        <v>1</v>
      </c>
      <c r="CN6" s="561" t="s">
        <v>2</v>
      </c>
      <c r="CO6" s="561" t="s">
        <v>3</v>
      </c>
      <c r="CP6" s="561">
        <v>2561</v>
      </c>
      <c r="CQ6" s="561"/>
      <c r="CR6" s="561"/>
      <c r="CS6" s="561"/>
      <c r="CT6" s="561">
        <v>2562</v>
      </c>
      <c r="CU6" s="561"/>
      <c r="CV6" s="561"/>
      <c r="CW6" s="561"/>
      <c r="CX6" s="561"/>
      <c r="CY6" s="561"/>
    </row>
    <row r="7" spans="2:103" ht="32.25" customHeight="1" x14ac:dyDescent="0.5">
      <c r="B7" s="156" t="s">
        <v>13</v>
      </c>
      <c r="C7" s="27">
        <v>1424.56</v>
      </c>
      <c r="D7" s="27">
        <v>3579.86</v>
      </c>
      <c r="E7" s="28">
        <f t="shared" ref="E7:E18" si="0">C7-D7</f>
        <v>-2155.3000000000002</v>
      </c>
      <c r="F7" s="27">
        <v>1424.56</v>
      </c>
      <c r="G7" s="29">
        <v>1661.27</v>
      </c>
      <c r="H7" s="30">
        <f t="shared" ref="H7:H19" si="1">(G7-F7)*100/F7</f>
        <v>16.616358735328806</v>
      </c>
      <c r="I7" s="29">
        <v>3579.86</v>
      </c>
      <c r="J7" s="29">
        <v>4829.62</v>
      </c>
      <c r="K7" s="30">
        <f t="shared" ref="K7:K19" si="2">(J7-I7)*100/I7</f>
        <v>34.910862435961171</v>
      </c>
      <c r="L7" s="30">
        <f t="shared" ref="L7:L18" si="3">G7-J7</f>
        <v>-3168.35</v>
      </c>
      <c r="M7" s="29">
        <v>1661.27</v>
      </c>
      <c r="N7" s="31">
        <v>1728.81</v>
      </c>
      <c r="O7" s="32">
        <f t="shared" ref="O7:O18" si="4">(N7-M7)*100/M7</f>
        <v>4.0655642971943129</v>
      </c>
      <c r="P7" s="31">
        <v>4829.62</v>
      </c>
      <c r="Q7" s="31">
        <v>265.31</v>
      </c>
      <c r="R7" s="32">
        <f t="shared" ref="R7:R17" si="5">(Q7-P7)*100/P7</f>
        <v>-94.506607145075591</v>
      </c>
      <c r="S7" s="32">
        <f t="shared" ref="S7:S17" si="6">N7-Q7</f>
        <v>1463.5</v>
      </c>
      <c r="T7" s="31">
        <v>1728.81</v>
      </c>
      <c r="U7" s="59">
        <v>1733.21</v>
      </c>
      <c r="V7" s="60">
        <f t="shared" ref="V7:V18" si="7">(U7-T7)*100/T7</f>
        <v>0.25451032791342548</v>
      </c>
      <c r="W7" s="61">
        <v>265.31</v>
      </c>
      <c r="X7" s="59">
        <v>7370.86</v>
      </c>
      <c r="Y7" s="60">
        <f t="shared" ref="Y7:Y16" si="8">(X7-W7)*100/W7</f>
        <v>2678.2066262108474</v>
      </c>
      <c r="Z7" s="62">
        <f t="shared" ref="Z7:Z18" si="9">U7-X7</f>
        <v>-5637.65</v>
      </c>
      <c r="AA7" s="5">
        <v>1733.21</v>
      </c>
      <c r="AB7" s="50">
        <v>2959.77</v>
      </c>
      <c r="AC7" s="51">
        <f t="shared" ref="AC7:AC18" si="10">(AB7-AA7)*100/AA7</f>
        <v>70.768112346455425</v>
      </c>
      <c r="AD7" s="50">
        <v>7370.86</v>
      </c>
      <c r="AE7" s="58">
        <v>363.23</v>
      </c>
      <c r="AF7" s="53">
        <f t="shared" ref="AF7:AF19" si="11">(AE7-AD7)*100/AD7</f>
        <v>-95.072081141142277</v>
      </c>
      <c r="AG7" s="63">
        <f t="shared" ref="AG7:AG18" si="12">AB7-AE7</f>
        <v>2596.54</v>
      </c>
      <c r="AH7" s="50">
        <v>2959.77</v>
      </c>
      <c r="AI7" s="67">
        <v>2738.78</v>
      </c>
      <c r="AJ7" s="68">
        <f t="shared" ref="AJ7:AJ18" si="13">(AI7-AH7)*100/AH7</f>
        <v>-7.4664585423867322</v>
      </c>
      <c r="AK7" s="69">
        <v>363.23</v>
      </c>
      <c r="AL7" s="67">
        <v>7837.95</v>
      </c>
      <c r="AM7" s="70">
        <f t="shared" ref="AM7:AM18" si="14">(AL7-AK7)*100/AK7</f>
        <v>2057.8476447429998</v>
      </c>
      <c r="AN7" s="71">
        <f t="shared" ref="AN7:AN18" si="15">AI7-AL7</f>
        <v>-5099.17</v>
      </c>
      <c r="AO7" s="67">
        <v>4388.38</v>
      </c>
      <c r="AP7" s="67">
        <v>4811.96</v>
      </c>
      <c r="AQ7" s="71">
        <f>AO7-AP7</f>
        <v>-423.57999999999993</v>
      </c>
      <c r="AR7" s="78">
        <v>4922.95</v>
      </c>
      <c r="AS7" s="78">
        <v>7267.66</v>
      </c>
      <c r="AT7" s="79">
        <f t="shared" ref="AT7:AT18" si="16">AR7-AS7</f>
        <v>-2344.71</v>
      </c>
      <c r="AU7" s="78">
        <v>5111.5200000000004</v>
      </c>
      <c r="AV7" s="80">
        <v>318.44</v>
      </c>
      <c r="AW7" s="79">
        <f t="shared" ref="AW7:AW18" si="17">AU7-AV7</f>
        <v>4793.0800000000008</v>
      </c>
      <c r="AX7" s="102">
        <f>AY7+AZ7</f>
        <v>16727.125</v>
      </c>
      <c r="AY7" s="74">
        <v>6125.04</v>
      </c>
      <c r="AZ7" s="103">
        <v>10602.084999999999</v>
      </c>
      <c r="BA7" s="102">
        <f t="shared" ref="BA7:BA18" si="18">AY7-AZ7</f>
        <v>-4477.0449999999992</v>
      </c>
      <c r="BB7" s="102">
        <f>BC7+BE7</f>
        <v>17252.263999999999</v>
      </c>
      <c r="BC7" s="74">
        <v>7841.65</v>
      </c>
      <c r="BD7" s="100">
        <f>(BC7-AY7)*100/AY7</f>
        <v>28.026102686676328</v>
      </c>
      <c r="BE7" s="103">
        <v>9410.6139999999996</v>
      </c>
      <c r="BF7" s="102">
        <f>(BE7-AZ7)*100/AZ7</f>
        <v>-11.238081943315862</v>
      </c>
      <c r="BG7" s="83">
        <f t="shared" ref="BG7:BG18" si="19">BC7-BE7</f>
        <v>-1568.9639999999999</v>
      </c>
      <c r="BH7" s="83">
        <f t="shared" ref="BH7:BH19" si="20">BI7+BJ7</f>
        <v>19713.32</v>
      </c>
      <c r="BI7" s="74">
        <v>8313.32</v>
      </c>
      <c r="BJ7" s="103">
        <v>11400</v>
      </c>
      <c r="BK7" s="83">
        <f t="shared" ref="BK7:BK18" si="21">BI7-BJ7</f>
        <v>-3086.6800000000003</v>
      </c>
      <c r="BL7" s="167">
        <f t="shared" ref="BL7:BL18" si="22">BM7+BN7</f>
        <v>16936.445</v>
      </c>
      <c r="BM7" s="178">
        <v>9050.4228000000003</v>
      </c>
      <c r="BN7" s="179">
        <v>7886.0222000000003</v>
      </c>
      <c r="BO7" s="355">
        <f t="shared" ref="BO7:BO18" si="23">BM7-BN7</f>
        <v>1164.4005999999999</v>
      </c>
      <c r="BP7" s="356">
        <f t="shared" ref="BP7:BP18" si="24">BQ7+BR7</f>
        <v>10355.186400000001</v>
      </c>
      <c r="BQ7" s="337">
        <v>9315.0565000000006</v>
      </c>
      <c r="BR7" s="337">
        <v>1040.1298999999999</v>
      </c>
      <c r="BS7" s="357">
        <f>BQ7-BR7</f>
        <v>8274.9266000000007</v>
      </c>
      <c r="BT7" s="167">
        <f>BU7+BV7</f>
        <v>16049.451300000001</v>
      </c>
      <c r="BU7" s="182">
        <v>8931.3580999999995</v>
      </c>
      <c r="BV7" s="182">
        <v>7118.0932000000003</v>
      </c>
      <c r="BW7" s="169">
        <f>BU7-BV7</f>
        <v>1813.2648999999992</v>
      </c>
      <c r="BX7" s="452">
        <f t="shared" ref="BX7:BX14" si="25">BY7+CA7</f>
        <v>15821.4967</v>
      </c>
      <c r="BY7" s="182">
        <v>9039.2945</v>
      </c>
      <c r="BZ7" s="184">
        <f t="shared" ref="BZ7:BZ14" si="26">(BY7-CD7)*100/CD7</f>
        <v>1.2085104951731866</v>
      </c>
      <c r="CA7" s="182">
        <v>6782.2021999999997</v>
      </c>
      <c r="CB7" s="184">
        <f t="shared" ref="CB7:CB8" si="27">(CA7-CE7)*100/CE7</f>
        <v>-4.7188339708729927</v>
      </c>
      <c r="CC7" s="453">
        <f t="shared" ref="CC7:CC8" si="28">BY7-CA7</f>
        <v>2257.0923000000003</v>
      </c>
      <c r="CD7" s="334">
        <v>8931.3580999999995</v>
      </c>
      <c r="CE7" s="334">
        <v>7118.0932000000003</v>
      </c>
      <c r="CG7" s="561"/>
      <c r="CH7" s="561"/>
      <c r="CI7" s="561"/>
      <c r="CJ7" s="561"/>
      <c r="CK7" s="561"/>
      <c r="CL7" s="561"/>
      <c r="CM7" s="561"/>
      <c r="CN7" s="561"/>
      <c r="CO7" s="561"/>
      <c r="CP7" s="469" t="s">
        <v>9</v>
      </c>
      <c r="CQ7" s="469" t="s">
        <v>1</v>
      </c>
      <c r="CR7" s="469" t="s">
        <v>2</v>
      </c>
      <c r="CS7" s="469" t="s">
        <v>3</v>
      </c>
      <c r="CT7" s="469" t="s">
        <v>9</v>
      </c>
      <c r="CU7" s="469" t="s">
        <v>1</v>
      </c>
      <c r="CV7" s="469" t="s">
        <v>2</v>
      </c>
      <c r="CW7" s="469" t="s">
        <v>3</v>
      </c>
      <c r="CX7" s="561"/>
      <c r="CY7" s="561"/>
    </row>
    <row r="8" spans="2:103" ht="32.25" customHeight="1" x14ac:dyDescent="0.5">
      <c r="B8" s="157" t="s">
        <v>14</v>
      </c>
      <c r="C8" s="27">
        <v>1618.69</v>
      </c>
      <c r="D8" s="27">
        <v>3203.17</v>
      </c>
      <c r="E8" s="28">
        <f t="shared" si="0"/>
        <v>-1584.48</v>
      </c>
      <c r="F8" s="27">
        <v>1618.69</v>
      </c>
      <c r="G8" s="29">
        <v>1823.51</v>
      </c>
      <c r="H8" s="30">
        <f t="shared" si="1"/>
        <v>12.653441980861063</v>
      </c>
      <c r="I8" s="29">
        <v>3203.17</v>
      </c>
      <c r="J8" s="29">
        <v>4301.93</v>
      </c>
      <c r="K8" s="30">
        <f t="shared" si="2"/>
        <v>34.302269314460368</v>
      </c>
      <c r="L8" s="30">
        <f t="shared" si="3"/>
        <v>-2478.42</v>
      </c>
      <c r="M8" s="29">
        <v>1823.51</v>
      </c>
      <c r="N8" s="31">
        <v>2013.19</v>
      </c>
      <c r="O8" s="32">
        <f t="shared" si="4"/>
        <v>10.401917181699035</v>
      </c>
      <c r="P8" s="31">
        <v>4301.93</v>
      </c>
      <c r="Q8" s="31">
        <v>11336.53</v>
      </c>
      <c r="R8" s="32">
        <f t="shared" si="5"/>
        <v>163.52195409967152</v>
      </c>
      <c r="S8" s="32">
        <f t="shared" si="6"/>
        <v>-9323.34</v>
      </c>
      <c r="T8" s="31">
        <v>2013.19</v>
      </c>
      <c r="U8" s="59">
        <v>1837.24</v>
      </c>
      <c r="V8" s="60">
        <f t="shared" si="7"/>
        <v>-8.7398606192162696</v>
      </c>
      <c r="W8" s="61">
        <v>11336.53</v>
      </c>
      <c r="X8" s="59">
        <v>6322.57</v>
      </c>
      <c r="Y8" s="60">
        <f t="shared" si="8"/>
        <v>-44.228348533457776</v>
      </c>
      <c r="Z8" s="62">
        <f t="shared" si="9"/>
        <v>-4485.33</v>
      </c>
      <c r="AA8" s="5">
        <v>1837.24</v>
      </c>
      <c r="AB8" s="50">
        <v>2526.0500000000002</v>
      </c>
      <c r="AC8" s="51">
        <f t="shared" si="10"/>
        <v>37.491563432104684</v>
      </c>
      <c r="AD8" s="50">
        <v>6322.57</v>
      </c>
      <c r="AE8" s="58">
        <v>21167.64</v>
      </c>
      <c r="AF8" s="53">
        <f t="shared" si="11"/>
        <v>234.79486980768897</v>
      </c>
      <c r="AG8" s="63">
        <f t="shared" si="12"/>
        <v>-18641.59</v>
      </c>
      <c r="AH8" s="50">
        <v>2526.0500000000002</v>
      </c>
      <c r="AI8" s="67">
        <v>2943.98</v>
      </c>
      <c r="AJ8" s="68">
        <f t="shared" si="13"/>
        <v>16.544803151164857</v>
      </c>
      <c r="AK8" s="69">
        <v>21167.599999999999</v>
      </c>
      <c r="AL8" s="67">
        <v>3891.72</v>
      </c>
      <c r="AM8" s="70">
        <f t="shared" si="14"/>
        <v>-81.614731948827455</v>
      </c>
      <c r="AN8" s="71">
        <f t="shared" si="15"/>
        <v>-947.73999999999978</v>
      </c>
      <c r="AO8" s="69">
        <v>4432.74</v>
      </c>
      <c r="AP8" s="69">
        <v>6369.19</v>
      </c>
      <c r="AQ8" s="71">
        <v>-1936.5</v>
      </c>
      <c r="AR8" s="78">
        <v>5040.26</v>
      </c>
      <c r="AS8" s="78">
        <v>5675.29</v>
      </c>
      <c r="AT8" s="79">
        <f t="shared" si="16"/>
        <v>-635.02999999999975</v>
      </c>
      <c r="AU8" s="78">
        <v>6119.33</v>
      </c>
      <c r="AV8" s="78">
        <v>7321.76</v>
      </c>
      <c r="AW8" s="79">
        <f t="shared" si="17"/>
        <v>-1202.4300000000003</v>
      </c>
      <c r="AX8" s="102">
        <f t="shared" ref="AX8:AX18" si="29">AY8+AZ8</f>
        <v>15940.364000000001</v>
      </c>
      <c r="AY8" s="104">
        <v>5975.22</v>
      </c>
      <c r="AZ8" s="104">
        <v>9965.1440000000002</v>
      </c>
      <c r="BA8" s="102">
        <f t="shared" si="18"/>
        <v>-3989.924</v>
      </c>
      <c r="BB8" s="102">
        <f t="shared" ref="BB8:BB19" si="30">BC8+BE8</f>
        <v>11588.634</v>
      </c>
      <c r="BC8" s="104">
        <v>7195.49</v>
      </c>
      <c r="BD8" s="100">
        <f>(BC8-AY8)*100/AY8</f>
        <v>20.422176924029568</v>
      </c>
      <c r="BE8" s="104">
        <v>4393.1440000000002</v>
      </c>
      <c r="BF8" s="102">
        <f t="shared" ref="BF8:BF19" si="31">(BE8-AZ8)*100/AZ8</f>
        <v>-55.914896964860716</v>
      </c>
      <c r="BG8" s="83">
        <f>BC8-BE8</f>
        <v>2802.3459999999995</v>
      </c>
      <c r="BH8" s="83">
        <f t="shared" si="20"/>
        <v>18787.03</v>
      </c>
      <c r="BI8" s="104">
        <v>8032.89</v>
      </c>
      <c r="BJ8" s="104">
        <v>10754.14</v>
      </c>
      <c r="BK8" s="83">
        <f t="shared" si="21"/>
        <v>-2721.2499999999991</v>
      </c>
      <c r="BL8" s="167">
        <f t="shared" si="22"/>
        <v>16480.09</v>
      </c>
      <c r="BM8" s="178">
        <v>9184.1232</v>
      </c>
      <c r="BN8" s="179">
        <v>7295.9668000000001</v>
      </c>
      <c r="BO8" s="355">
        <f t="shared" si="23"/>
        <v>1888.1563999999998</v>
      </c>
      <c r="BP8" s="356">
        <f t="shared" si="24"/>
        <v>17407.422599999998</v>
      </c>
      <c r="BQ8" s="337">
        <v>10652.440699999999</v>
      </c>
      <c r="BR8" s="337">
        <v>6754.9818999999998</v>
      </c>
      <c r="BS8" s="357">
        <f>BQ8-BR8</f>
        <v>3897.4587999999994</v>
      </c>
      <c r="BT8" s="167">
        <f t="shared" ref="BT8:BT18" si="32">BU8+BV8</f>
        <v>14894.759699999999</v>
      </c>
      <c r="BU8" s="182">
        <v>8602.4588999999996</v>
      </c>
      <c r="BV8" s="182">
        <v>6292.3008</v>
      </c>
      <c r="BW8" s="169">
        <f t="shared" ref="BW8:BW18" si="33">BU8-BV8</f>
        <v>2310.1580999999996</v>
      </c>
      <c r="BX8" s="452">
        <f t="shared" si="25"/>
        <v>15321.596099999999</v>
      </c>
      <c r="BY8" s="182">
        <v>8416.9048999999995</v>
      </c>
      <c r="BZ8" s="184">
        <f t="shared" si="26"/>
        <v>-2.1569879281841162</v>
      </c>
      <c r="CA8" s="182">
        <v>6904.6912000000002</v>
      </c>
      <c r="CB8" s="184">
        <f t="shared" si="27"/>
        <v>9.7323764305736979</v>
      </c>
      <c r="CC8" s="453">
        <f t="shared" si="28"/>
        <v>1512.2136999999993</v>
      </c>
      <c r="CD8" s="334">
        <v>8602.4588999999996</v>
      </c>
      <c r="CE8" s="334">
        <v>6292.3008</v>
      </c>
      <c r="CG8" s="456" t="s">
        <v>13</v>
      </c>
      <c r="CH8" s="334">
        <v>10355.186400000001</v>
      </c>
      <c r="CI8" s="334">
        <v>9315.0565000000006</v>
      </c>
      <c r="CJ8" s="334">
        <v>1040.1298999999999</v>
      </c>
      <c r="CK8" s="334">
        <v>8274.9264999999996</v>
      </c>
      <c r="CL8" s="334">
        <v>16049.4514</v>
      </c>
      <c r="CM8" s="334">
        <v>8931.3580999999995</v>
      </c>
      <c r="CN8" s="334">
        <v>7118.0932000000003</v>
      </c>
      <c r="CO8" s="334">
        <v>1813.2648999999999</v>
      </c>
      <c r="CP8" s="334">
        <v>16049.4514</v>
      </c>
      <c r="CQ8" s="334">
        <v>8931.3580999999995</v>
      </c>
      <c r="CR8" s="334">
        <v>7118.0932000000003</v>
      </c>
      <c r="CS8" s="334">
        <v>1813.2648999999999</v>
      </c>
      <c r="CT8" s="334">
        <v>15821.4967</v>
      </c>
      <c r="CU8" s="334">
        <v>9039.2945</v>
      </c>
      <c r="CV8" s="334">
        <v>6782.2021999999997</v>
      </c>
      <c r="CW8" s="334">
        <v>2257.0922999999998</v>
      </c>
      <c r="CX8" s="472" t="s">
        <v>275</v>
      </c>
      <c r="CY8" s="472" t="s">
        <v>276</v>
      </c>
    </row>
    <row r="9" spans="2:103" s="33" customFormat="1" ht="32.25" customHeight="1" x14ac:dyDescent="0.5">
      <c r="B9" s="158" t="s">
        <v>15</v>
      </c>
      <c r="C9" s="27">
        <v>1737.96</v>
      </c>
      <c r="D9" s="27">
        <v>2647.61</v>
      </c>
      <c r="E9" s="28">
        <f t="shared" si="0"/>
        <v>-909.65000000000009</v>
      </c>
      <c r="F9" s="27">
        <v>1737.96</v>
      </c>
      <c r="G9" s="29">
        <v>2100.17</v>
      </c>
      <c r="H9" s="30">
        <f t="shared" si="1"/>
        <v>20.841101061014061</v>
      </c>
      <c r="I9" s="29">
        <v>2647.61</v>
      </c>
      <c r="J9" s="29">
        <v>4595.87</v>
      </c>
      <c r="K9" s="30">
        <f t="shared" si="2"/>
        <v>73.58561117385112</v>
      </c>
      <c r="L9" s="30">
        <f t="shared" si="3"/>
        <v>-2495.6999999999998</v>
      </c>
      <c r="M9" s="29">
        <v>2100.17</v>
      </c>
      <c r="N9" s="31">
        <v>1829.84</v>
      </c>
      <c r="O9" s="32">
        <f t="shared" si="4"/>
        <v>-12.871815138774487</v>
      </c>
      <c r="P9" s="31">
        <v>4595.87</v>
      </c>
      <c r="Q9" s="31">
        <v>5475</v>
      </c>
      <c r="R9" s="32">
        <f t="shared" si="5"/>
        <v>19.128695981391992</v>
      </c>
      <c r="S9" s="32">
        <f t="shared" si="6"/>
        <v>-3645.16</v>
      </c>
      <c r="T9" s="31">
        <v>1829.84</v>
      </c>
      <c r="U9" s="59">
        <v>2045.04</v>
      </c>
      <c r="V9" s="60">
        <f t="shared" si="7"/>
        <v>11.760591089931363</v>
      </c>
      <c r="W9" s="61">
        <v>5475</v>
      </c>
      <c r="X9" s="59">
        <v>6397.86</v>
      </c>
      <c r="Y9" s="60">
        <f t="shared" si="8"/>
        <v>16.855890410958899</v>
      </c>
      <c r="Z9" s="62">
        <f t="shared" si="9"/>
        <v>-4352.82</v>
      </c>
      <c r="AA9" s="5">
        <v>2045.04</v>
      </c>
      <c r="AB9" s="50">
        <v>3043.26</v>
      </c>
      <c r="AC9" s="51">
        <f t="shared" si="10"/>
        <v>48.811759183194475</v>
      </c>
      <c r="AD9" s="50">
        <v>6397.86</v>
      </c>
      <c r="AE9" s="58">
        <v>387.54</v>
      </c>
      <c r="AF9" s="53">
        <f t="shared" si="11"/>
        <v>-93.942662077632207</v>
      </c>
      <c r="AG9" s="63">
        <f t="shared" si="12"/>
        <v>2655.7200000000003</v>
      </c>
      <c r="AH9" s="52">
        <v>3043.26</v>
      </c>
      <c r="AI9" s="67">
        <v>3761.62</v>
      </c>
      <c r="AJ9" s="68">
        <f t="shared" si="13"/>
        <v>23.604949954982473</v>
      </c>
      <c r="AK9" s="69">
        <v>387.57</v>
      </c>
      <c r="AL9" s="67">
        <v>7835.12</v>
      </c>
      <c r="AM9" s="70">
        <f t="shared" si="14"/>
        <v>1921.6012591273834</v>
      </c>
      <c r="AN9" s="71">
        <f t="shared" si="15"/>
        <v>-4073.5</v>
      </c>
      <c r="AO9" s="69">
        <v>5411.9</v>
      </c>
      <c r="AP9" s="69">
        <v>7300.8700000000008</v>
      </c>
      <c r="AQ9" s="71">
        <v>-1889</v>
      </c>
      <c r="AR9" s="78">
        <v>5916.15</v>
      </c>
      <c r="AS9" s="78">
        <v>6632.24</v>
      </c>
      <c r="AT9" s="79">
        <f t="shared" si="16"/>
        <v>-716.09000000000015</v>
      </c>
      <c r="AU9" s="78">
        <v>7121.29</v>
      </c>
      <c r="AV9" s="78">
        <v>9184.91</v>
      </c>
      <c r="AW9" s="79">
        <f t="shared" si="17"/>
        <v>-2063.62</v>
      </c>
      <c r="AX9" s="102">
        <f t="shared" si="29"/>
        <v>15971.54</v>
      </c>
      <c r="AY9" s="104">
        <v>7988.09</v>
      </c>
      <c r="AZ9" s="104">
        <v>7983.45</v>
      </c>
      <c r="BA9" s="102">
        <f t="shared" si="18"/>
        <v>4.6400000000003274</v>
      </c>
      <c r="BB9" s="102">
        <f t="shared" si="30"/>
        <v>17436.57</v>
      </c>
      <c r="BC9" s="104">
        <v>8594.57</v>
      </c>
      <c r="BD9" s="100">
        <f t="shared" ref="BD9:BD19" si="34">(BC9-AY9)*100/AY9</f>
        <v>7.5923030411525101</v>
      </c>
      <c r="BE9" s="104">
        <v>8842</v>
      </c>
      <c r="BF9" s="102">
        <f t="shared" si="31"/>
        <v>10.754122591110361</v>
      </c>
      <c r="BG9" s="83">
        <f t="shared" si="19"/>
        <v>-247.43000000000029</v>
      </c>
      <c r="BH9" s="83">
        <f t="shared" si="20"/>
        <v>20354.89</v>
      </c>
      <c r="BI9" s="104">
        <v>9966.92</v>
      </c>
      <c r="BJ9" s="104">
        <v>10387.969999999999</v>
      </c>
      <c r="BK9" s="83">
        <f t="shared" si="21"/>
        <v>-421.04999999999927</v>
      </c>
      <c r="BL9" s="167">
        <f t="shared" si="22"/>
        <v>16612.0867</v>
      </c>
      <c r="BM9" s="178">
        <v>10258.136699999999</v>
      </c>
      <c r="BN9" s="179">
        <v>6353.95</v>
      </c>
      <c r="BO9" s="355">
        <f t="shared" si="23"/>
        <v>3904.1866999999993</v>
      </c>
      <c r="BP9" s="356">
        <f t="shared" si="24"/>
        <v>17189.8426</v>
      </c>
      <c r="BQ9" s="337">
        <v>11626.3336</v>
      </c>
      <c r="BR9" s="337">
        <v>5563.509</v>
      </c>
      <c r="BS9" s="357">
        <f t="shared" ref="BS9:BS18" si="35">BQ9-BR9</f>
        <v>6062.8245999999999</v>
      </c>
      <c r="BT9" s="167">
        <f t="shared" si="32"/>
        <v>16763.688399999999</v>
      </c>
      <c r="BU9" s="182">
        <v>10704.742200000001</v>
      </c>
      <c r="BV9" s="182">
        <v>6058.9462000000003</v>
      </c>
      <c r="BW9" s="169">
        <f t="shared" si="33"/>
        <v>4645.7960000000003</v>
      </c>
      <c r="BX9" s="452">
        <f t="shared" si="25"/>
        <v>18467.7876</v>
      </c>
      <c r="BY9" s="182">
        <v>10572.6636</v>
      </c>
      <c r="BZ9" s="184">
        <f t="shared" si="26"/>
        <v>-1.233832609252381</v>
      </c>
      <c r="CA9" s="182">
        <v>7895.1239999999998</v>
      </c>
      <c r="CB9" s="184">
        <f t="shared" ref="CB9" si="36">(CA9-CE9)*100/CE9</f>
        <v>30.305233606464427</v>
      </c>
      <c r="CC9" s="453">
        <f t="shared" ref="CC9" si="37">BY9-CA9</f>
        <v>2677.5396000000001</v>
      </c>
      <c r="CD9" s="334">
        <v>10704.742200000001</v>
      </c>
      <c r="CE9" s="334">
        <v>6058.9462000000003</v>
      </c>
      <c r="CG9" s="456" t="s">
        <v>14</v>
      </c>
      <c r="CH9" s="334">
        <v>17407.422600000002</v>
      </c>
      <c r="CI9" s="334">
        <v>10652.440699999999</v>
      </c>
      <c r="CJ9" s="334">
        <v>6754.9818999999998</v>
      </c>
      <c r="CK9" s="334">
        <v>3897.4587999999999</v>
      </c>
      <c r="CL9" s="334">
        <v>14894.759700000001</v>
      </c>
      <c r="CM9" s="334">
        <v>8602.4588999999996</v>
      </c>
      <c r="CN9" s="334">
        <v>6292.3008</v>
      </c>
      <c r="CO9" s="334">
        <v>2310.1579999999999</v>
      </c>
      <c r="CP9" s="334">
        <v>14894.759700000001</v>
      </c>
      <c r="CQ9" s="334">
        <v>8602.4588999999996</v>
      </c>
      <c r="CR9" s="334">
        <v>6292.3008</v>
      </c>
      <c r="CS9" s="334">
        <v>2310.1579999999999</v>
      </c>
      <c r="CT9" s="334">
        <v>15321.5962</v>
      </c>
      <c r="CU9" s="334">
        <v>8416.9048999999995</v>
      </c>
      <c r="CV9" s="334">
        <v>6904.6912000000002</v>
      </c>
      <c r="CW9" s="334">
        <v>1512.2136</v>
      </c>
      <c r="CX9" s="472" t="s">
        <v>277</v>
      </c>
      <c r="CY9" s="472" t="s">
        <v>278</v>
      </c>
    </row>
    <row r="10" spans="2:103" s="33" customFormat="1" ht="32.25" customHeight="1" x14ac:dyDescent="0.5">
      <c r="B10" s="158" t="s">
        <v>16</v>
      </c>
      <c r="C10" s="27">
        <v>1535.98</v>
      </c>
      <c r="D10" s="27">
        <v>3457.72</v>
      </c>
      <c r="E10" s="28">
        <f t="shared" si="0"/>
        <v>-1921.7399999999998</v>
      </c>
      <c r="F10" s="27">
        <v>1535.98</v>
      </c>
      <c r="G10" s="29">
        <v>1757.23</v>
      </c>
      <c r="H10" s="34">
        <f t="shared" si="1"/>
        <v>14.40448443339106</v>
      </c>
      <c r="I10" s="29">
        <v>3457.72</v>
      </c>
      <c r="J10" s="29">
        <v>4627.13</v>
      </c>
      <c r="K10" s="30">
        <f t="shared" si="2"/>
        <v>33.820263063521637</v>
      </c>
      <c r="L10" s="30">
        <f t="shared" si="3"/>
        <v>-2869.9</v>
      </c>
      <c r="M10" s="29">
        <v>1757.23</v>
      </c>
      <c r="N10" s="31">
        <v>1557.84</v>
      </c>
      <c r="O10" s="32">
        <f t="shared" si="4"/>
        <v>-11.346835644736323</v>
      </c>
      <c r="P10" s="31">
        <v>4627.13</v>
      </c>
      <c r="Q10" s="31">
        <v>5266.99</v>
      </c>
      <c r="R10" s="32">
        <f t="shared" si="5"/>
        <v>13.828442252540984</v>
      </c>
      <c r="S10" s="32">
        <f t="shared" si="6"/>
        <v>-3709.1499999999996</v>
      </c>
      <c r="T10" s="31">
        <v>1557.84</v>
      </c>
      <c r="U10" s="59">
        <v>1760.38</v>
      </c>
      <c r="V10" s="60">
        <f t="shared" si="7"/>
        <v>13.001335182046949</v>
      </c>
      <c r="W10" s="61">
        <v>5266.99</v>
      </c>
      <c r="X10" s="59">
        <v>6106.6</v>
      </c>
      <c r="Y10" s="60">
        <f t="shared" si="8"/>
        <v>15.940983370008309</v>
      </c>
      <c r="Z10" s="62">
        <f t="shared" si="9"/>
        <v>-4346.22</v>
      </c>
      <c r="AA10" s="5">
        <v>1760.38</v>
      </c>
      <c r="AB10" s="50">
        <v>2600.7800000000002</v>
      </c>
      <c r="AC10" s="51">
        <f t="shared" si="10"/>
        <v>47.73969256637772</v>
      </c>
      <c r="AD10" s="50">
        <v>6106.6</v>
      </c>
      <c r="AE10" s="58">
        <v>13644.94</v>
      </c>
      <c r="AF10" s="53">
        <f t="shared" si="11"/>
        <v>123.44577997576393</v>
      </c>
      <c r="AG10" s="63">
        <f t="shared" si="12"/>
        <v>-11044.16</v>
      </c>
      <c r="AH10" s="54">
        <v>2600.7800000000002</v>
      </c>
      <c r="AI10" s="67">
        <v>3133.22</v>
      </c>
      <c r="AJ10" s="68">
        <f t="shared" si="13"/>
        <v>20.472319842508767</v>
      </c>
      <c r="AK10" s="69">
        <v>13644.93</v>
      </c>
      <c r="AL10" s="67">
        <v>7701.27</v>
      </c>
      <c r="AM10" s="70">
        <f t="shared" si="14"/>
        <v>-43.559475937216241</v>
      </c>
      <c r="AN10" s="71">
        <f t="shared" si="15"/>
        <v>-4568.0500000000011</v>
      </c>
      <c r="AO10" s="69">
        <v>3696.16</v>
      </c>
      <c r="AP10" s="69">
        <v>5655.67</v>
      </c>
      <c r="AQ10" s="71">
        <f t="shared" ref="AQ10:AQ18" si="38">AO10-AP10</f>
        <v>-1959.5100000000002</v>
      </c>
      <c r="AR10" s="78">
        <v>5170.43</v>
      </c>
      <c r="AS10" s="78">
        <v>7618.41</v>
      </c>
      <c r="AT10" s="79">
        <f t="shared" si="16"/>
        <v>-2447.9799999999996</v>
      </c>
      <c r="AU10" s="78">
        <v>4749.28</v>
      </c>
      <c r="AV10" s="78">
        <v>10870.49</v>
      </c>
      <c r="AW10" s="79">
        <f t="shared" si="17"/>
        <v>-6121.21</v>
      </c>
      <c r="AX10" s="102">
        <f t="shared" si="29"/>
        <v>16741.879999999997</v>
      </c>
      <c r="AY10" s="104">
        <v>6057.99</v>
      </c>
      <c r="AZ10" s="104">
        <v>10683.89</v>
      </c>
      <c r="BA10" s="102">
        <f t="shared" si="18"/>
        <v>-4625.8999999999996</v>
      </c>
      <c r="BB10" s="102">
        <f t="shared" si="30"/>
        <v>17218.39</v>
      </c>
      <c r="BC10" s="105">
        <v>7311.79</v>
      </c>
      <c r="BD10" s="100">
        <f t="shared" si="34"/>
        <v>20.696633701937444</v>
      </c>
      <c r="BE10" s="105">
        <v>9906.6</v>
      </c>
      <c r="BF10" s="102">
        <f t="shared" si="31"/>
        <v>-7.2753463392079025</v>
      </c>
      <c r="BG10" s="83">
        <f t="shared" si="19"/>
        <v>-2594.8100000000004</v>
      </c>
      <c r="BH10" s="83">
        <f t="shared" si="20"/>
        <v>19325.760000000002</v>
      </c>
      <c r="BI10" s="104">
        <v>7558.64</v>
      </c>
      <c r="BJ10" s="104">
        <v>11767.12</v>
      </c>
      <c r="BK10" s="83">
        <f t="shared" si="21"/>
        <v>-4208.4800000000005</v>
      </c>
      <c r="BL10" s="167">
        <f t="shared" si="22"/>
        <v>15204.6181</v>
      </c>
      <c r="BM10" s="178">
        <v>8618.8176999999996</v>
      </c>
      <c r="BN10" s="179">
        <v>6585.8004000000001</v>
      </c>
      <c r="BO10" s="355">
        <f t="shared" si="23"/>
        <v>2033.0172999999995</v>
      </c>
      <c r="BP10" s="356">
        <f t="shared" si="24"/>
        <v>13386.838599999999</v>
      </c>
      <c r="BQ10" s="337">
        <v>7732.2488999999996</v>
      </c>
      <c r="BR10" s="337">
        <v>5654.5897000000004</v>
      </c>
      <c r="BS10" s="357">
        <f t="shared" si="35"/>
        <v>2077.6591999999991</v>
      </c>
      <c r="BT10" s="167">
        <f t="shared" si="32"/>
        <v>16377.864600000001</v>
      </c>
      <c r="BU10" s="182">
        <v>8851.8984</v>
      </c>
      <c r="BV10" s="182">
        <v>7525.9661999999998</v>
      </c>
      <c r="BW10" s="169">
        <f t="shared" si="33"/>
        <v>1325.9322000000002</v>
      </c>
      <c r="BX10" s="452">
        <f t="shared" si="25"/>
        <v>16253.115399999999</v>
      </c>
      <c r="BY10" s="182">
        <v>8040.0114000000003</v>
      </c>
      <c r="BZ10" s="184">
        <f t="shared" si="26"/>
        <v>-9.1718969571544076</v>
      </c>
      <c r="CA10" s="182">
        <v>8213.1039999999994</v>
      </c>
      <c r="CB10" s="184">
        <f t="shared" ref="CB10" si="39">(CA10-CE10)*100/CE10</f>
        <v>9.130227026531152</v>
      </c>
      <c r="CC10" s="453">
        <f t="shared" ref="CC10" si="40">BY10-CA10</f>
        <v>-173.09259999999904</v>
      </c>
      <c r="CD10" s="334">
        <v>8851.8984</v>
      </c>
      <c r="CE10" s="334">
        <v>7525.9661999999998</v>
      </c>
      <c r="CG10" s="456" t="s">
        <v>15</v>
      </c>
      <c r="CH10" s="334">
        <v>17189.8426</v>
      </c>
      <c r="CI10" s="334">
        <v>11626.3336</v>
      </c>
      <c r="CJ10" s="334">
        <v>5563.509</v>
      </c>
      <c r="CK10" s="334">
        <v>6062.8245999999999</v>
      </c>
      <c r="CL10" s="334">
        <v>16763.688399999999</v>
      </c>
      <c r="CM10" s="334">
        <v>10704.742200000001</v>
      </c>
      <c r="CN10" s="334">
        <v>6058.9462000000003</v>
      </c>
      <c r="CO10" s="334">
        <v>4645.7960000000003</v>
      </c>
      <c r="CP10" s="334">
        <v>16763.688399999999</v>
      </c>
      <c r="CQ10" s="334">
        <v>10704.742200000001</v>
      </c>
      <c r="CR10" s="334">
        <v>6058.9462000000003</v>
      </c>
      <c r="CS10" s="334">
        <v>4645.7960000000003</v>
      </c>
      <c r="CT10" s="334">
        <v>18467.7876</v>
      </c>
      <c r="CU10" s="334">
        <v>10572.6636</v>
      </c>
      <c r="CV10" s="334">
        <v>7895.1239999999998</v>
      </c>
      <c r="CW10" s="334">
        <v>2677.5394999999999</v>
      </c>
      <c r="CX10" s="472" t="s">
        <v>279</v>
      </c>
      <c r="CY10" s="472" t="s">
        <v>280</v>
      </c>
    </row>
    <row r="11" spans="2:103" s="33" customFormat="1" ht="32.25" customHeight="1" x14ac:dyDescent="0.5">
      <c r="B11" s="158" t="s">
        <v>17</v>
      </c>
      <c r="C11" s="27">
        <v>1764.03</v>
      </c>
      <c r="D11" s="27">
        <v>4071.78</v>
      </c>
      <c r="E11" s="28">
        <f t="shared" si="0"/>
        <v>-2307.75</v>
      </c>
      <c r="F11" s="27">
        <v>1764.03</v>
      </c>
      <c r="G11" s="29">
        <v>1874.39</v>
      </c>
      <c r="H11" s="34">
        <f t="shared" si="1"/>
        <v>6.2561294309053777</v>
      </c>
      <c r="I11" s="29">
        <v>4071.78</v>
      </c>
      <c r="J11" s="29">
        <v>5263.47</v>
      </c>
      <c r="K11" s="30">
        <f t="shared" si="2"/>
        <v>29.26705273860572</v>
      </c>
      <c r="L11" s="30">
        <f t="shared" si="3"/>
        <v>-3389.08</v>
      </c>
      <c r="M11" s="29">
        <v>1874.39</v>
      </c>
      <c r="N11" s="31">
        <v>1470.98</v>
      </c>
      <c r="O11" s="32">
        <f t="shared" si="4"/>
        <v>-21.522201889681448</v>
      </c>
      <c r="P11" s="31">
        <v>5263.47</v>
      </c>
      <c r="Q11" s="31">
        <v>7325.97</v>
      </c>
      <c r="R11" s="32">
        <f t="shared" si="5"/>
        <v>39.185176319044281</v>
      </c>
      <c r="S11" s="32">
        <f t="shared" si="6"/>
        <v>-5854.99</v>
      </c>
      <c r="T11" s="31">
        <v>1470.98</v>
      </c>
      <c r="U11" s="59">
        <v>1961.36</v>
      </c>
      <c r="V11" s="60">
        <f t="shared" si="7"/>
        <v>33.336959034113299</v>
      </c>
      <c r="W11" s="61">
        <v>7325.97</v>
      </c>
      <c r="X11" s="59">
        <v>7384.93</v>
      </c>
      <c r="Y11" s="60">
        <f t="shared" si="8"/>
        <v>0.80480810049727247</v>
      </c>
      <c r="Z11" s="62">
        <f t="shared" si="9"/>
        <v>-5423.5700000000006</v>
      </c>
      <c r="AA11" s="5">
        <v>1961.36</v>
      </c>
      <c r="AB11" s="50">
        <v>3170.06</v>
      </c>
      <c r="AC11" s="51">
        <f t="shared" si="10"/>
        <v>61.625606721866461</v>
      </c>
      <c r="AD11" s="50">
        <v>7384.93</v>
      </c>
      <c r="AE11" s="58">
        <v>327.62</v>
      </c>
      <c r="AF11" s="53">
        <f t="shared" si="11"/>
        <v>-95.563668172887219</v>
      </c>
      <c r="AG11" s="63">
        <f t="shared" si="12"/>
        <v>2842.44</v>
      </c>
      <c r="AH11" s="54">
        <v>3170.06</v>
      </c>
      <c r="AI11" s="67">
        <v>3803.22</v>
      </c>
      <c r="AJ11" s="68">
        <f t="shared" si="13"/>
        <v>19.97312353709393</v>
      </c>
      <c r="AK11" s="69">
        <v>327.62</v>
      </c>
      <c r="AL11" s="67">
        <v>8206.91</v>
      </c>
      <c r="AM11" s="70">
        <f t="shared" si="14"/>
        <v>2405.0088517184545</v>
      </c>
      <c r="AN11" s="71">
        <f t="shared" si="15"/>
        <v>-4403.6900000000005</v>
      </c>
      <c r="AO11" s="69">
        <v>5432.98</v>
      </c>
      <c r="AP11" s="69">
        <v>7828.63</v>
      </c>
      <c r="AQ11" s="71">
        <f t="shared" si="38"/>
        <v>-2395.6500000000005</v>
      </c>
      <c r="AR11" s="81">
        <v>5263.1</v>
      </c>
      <c r="AS11" s="81">
        <v>7949.97</v>
      </c>
      <c r="AT11" s="79">
        <f t="shared" si="16"/>
        <v>-2686.87</v>
      </c>
      <c r="AU11" s="81">
        <v>6153.52</v>
      </c>
      <c r="AV11" s="78">
        <v>6956.67</v>
      </c>
      <c r="AW11" s="79">
        <f t="shared" si="17"/>
        <v>-803.14999999999964</v>
      </c>
      <c r="AX11" s="102">
        <f t="shared" si="29"/>
        <v>14075.83</v>
      </c>
      <c r="AY11" s="76">
        <v>7273.03</v>
      </c>
      <c r="AZ11" s="104">
        <v>6802.8</v>
      </c>
      <c r="BA11" s="102">
        <f t="shared" si="18"/>
        <v>470.22999999999956</v>
      </c>
      <c r="BB11" s="102">
        <f t="shared" si="30"/>
        <v>18123.580000000002</v>
      </c>
      <c r="BC11" s="76">
        <v>8628.01</v>
      </c>
      <c r="BD11" s="100">
        <f t="shared" si="34"/>
        <v>18.630199517945073</v>
      </c>
      <c r="BE11" s="104">
        <v>9495.57</v>
      </c>
      <c r="BF11" s="102">
        <f t="shared" si="31"/>
        <v>39.583259834185917</v>
      </c>
      <c r="BG11" s="83">
        <f t="shared" si="19"/>
        <v>-867.55999999999949</v>
      </c>
      <c r="BH11" s="83">
        <f t="shared" si="20"/>
        <v>15403.720000000001</v>
      </c>
      <c r="BI11" s="76">
        <v>9019.75</v>
      </c>
      <c r="BJ11" s="104">
        <v>6383.97</v>
      </c>
      <c r="BK11" s="83">
        <f t="shared" si="21"/>
        <v>2635.7799999999997</v>
      </c>
      <c r="BL11" s="167">
        <f t="shared" si="22"/>
        <v>15918.2284</v>
      </c>
      <c r="BM11" s="178">
        <v>9721.3142000000007</v>
      </c>
      <c r="BN11" s="179">
        <v>6196.9142000000002</v>
      </c>
      <c r="BO11" s="355">
        <f t="shared" si="23"/>
        <v>3524.4000000000005</v>
      </c>
      <c r="BP11" s="356">
        <f t="shared" si="24"/>
        <v>15683.162199999999</v>
      </c>
      <c r="BQ11" s="337">
        <v>9474.3871999999992</v>
      </c>
      <c r="BR11" s="337">
        <v>6208.7749999999996</v>
      </c>
      <c r="BS11" s="357">
        <f t="shared" si="35"/>
        <v>3265.6121999999996</v>
      </c>
      <c r="BT11" s="167">
        <f t="shared" si="32"/>
        <v>16954.2055</v>
      </c>
      <c r="BU11" s="182">
        <v>10268.5753</v>
      </c>
      <c r="BV11" s="182">
        <v>6685.6301999999996</v>
      </c>
      <c r="BW11" s="169">
        <f t="shared" si="33"/>
        <v>3582.9451000000008</v>
      </c>
      <c r="BX11" s="452">
        <f t="shared" si="25"/>
        <v>18423.323100000001</v>
      </c>
      <c r="BY11" s="182">
        <v>10042.547500000001</v>
      </c>
      <c r="BZ11" s="184">
        <f t="shared" si="26"/>
        <v>-2.2011602719609975</v>
      </c>
      <c r="CA11" s="182">
        <v>8380.7756000000008</v>
      </c>
      <c r="CB11" s="184">
        <f t="shared" ref="CB11" si="41">(CA11-CE11)*100/CE11</f>
        <v>25.355057777500189</v>
      </c>
      <c r="CC11" s="453">
        <f t="shared" ref="CC11" si="42">BY11-CA11</f>
        <v>1661.7718999999997</v>
      </c>
      <c r="CD11" s="334">
        <v>10268.5753</v>
      </c>
      <c r="CE11" s="334">
        <v>6685.6301999999996</v>
      </c>
      <c r="CG11" s="456" t="s">
        <v>16</v>
      </c>
      <c r="CH11" s="334">
        <v>13386.838599999999</v>
      </c>
      <c r="CI11" s="334">
        <v>7732.2488999999996</v>
      </c>
      <c r="CJ11" s="334">
        <v>5654.5897000000004</v>
      </c>
      <c r="CK11" s="334">
        <v>2077.6592000000001</v>
      </c>
      <c r="CL11" s="334">
        <v>16377.864600000001</v>
      </c>
      <c r="CM11" s="334">
        <v>8851.8984</v>
      </c>
      <c r="CN11" s="334">
        <v>7525.9661999999998</v>
      </c>
      <c r="CO11" s="334">
        <v>1325.9321</v>
      </c>
      <c r="CP11" s="334">
        <v>16377.864600000001</v>
      </c>
      <c r="CQ11" s="334">
        <v>8851.8984</v>
      </c>
      <c r="CR11" s="334">
        <v>7525.9661999999998</v>
      </c>
      <c r="CS11" s="334">
        <v>1325.9321</v>
      </c>
      <c r="CT11" s="334">
        <v>16253.115400000001</v>
      </c>
      <c r="CU11" s="334">
        <v>8040.0114000000003</v>
      </c>
      <c r="CV11" s="334">
        <v>8213.1039999999994</v>
      </c>
      <c r="CW11" s="334">
        <v>-173.0925</v>
      </c>
      <c r="CX11" s="472" t="s">
        <v>281</v>
      </c>
      <c r="CY11" s="472" t="s">
        <v>282</v>
      </c>
    </row>
    <row r="12" spans="2:103" s="33" customFormat="1" ht="32.25" customHeight="1" x14ac:dyDescent="0.5">
      <c r="B12" s="158" t="s">
        <v>18</v>
      </c>
      <c r="C12" s="27">
        <v>1882.01</v>
      </c>
      <c r="D12" s="27">
        <v>4366.3599999999997</v>
      </c>
      <c r="E12" s="28">
        <f t="shared" si="0"/>
        <v>-2484.3499999999995</v>
      </c>
      <c r="F12" s="27">
        <v>1882.01</v>
      </c>
      <c r="G12" s="29">
        <v>1742.12</v>
      </c>
      <c r="H12" s="34">
        <f t="shared" si="1"/>
        <v>-7.4330104515916551</v>
      </c>
      <c r="I12" s="29">
        <v>4366.3599999999997</v>
      </c>
      <c r="J12" s="29">
        <v>5209.46</v>
      </c>
      <c r="K12" s="30">
        <f t="shared" si="2"/>
        <v>19.30898963896702</v>
      </c>
      <c r="L12" s="30">
        <f t="shared" si="3"/>
        <v>-3467.34</v>
      </c>
      <c r="M12" s="29">
        <v>1742.12</v>
      </c>
      <c r="N12" s="31">
        <v>1290.05</v>
      </c>
      <c r="O12" s="32">
        <f t="shared" si="4"/>
        <v>-25.949417950543015</v>
      </c>
      <c r="P12" s="31">
        <v>5209.46</v>
      </c>
      <c r="Q12" s="31">
        <v>6583.09</v>
      </c>
      <c r="R12" s="32">
        <f t="shared" si="5"/>
        <v>26.367992075954131</v>
      </c>
      <c r="S12" s="32">
        <f t="shared" si="6"/>
        <v>-5293.04</v>
      </c>
      <c r="T12" s="31">
        <v>1290.05</v>
      </c>
      <c r="U12" s="59">
        <v>1811.21</v>
      </c>
      <c r="V12" s="60">
        <f t="shared" si="7"/>
        <v>40.398434169218255</v>
      </c>
      <c r="W12" s="61">
        <v>6583.09</v>
      </c>
      <c r="X12" s="59">
        <v>6251.29</v>
      </c>
      <c r="Y12" s="60">
        <f t="shared" si="8"/>
        <v>-5.0401862954934558</v>
      </c>
      <c r="Z12" s="62">
        <f t="shared" si="9"/>
        <v>-4440.08</v>
      </c>
      <c r="AA12" s="5">
        <v>1811.21</v>
      </c>
      <c r="AB12" s="50">
        <v>3205.82</v>
      </c>
      <c r="AC12" s="51">
        <f t="shared" si="10"/>
        <v>76.998801905908209</v>
      </c>
      <c r="AD12" s="50">
        <v>6251.29</v>
      </c>
      <c r="AE12" s="58">
        <v>13422.59</v>
      </c>
      <c r="AF12" s="53">
        <f t="shared" si="11"/>
        <v>114.71712238593955</v>
      </c>
      <c r="AG12" s="63">
        <f t="shared" si="12"/>
        <v>-10216.77</v>
      </c>
      <c r="AH12" s="54">
        <v>3205.82</v>
      </c>
      <c r="AI12" s="67">
        <v>3219.35</v>
      </c>
      <c r="AJ12" s="68">
        <f t="shared" si="13"/>
        <v>0.42204490582751825</v>
      </c>
      <c r="AK12" s="69">
        <v>13422.59</v>
      </c>
      <c r="AL12" s="67">
        <v>9398.75</v>
      </c>
      <c r="AM12" s="70">
        <f t="shared" si="14"/>
        <v>-29.978118977037962</v>
      </c>
      <c r="AN12" s="71">
        <f t="shared" si="15"/>
        <v>-6179.4</v>
      </c>
      <c r="AO12" s="69">
        <v>4984.01</v>
      </c>
      <c r="AP12" s="69">
        <v>8353.0499999999993</v>
      </c>
      <c r="AQ12" s="71">
        <f t="shared" si="38"/>
        <v>-3369.0399999999991</v>
      </c>
      <c r="AR12" s="81">
        <v>4859.8100000000004</v>
      </c>
      <c r="AS12" s="81">
        <v>8866.8799999999992</v>
      </c>
      <c r="AT12" s="79">
        <f t="shared" si="16"/>
        <v>-4007.0699999999988</v>
      </c>
      <c r="AU12" s="81">
        <v>5631.49</v>
      </c>
      <c r="AV12" s="78">
        <v>10301.17</v>
      </c>
      <c r="AW12" s="79">
        <f t="shared" si="17"/>
        <v>-4669.68</v>
      </c>
      <c r="AX12" s="102">
        <f t="shared" si="29"/>
        <v>15794.04</v>
      </c>
      <c r="AY12" s="54">
        <v>6060.81</v>
      </c>
      <c r="AZ12" s="74">
        <v>9733.23</v>
      </c>
      <c r="BA12" s="102">
        <f t="shared" si="18"/>
        <v>-3672.4199999999992</v>
      </c>
      <c r="BB12" s="102">
        <f t="shared" si="30"/>
        <v>17142.490000000002</v>
      </c>
      <c r="BC12" s="76">
        <v>7103.47</v>
      </c>
      <c r="BD12" s="100">
        <f t="shared" si="34"/>
        <v>17.203311108581193</v>
      </c>
      <c r="BE12" s="104">
        <v>10039.02</v>
      </c>
      <c r="BF12" s="102">
        <f t="shared" si="31"/>
        <v>3.1417114359775828</v>
      </c>
      <c r="BG12" s="83">
        <f t="shared" si="19"/>
        <v>-2935.55</v>
      </c>
      <c r="BH12" s="83">
        <f t="shared" si="20"/>
        <v>18047.04</v>
      </c>
      <c r="BI12" s="76">
        <v>7266.2</v>
      </c>
      <c r="BJ12" s="104">
        <v>10780.84</v>
      </c>
      <c r="BK12" s="83">
        <f t="shared" si="21"/>
        <v>-3514.6400000000003</v>
      </c>
      <c r="BL12" s="167">
        <f t="shared" si="22"/>
        <v>15965.8704</v>
      </c>
      <c r="BM12" s="178">
        <v>8961.7991000000002</v>
      </c>
      <c r="BN12" s="179">
        <v>7004.0712999999996</v>
      </c>
      <c r="BO12" s="355">
        <f t="shared" si="23"/>
        <v>1957.7278000000006</v>
      </c>
      <c r="BP12" s="356">
        <f t="shared" si="24"/>
        <v>15553.0278</v>
      </c>
      <c r="BQ12" s="337">
        <v>8454.5599000000002</v>
      </c>
      <c r="BR12" s="337">
        <v>7098.4678999999996</v>
      </c>
      <c r="BS12" s="357">
        <f t="shared" si="35"/>
        <v>1356.0920000000006</v>
      </c>
      <c r="BT12" s="167">
        <f t="shared" si="32"/>
        <v>16215.092199999999</v>
      </c>
      <c r="BU12" s="182">
        <v>8915.4071999999996</v>
      </c>
      <c r="BV12" s="182">
        <v>7299.6850000000004</v>
      </c>
      <c r="BW12" s="169">
        <f t="shared" si="33"/>
        <v>1615.7221999999992</v>
      </c>
      <c r="BX12" s="452">
        <f t="shared" si="25"/>
        <v>17878.602899999998</v>
      </c>
      <c r="BY12" s="182">
        <v>8410.8369999999995</v>
      </c>
      <c r="BZ12" s="184">
        <f t="shared" si="26"/>
        <v>-5.659530615718821</v>
      </c>
      <c r="CA12" s="182">
        <v>9467.7659000000003</v>
      </c>
      <c r="CB12" s="184">
        <f t="shared" ref="CB12:CB14" si="43">(CA12-CE12)*100/CE12</f>
        <v>29.70101997551949</v>
      </c>
      <c r="CC12" s="453">
        <f t="shared" ref="CC12:CC13" si="44">BY12-CA12</f>
        <v>-1056.9289000000008</v>
      </c>
      <c r="CD12" s="334">
        <v>8915.4071999999996</v>
      </c>
      <c r="CE12" s="334">
        <v>7299.6850000000004</v>
      </c>
      <c r="CG12" s="456" t="s">
        <v>17</v>
      </c>
      <c r="CH12" s="334">
        <v>15683.1623</v>
      </c>
      <c r="CI12" s="334">
        <v>9474.3871999999992</v>
      </c>
      <c r="CJ12" s="334">
        <v>6208.7749999999996</v>
      </c>
      <c r="CK12" s="334">
        <v>3265.6122</v>
      </c>
      <c r="CL12" s="334">
        <v>16954.2055</v>
      </c>
      <c r="CM12" s="334">
        <v>10268.5753</v>
      </c>
      <c r="CN12" s="334">
        <v>6685.6301999999996</v>
      </c>
      <c r="CO12" s="334">
        <v>3582.9450999999999</v>
      </c>
      <c r="CP12" s="334">
        <v>16954.2055</v>
      </c>
      <c r="CQ12" s="334">
        <v>10268.5753</v>
      </c>
      <c r="CR12" s="334">
        <v>6685.6301999999996</v>
      </c>
      <c r="CS12" s="334">
        <v>3582.9450999999999</v>
      </c>
      <c r="CT12" s="334">
        <v>18423.323100000001</v>
      </c>
      <c r="CU12" s="334">
        <v>10042.547500000001</v>
      </c>
      <c r="CV12" s="334">
        <v>8380.7756000000008</v>
      </c>
      <c r="CW12" s="334">
        <v>1661.7719</v>
      </c>
      <c r="CX12" s="472" t="s">
        <v>283</v>
      </c>
      <c r="CY12" s="472" t="s">
        <v>284</v>
      </c>
    </row>
    <row r="13" spans="2:103" s="33" customFormat="1" ht="32.25" customHeight="1" x14ac:dyDescent="0.5">
      <c r="B13" s="158" t="s">
        <v>19</v>
      </c>
      <c r="C13" s="27">
        <v>1731.6</v>
      </c>
      <c r="D13" s="27">
        <v>4210.75</v>
      </c>
      <c r="E13" s="28">
        <f t="shared" si="0"/>
        <v>-2479.15</v>
      </c>
      <c r="F13" s="27">
        <v>1731.6</v>
      </c>
      <c r="G13" s="29">
        <v>1426.91</v>
      </c>
      <c r="H13" s="34">
        <f t="shared" si="1"/>
        <v>-17.595865095865086</v>
      </c>
      <c r="I13" s="29">
        <v>4210.75</v>
      </c>
      <c r="J13" s="29">
        <v>5695.27</v>
      </c>
      <c r="K13" s="30">
        <f t="shared" si="2"/>
        <v>35.255477052781586</v>
      </c>
      <c r="L13" s="30">
        <f t="shared" si="3"/>
        <v>-4268.3600000000006</v>
      </c>
      <c r="M13" s="29">
        <v>1426.91</v>
      </c>
      <c r="N13" s="31">
        <v>1306.31</v>
      </c>
      <c r="O13" s="32">
        <f t="shared" si="4"/>
        <v>-8.4518294776825549</v>
      </c>
      <c r="P13" s="31">
        <v>5695.27</v>
      </c>
      <c r="Q13" s="31">
        <v>7354.08</v>
      </c>
      <c r="R13" s="32">
        <f t="shared" si="5"/>
        <v>29.126099377202472</v>
      </c>
      <c r="S13" s="32">
        <f t="shared" si="6"/>
        <v>-6047.77</v>
      </c>
      <c r="T13" s="31">
        <v>1306.31</v>
      </c>
      <c r="U13" s="59">
        <v>1591.71</v>
      </c>
      <c r="V13" s="60">
        <f t="shared" si="7"/>
        <v>21.847800292426765</v>
      </c>
      <c r="W13" s="61">
        <v>7354.08</v>
      </c>
      <c r="X13" s="59">
        <v>184.44</v>
      </c>
      <c r="Y13" s="60">
        <f t="shared" si="8"/>
        <v>-97.492004438352595</v>
      </c>
      <c r="Z13" s="62">
        <f t="shared" si="9"/>
        <v>1407.27</v>
      </c>
      <c r="AA13" s="5">
        <v>1591.71</v>
      </c>
      <c r="AB13" s="50">
        <v>3225.96</v>
      </c>
      <c r="AC13" s="51">
        <f t="shared" si="10"/>
        <v>102.67259739525416</v>
      </c>
      <c r="AD13" s="50">
        <v>184.44</v>
      </c>
      <c r="AE13" s="58">
        <v>7105.16</v>
      </c>
      <c r="AF13" s="53">
        <f t="shared" si="11"/>
        <v>3752.2880069399262</v>
      </c>
      <c r="AG13" s="63">
        <f t="shared" si="12"/>
        <v>-3879.2</v>
      </c>
      <c r="AH13" s="54">
        <v>3225.96</v>
      </c>
      <c r="AI13" s="67">
        <v>4185.1499999999996</v>
      </c>
      <c r="AJ13" s="68">
        <f t="shared" si="13"/>
        <v>29.733474686604904</v>
      </c>
      <c r="AK13" s="69">
        <v>7105.16</v>
      </c>
      <c r="AL13" s="67">
        <v>8991.4500000000007</v>
      </c>
      <c r="AM13" s="70">
        <f t="shared" si="14"/>
        <v>26.548170625292055</v>
      </c>
      <c r="AN13" s="71">
        <f t="shared" si="15"/>
        <v>-4806.3000000000011</v>
      </c>
      <c r="AO13" s="69">
        <v>2977.7</v>
      </c>
      <c r="AP13" s="69">
        <v>7694.27</v>
      </c>
      <c r="AQ13" s="71">
        <f t="shared" si="38"/>
        <v>-4716.5700000000006</v>
      </c>
      <c r="AR13" s="81">
        <v>4828.63</v>
      </c>
      <c r="AS13" s="81">
        <v>8611.42</v>
      </c>
      <c r="AT13" s="79">
        <f t="shared" si="16"/>
        <v>-3782.79</v>
      </c>
      <c r="AU13" s="81">
        <v>5391.42</v>
      </c>
      <c r="AV13" s="78">
        <v>11402.16</v>
      </c>
      <c r="AW13" s="79">
        <f t="shared" si="17"/>
        <v>-6010.74</v>
      </c>
      <c r="AX13" s="102">
        <f t="shared" si="29"/>
        <v>15125.82</v>
      </c>
      <c r="AY13" s="54">
        <v>5858.42</v>
      </c>
      <c r="AZ13" s="74">
        <v>9267.4</v>
      </c>
      <c r="BA13" s="102">
        <f t="shared" si="18"/>
        <v>-3408.9799999999996</v>
      </c>
      <c r="BB13" s="102">
        <f t="shared" si="30"/>
        <v>16045.920000000002</v>
      </c>
      <c r="BC13" s="76">
        <v>6427.81</v>
      </c>
      <c r="BD13" s="100">
        <f t="shared" si="34"/>
        <v>9.7191734290132885</v>
      </c>
      <c r="BE13" s="104">
        <v>9618.11</v>
      </c>
      <c r="BF13" s="102">
        <f t="shared" si="31"/>
        <v>3.784340807562002</v>
      </c>
      <c r="BG13" s="83">
        <f t="shared" si="19"/>
        <v>-3190.3</v>
      </c>
      <c r="BH13" s="83">
        <f t="shared" si="20"/>
        <v>17414.88</v>
      </c>
      <c r="BI13" s="76">
        <v>6669.04</v>
      </c>
      <c r="BJ13" s="104">
        <v>10745.84</v>
      </c>
      <c r="BK13" s="83">
        <f t="shared" si="21"/>
        <v>-4076.8</v>
      </c>
      <c r="BL13" s="167">
        <f t="shared" si="22"/>
        <v>15289.1556</v>
      </c>
      <c r="BM13" s="178">
        <v>8604.9699000000001</v>
      </c>
      <c r="BN13" s="179">
        <v>6684.1857</v>
      </c>
      <c r="BO13" s="355">
        <f t="shared" si="23"/>
        <v>1920.7842000000001</v>
      </c>
      <c r="BP13" s="356">
        <f t="shared" si="24"/>
        <v>14601.1361</v>
      </c>
      <c r="BQ13" s="337">
        <v>7786.2491</v>
      </c>
      <c r="BR13" s="337">
        <v>6814.8869999999997</v>
      </c>
      <c r="BS13" s="357">
        <f t="shared" si="35"/>
        <v>971.36210000000028</v>
      </c>
      <c r="BT13" s="167">
        <f t="shared" si="32"/>
        <v>14595.735000000001</v>
      </c>
      <c r="BU13" s="182">
        <v>7388.9234999999999</v>
      </c>
      <c r="BV13" s="182">
        <v>7206.8114999999998</v>
      </c>
      <c r="BW13" s="169">
        <f t="shared" si="33"/>
        <v>182.11200000000008</v>
      </c>
      <c r="BX13" s="452">
        <f t="shared" si="25"/>
        <v>16381.166799999999</v>
      </c>
      <c r="BY13" s="182">
        <v>7352.6647999999996</v>
      </c>
      <c r="BZ13" s="184">
        <f t="shared" si="26"/>
        <v>-0.49071694949880479</v>
      </c>
      <c r="CA13" s="182">
        <v>9028.5020000000004</v>
      </c>
      <c r="CB13" s="184">
        <f t="shared" si="43"/>
        <v>25.277343524247865</v>
      </c>
      <c r="CC13" s="453">
        <f t="shared" si="44"/>
        <v>-1675.8372000000008</v>
      </c>
      <c r="CD13" s="334">
        <v>7388.9234999999999</v>
      </c>
      <c r="CE13" s="334">
        <v>7206.8114999999998</v>
      </c>
      <c r="CG13" s="456" t="s">
        <v>18</v>
      </c>
      <c r="CH13" s="334">
        <v>15553.027899999999</v>
      </c>
      <c r="CI13" s="334">
        <v>8454.5599000000002</v>
      </c>
      <c r="CJ13" s="334">
        <v>7098.4678999999996</v>
      </c>
      <c r="CK13" s="334">
        <v>1356.0918999999999</v>
      </c>
      <c r="CL13" s="334">
        <v>16215.092199999999</v>
      </c>
      <c r="CM13" s="334">
        <v>8915.4071999999996</v>
      </c>
      <c r="CN13" s="334">
        <v>7299.6850000000004</v>
      </c>
      <c r="CO13" s="334">
        <v>1615.7221</v>
      </c>
      <c r="CP13" s="334">
        <v>16215.092199999999</v>
      </c>
      <c r="CQ13" s="334">
        <v>8915.4071999999996</v>
      </c>
      <c r="CR13" s="334">
        <v>7299.6850000000004</v>
      </c>
      <c r="CS13" s="334">
        <v>1615.7221</v>
      </c>
      <c r="CT13" s="334">
        <v>17878.602900000002</v>
      </c>
      <c r="CU13" s="334">
        <v>8410.8369999999995</v>
      </c>
      <c r="CV13" s="334">
        <v>9467.7659000000003</v>
      </c>
      <c r="CW13" s="334">
        <v>-1056.9289000000001</v>
      </c>
      <c r="CX13" s="472" t="s">
        <v>285</v>
      </c>
      <c r="CY13" s="472" t="s">
        <v>286</v>
      </c>
    </row>
    <row r="14" spans="2:103" s="33" customFormat="1" ht="32.25" customHeight="1" x14ac:dyDescent="0.5">
      <c r="B14" s="158" t="s">
        <v>20</v>
      </c>
      <c r="C14" s="27">
        <v>1683.96</v>
      </c>
      <c r="D14" s="27">
        <v>4352.4399999999996</v>
      </c>
      <c r="E14" s="28">
        <f t="shared" si="0"/>
        <v>-2668.4799999999996</v>
      </c>
      <c r="F14" s="27">
        <v>1683.96</v>
      </c>
      <c r="G14" s="29">
        <v>1515.39</v>
      </c>
      <c r="H14" s="34">
        <f t="shared" si="1"/>
        <v>-10.010332787002062</v>
      </c>
      <c r="I14" s="29">
        <v>4352.4399999999996</v>
      </c>
      <c r="J14" s="29">
        <v>284.74</v>
      </c>
      <c r="K14" s="30">
        <f t="shared" si="2"/>
        <v>-93.457922452693211</v>
      </c>
      <c r="L14" s="30">
        <f t="shared" si="3"/>
        <v>1230.6500000000001</v>
      </c>
      <c r="M14" s="29">
        <v>1515.39</v>
      </c>
      <c r="N14" s="31">
        <v>1359.57</v>
      </c>
      <c r="O14" s="32">
        <f t="shared" si="4"/>
        <v>-10.282501534258518</v>
      </c>
      <c r="P14" s="31">
        <v>284.74</v>
      </c>
      <c r="Q14" s="31">
        <v>7275.07</v>
      </c>
      <c r="R14" s="32">
        <f t="shared" si="5"/>
        <v>2454.9870056894006</v>
      </c>
      <c r="S14" s="32">
        <f t="shared" si="6"/>
        <v>-5915.5</v>
      </c>
      <c r="T14" s="31">
        <v>1359.57</v>
      </c>
      <c r="U14" s="59">
        <v>1525.05</v>
      </c>
      <c r="V14" s="60">
        <f t="shared" si="7"/>
        <v>12.171495399280655</v>
      </c>
      <c r="W14" s="61">
        <v>7275.07</v>
      </c>
      <c r="X14" s="59">
        <v>13930.1</v>
      </c>
      <c r="Y14" s="60">
        <f t="shared" si="8"/>
        <v>91.477195408429083</v>
      </c>
      <c r="Z14" s="62">
        <f t="shared" si="9"/>
        <v>-12405.050000000001</v>
      </c>
      <c r="AA14" s="5">
        <v>1525.05</v>
      </c>
      <c r="AB14" s="50">
        <v>2869.44</v>
      </c>
      <c r="AC14" s="51">
        <f t="shared" si="10"/>
        <v>88.153831021933712</v>
      </c>
      <c r="AD14" s="50">
        <v>13930.1</v>
      </c>
      <c r="AE14" s="58">
        <v>15562.84</v>
      </c>
      <c r="AF14" s="53">
        <f t="shared" si="11"/>
        <v>11.720949598351769</v>
      </c>
      <c r="AG14" s="63">
        <f t="shared" si="12"/>
        <v>-12693.4</v>
      </c>
      <c r="AH14" s="54">
        <v>2869.44</v>
      </c>
      <c r="AI14" s="67">
        <v>3213.61</v>
      </c>
      <c r="AJ14" s="68">
        <f t="shared" si="13"/>
        <v>11.994326419092229</v>
      </c>
      <c r="AK14" s="69">
        <v>15562.84</v>
      </c>
      <c r="AL14" s="67">
        <v>7697.82</v>
      </c>
      <c r="AM14" s="70">
        <f t="shared" si="14"/>
        <v>-50.537177019104483</v>
      </c>
      <c r="AN14" s="71">
        <f t="shared" si="15"/>
        <v>-4484.2099999999991</v>
      </c>
      <c r="AO14" s="69">
        <v>3777.26</v>
      </c>
      <c r="AP14" s="69">
        <v>8485.07</v>
      </c>
      <c r="AQ14" s="71">
        <f t="shared" si="38"/>
        <v>-4707.8099999999995</v>
      </c>
      <c r="AR14" s="81">
        <v>4557.6499999999996</v>
      </c>
      <c r="AS14" s="81">
        <v>9753.32</v>
      </c>
      <c r="AT14" s="79">
        <f t="shared" si="16"/>
        <v>-5195.67</v>
      </c>
      <c r="AU14" s="81">
        <v>5340.99</v>
      </c>
      <c r="AV14" s="78">
        <v>10714.37</v>
      </c>
      <c r="AW14" s="79">
        <f t="shared" si="17"/>
        <v>-5373.380000000001</v>
      </c>
      <c r="AX14" s="102">
        <f t="shared" si="29"/>
        <v>15884.43</v>
      </c>
      <c r="AY14" s="76">
        <v>6208.88</v>
      </c>
      <c r="AZ14" s="104">
        <v>9675.5499999999993</v>
      </c>
      <c r="BA14" s="102">
        <f t="shared" si="18"/>
        <v>-3466.6699999999992</v>
      </c>
      <c r="BB14" s="102">
        <f t="shared" si="30"/>
        <v>8368.119999999999</v>
      </c>
      <c r="BC14" s="76">
        <v>7904.87</v>
      </c>
      <c r="BD14" s="100">
        <f t="shared" si="34"/>
        <v>27.315554496141004</v>
      </c>
      <c r="BE14" s="104">
        <v>463.25</v>
      </c>
      <c r="BF14" s="102">
        <f t="shared" si="31"/>
        <v>-95.212158481946759</v>
      </c>
      <c r="BG14" s="83">
        <f t="shared" si="19"/>
        <v>7441.62</v>
      </c>
      <c r="BH14" s="83">
        <f t="shared" si="20"/>
        <v>17378.330000000002</v>
      </c>
      <c r="BI14" s="76">
        <v>7257.92</v>
      </c>
      <c r="BJ14" s="104">
        <v>10120.41</v>
      </c>
      <c r="BK14" s="83">
        <f t="shared" si="21"/>
        <v>-2862.49</v>
      </c>
      <c r="BL14" s="167">
        <f t="shared" si="22"/>
        <v>13545.8631</v>
      </c>
      <c r="BM14" s="178">
        <v>8303.6681000000008</v>
      </c>
      <c r="BN14" s="179">
        <v>5242.1949999999997</v>
      </c>
      <c r="BO14" s="355">
        <f t="shared" si="23"/>
        <v>3061.4731000000011</v>
      </c>
      <c r="BP14" s="356">
        <f t="shared" si="24"/>
        <v>16308.810599999999</v>
      </c>
      <c r="BQ14" s="337">
        <v>8465.7554999999993</v>
      </c>
      <c r="BR14" s="337">
        <v>7843.0550999999996</v>
      </c>
      <c r="BS14" s="357">
        <f t="shared" si="35"/>
        <v>622.70039999999972</v>
      </c>
      <c r="BT14" s="167">
        <f t="shared" si="32"/>
        <v>15963.502</v>
      </c>
      <c r="BU14" s="182">
        <v>8192.7726999999995</v>
      </c>
      <c r="BV14" s="182">
        <v>7770.7293</v>
      </c>
      <c r="BW14" s="169">
        <f t="shared" si="33"/>
        <v>422.04339999999956</v>
      </c>
      <c r="BX14" s="452">
        <f t="shared" si="25"/>
        <v>15281.869500000001</v>
      </c>
      <c r="BY14" s="182">
        <v>6996.2763999999997</v>
      </c>
      <c r="BZ14" s="184">
        <f t="shared" si="26"/>
        <v>-14.604290193477476</v>
      </c>
      <c r="CA14" s="182">
        <v>8285.5931</v>
      </c>
      <c r="CB14" s="184">
        <f t="shared" si="43"/>
        <v>6.625681839155046</v>
      </c>
      <c r="CC14" s="453">
        <f>BY14-CA14-0.01</f>
        <v>-1289.3267000000003</v>
      </c>
      <c r="CD14" s="334">
        <v>8192.7726999999995</v>
      </c>
      <c r="CE14" s="334">
        <v>7770.7293</v>
      </c>
      <c r="CG14" s="456" t="s">
        <v>19</v>
      </c>
      <c r="CH14" s="334">
        <v>14601.1361</v>
      </c>
      <c r="CI14" s="334">
        <v>7786.2491</v>
      </c>
      <c r="CJ14" s="334">
        <v>6814.8869999999997</v>
      </c>
      <c r="CK14" s="334">
        <v>971.36199999999997</v>
      </c>
      <c r="CL14" s="334">
        <v>14595.735000000001</v>
      </c>
      <c r="CM14" s="334">
        <v>7388.9234999999999</v>
      </c>
      <c r="CN14" s="334">
        <v>7206.8114999999998</v>
      </c>
      <c r="CO14" s="334">
        <v>182.11189999999999</v>
      </c>
      <c r="CP14" s="334">
        <v>14595.735000000001</v>
      </c>
      <c r="CQ14" s="334">
        <v>7388.9234999999999</v>
      </c>
      <c r="CR14" s="334">
        <v>7206.8114999999998</v>
      </c>
      <c r="CS14" s="334">
        <v>182.11189999999999</v>
      </c>
      <c r="CT14" s="334">
        <v>16381.166800000001</v>
      </c>
      <c r="CU14" s="334">
        <v>7352.6647999999996</v>
      </c>
      <c r="CV14" s="334">
        <v>9028.5020000000004</v>
      </c>
      <c r="CW14" s="334">
        <v>-1675.8371</v>
      </c>
      <c r="CX14" s="472" t="s">
        <v>287</v>
      </c>
      <c r="CY14" s="472" t="s">
        <v>288</v>
      </c>
    </row>
    <row r="15" spans="2:103" s="33" customFormat="1" ht="32.25" customHeight="1" x14ac:dyDescent="0.5">
      <c r="B15" s="158" t="s">
        <v>21</v>
      </c>
      <c r="C15" s="27">
        <v>1697.31</v>
      </c>
      <c r="D15" s="27">
        <v>4693.46</v>
      </c>
      <c r="E15" s="28">
        <f t="shared" si="0"/>
        <v>-2996.15</v>
      </c>
      <c r="F15" s="27">
        <v>1697.31</v>
      </c>
      <c r="G15" s="29">
        <v>1440.57</v>
      </c>
      <c r="H15" s="34">
        <f t="shared" si="1"/>
        <v>-15.126288067589304</v>
      </c>
      <c r="I15" s="29">
        <v>4693.46</v>
      </c>
      <c r="J15" s="29">
        <v>11113.33</v>
      </c>
      <c r="K15" s="30">
        <f t="shared" si="2"/>
        <v>136.78331124586126</v>
      </c>
      <c r="L15" s="30">
        <f t="shared" si="3"/>
        <v>-9672.76</v>
      </c>
      <c r="M15" s="29">
        <v>1440.57</v>
      </c>
      <c r="N15" s="31">
        <v>1515.42</v>
      </c>
      <c r="O15" s="32">
        <f t="shared" si="4"/>
        <v>5.1958599720943894</v>
      </c>
      <c r="P15" s="31">
        <v>11113.33</v>
      </c>
      <c r="Q15" s="31">
        <v>7405.82</v>
      </c>
      <c r="R15" s="32">
        <f t="shared" si="5"/>
        <v>-33.360927822713805</v>
      </c>
      <c r="S15" s="32">
        <f t="shared" si="6"/>
        <v>-5890.4</v>
      </c>
      <c r="T15" s="31">
        <v>1515.42</v>
      </c>
      <c r="U15" s="59">
        <v>1654.83</v>
      </c>
      <c r="V15" s="60">
        <f t="shared" si="7"/>
        <v>9.1994298610286158</v>
      </c>
      <c r="W15" s="61">
        <v>7405.82</v>
      </c>
      <c r="X15" s="59">
        <v>321.25</v>
      </c>
      <c r="Y15" s="60">
        <f t="shared" si="8"/>
        <v>-95.662195408476038</v>
      </c>
      <c r="Z15" s="62">
        <f t="shared" si="9"/>
        <v>1333.58</v>
      </c>
      <c r="AA15" s="5">
        <v>1654.83</v>
      </c>
      <c r="AB15" s="50">
        <v>2982.56</v>
      </c>
      <c r="AC15" s="51">
        <f t="shared" si="10"/>
        <v>80.233619163297746</v>
      </c>
      <c r="AD15" s="50">
        <v>321.25</v>
      </c>
      <c r="AE15" s="58">
        <v>8962.43</v>
      </c>
      <c r="AF15" s="53">
        <f t="shared" si="11"/>
        <v>2689.8614785992218</v>
      </c>
      <c r="AG15" s="63">
        <f t="shared" si="12"/>
        <v>-5979.8700000000008</v>
      </c>
      <c r="AH15" s="50">
        <v>2982.56</v>
      </c>
      <c r="AI15" s="67">
        <v>3419.13</v>
      </c>
      <c r="AJ15" s="68">
        <f t="shared" si="13"/>
        <v>14.637425567297896</v>
      </c>
      <c r="AK15" s="69">
        <v>8962.43</v>
      </c>
      <c r="AL15" s="67">
        <v>8257.84</v>
      </c>
      <c r="AM15" s="70">
        <f t="shared" si="14"/>
        <v>-7.8615955717366841</v>
      </c>
      <c r="AN15" s="71">
        <f t="shared" si="15"/>
        <v>-4838.71</v>
      </c>
      <c r="AO15" s="69">
        <v>3801.69</v>
      </c>
      <c r="AP15" s="69">
        <v>7994.65</v>
      </c>
      <c r="AQ15" s="71">
        <f t="shared" si="38"/>
        <v>-4192.9599999999991</v>
      </c>
      <c r="AR15" s="81">
        <v>4941.01</v>
      </c>
      <c r="AS15" s="81">
        <v>9283.75</v>
      </c>
      <c r="AT15" s="79">
        <f t="shared" si="16"/>
        <v>-4342.74</v>
      </c>
      <c r="AU15" s="81">
        <v>5980.44</v>
      </c>
      <c r="AV15" s="78">
        <v>11107.76</v>
      </c>
      <c r="AW15" s="79">
        <f t="shared" si="17"/>
        <v>-5127.3200000000006</v>
      </c>
      <c r="AX15" s="102">
        <f t="shared" si="29"/>
        <v>16688.129999999997</v>
      </c>
      <c r="AY15" s="76">
        <v>6406.66</v>
      </c>
      <c r="AZ15" s="104">
        <v>10281.469999999999</v>
      </c>
      <c r="BA15" s="102">
        <f t="shared" si="18"/>
        <v>-3874.8099999999995</v>
      </c>
      <c r="BB15" s="102">
        <f t="shared" si="30"/>
        <v>29734.95</v>
      </c>
      <c r="BC15" s="76">
        <v>8456.7999999999993</v>
      </c>
      <c r="BD15" s="100">
        <f t="shared" si="34"/>
        <v>32.000137357062798</v>
      </c>
      <c r="BE15" s="104">
        <v>21278.15</v>
      </c>
      <c r="BF15" s="102">
        <f t="shared" si="31"/>
        <v>106.9563009958693</v>
      </c>
      <c r="BG15" s="83">
        <f t="shared" si="19"/>
        <v>-12821.350000000002</v>
      </c>
      <c r="BH15" s="83">
        <f t="shared" si="20"/>
        <v>18751.29</v>
      </c>
      <c r="BI15" s="76">
        <v>8502.36</v>
      </c>
      <c r="BJ15" s="104">
        <v>10248.93</v>
      </c>
      <c r="BK15" s="83">
        <f t="shared" si="21"/>
        <v>-1746.5699999999997</v>
      </c>
      <c r="BL15" s="167">
        <f t="shared" si="22"/>
        <v>14914.337799999999</v>
      </c>
      <c r="BM15" s="178">
        <v>8656.4730999999992</v>
      </c>
      <c r="BN15" s="179">
        <v>6257.8647000000001</v>
      </c>
      <c r="BO15" s="355">
        <f t="shared" si="23"/>
        <v>2398.6083999999992</v>
      </c>
      <c r="BP15" s="356">
        <f t="shared" si="24"/>
        <v>16621.665000000001</v>
      </c>
      <c r="BQ15" s="337">
        <v>9102.6664000000001</v>
      </c>
      <c r="BR15" s="337">
        <v>7518.9985999999999</v>
      </c>
      <c r="BS15" s="357">
        <f t="shared" si="35"/>
        <v>1583.6678000000002</v>
      </c>
      <c r="BT15" s="167">
        <f t="shared" si="32"/>
        <v>16059.1666</v>
      </c>
      <c r="BU15" s="182">
        <v>7947.8674000000001</v>
      </c>
      <c r="BV15" s="182">
        <v>8111.2992000000004</v>
      </c>
      <c r="BW15" s="169">
        <f t="shared" si="33"/>
        <v>-163.43180000000029</v>
      </c>
      <c r="BX15" s="452">
        <f t="shared" ref="BX15:BX17" si="45">BY15+CA15</f>
        <v>14368.609400000001</v>
      </c>
      <c r="BY15" s="182">
        <v>7771.6080000000002</v>
      </c>
      <c r="BZ15" s="184">
        <f t="shared" ref="BZ15:BZ17" si="46">(BY15-CD15)*100/CD15</f>
        <v>-2.2176942710443295</v>
      </c>
      <c r="CA15" s="182">
        <v>6597.0014000000001</v>
      </c>
      <c r="CB15" s="184">
        <f t="shared" ref="CB15" si="47">(CA15-CE15)*100/CE15</f>
        <v>-18.668992015483784</v>
      </c>
      <c r="CC15" s="453">
        <f>BY15-CA15</f>
        <v>1174.6066000000001</v>
      </c>
      <c r="CD15" s="334">
        <v>7947.8674000000001</v>
      </c>
      <c r="CE15" s="334">
        <v>8111.2992000000004</v>
      </c>
      <c r="CG15" s="456" t="s">
        <v>20</v>
      </c>
      <c r="CH15" s="334">
        <v>16308.810600000001</v>
      </c>
      <c r="CI15" s="334">
        <v>8465.7554999999993</v>
      </c>
      <c r="CJ15" s="334">
        <v>7843.0550999999996</v>
      </c>
      <c r="CK15" s="334">
        <v>622.70039999999995</v>
      </c>
      <c r="CL15" s="334">
        <v>15963.5021</v>
      </c>
      <c r="CM15" s="334">
        <v>8192.7726999999995</v>
      </c>
      <c r="CN15" s="334">
        <v>7770.7293</v>
      </c>
      <c r="CO15" s="334">
        <v>422.04329999999999</v>
      </c>
      <c r="CP15" s="334">
        <v>15963.5021</v>
      </c>
      <c r="CQ15" s="334">
        <v>8192.7726999999995</v>
      </c>
      <c r="CR15" s="334">
        <v>7770.7293</v>
      </c>
      <c r="CS15" s="334">
        <v>422.04329999999999</v>
      </c>
      <c r="CT15" s="334">
        <v>15281.8696</v>
      </c>
      <c r="CU15" s="334">
        <v>6996.2763999999997</v>
      </c>
      <c r="CV15" s="334">
        <v>8285.5931</v>
      </c>
      <c r="CW15" s="334">
        <v>-1289.3167000000001</v>
      </c>
      <c r="CX15" s="472" t="s">
        <v>289</v>
      </c>
      <c r="CY15" s="472" t="s">
        <v>290</v>
      </c>
    </row>
    <row r="16" spans="2:103" s="33" customFormat="1" ht="32.25" customHeight="1" x14ac:dyDescent="0.5">
      <c r="B16" s="158" t="s">
        <v>55</v>
      </c>
      <c r="C16" s="27">
        <v>1340.95</v>
      </c>
      <c r="D16" s="27">
        <v>4607.45</v>
      </c>
      <c r="E16" s="28">
        <f t="shared" si="0"/>
        <v>-3266.5</v>
      </c>
      <c r="F16" s="27">
        <v>1340.95</v>
      </c>
      <c r="G16" s="29">
        <v>1583.02</v>
      </c>
      <c r="H16" s="34">
        <f t="shared" si="1"/>
        <v>18.05212722323725</v>
      </c>
      <c r="I16" s="29">
        <v>4607.45</v>
      </c>
      <c r="J16" s="29">
        <v>6067.9</v>
      </c>
      <c r="K16" s="30">
        <f t="shared" si="2"/>
        <v>31.697576750697234</v>
      </c>
      <c r="L16" s="30">
        <f t="shared" si="3"/>
        <v>-4484.8799999999992</v>
      </c>
      <c r="M16" s="29">
        <v>1583.02</v>
      </c>
      <c r="N16" s="31">
        <v>1443.11</v>
      </c>
      <c r="O16" s="32">
        <f t="shared" si="4"/>
        <v>-8.8381700799737253</v>
      </c>
      <c r="P16" s="31">
        <v>6067.9</v>
      </c>
      <c r="Q16" s="31">
        <v>7710.25</v>
      </c>
      <c r="R16" s="32">
        <f t="shared" si="5"/>
        <v>27.066200827304346</v>
      </c>
      <c r="S16" s="32">
        <f t="shared" si="6"/>
        <v>-6267.14</v>
      </c>
      <c r="T16" s="31">
        <v>1443.11</v>
      </c>
      <c r="U16" s="59">
        <v>1924.58</v>
      </c>
      <c r="V16" s="60">
        <f t="shared" si="7"/>
        <v>33.363361074346379</v>
      </c>
      <c r="W16" s="61">
        <v>7710.25</v>
      </c>
      <c r="X16" s="59">
        <v>6866.37</v>
      </c>
      <c r="Y16" s="60">
        <f t="shared" si="8"/>
        <v>-10.944910995103921</v>
      </c>
      <c r="Z16" s="62">
        <f t="shared" si="9"/>
        <v>-4941.79</v>
      </c>
      <c r="AA16" s="5">
        <v>1924.58</v>
      </c>
      <c r="AB16" s="50">
        <v>3004.26</v>
      </c>
      <c r="AC16" s="51">
        <f t="shared" si="10"/>
        <v>56.099512620935492</v>
      </c>
      <c r="AD16" s="50">
        <v>6866.37</v>
      </c>
      <c r="AE16" s="58">
        <v>9129.39</v>
      </c>
      <c r="AF16" s="53">
        <f t="shared" si="11"/>
        <v>32.958025856456899</v>
      </c>
      <c r="AG16" s="63">
        <f t="shared" si="12"/>
        <v>-6125.1299999999992</v>
      </c>
      <c r="AH16" s="50">
        <v>3004.26</v>
      </c>
      <c r="AI16" s="67">
        <v>3913.76</v>
      </c>
      <c r="AJ16" s="68">
        <f t="shared" si="13"/>
        <v>30.273678043844406</v>
      </c>
      <c r="AK16" s="72">
        <v>9129.39</v>
      </c>
      <c r="AL16" s="67">
        <v>7933.06</v>
      </c>
      <c r="AM16" s="70">
        <f t="shared" si="14"/>
        <v>-13.10416139523012</v>
      </c>
      <c r="AN16" s="71">
        <f t="shared" si="15"/>
        <v>-4019.3</v>
      </c>
      <c r="AO16" s="69">
        <v>3687.25</v>
      </c>
      <c r="AP16" s="69">
        <v>8222.2900000000009</v>
      </c>
      <c r="AQ16" s="71">
        <f t="shared" si="38"/>
        <v>-4535.0400000000009</v>
      </c>
      <c r="AR16" s="81">
        <v>5055.1400000000003</v>
      </c>
      <c r="AS16" s="81">
        <v>9221.5</v>
      </c>
      <c r="AT16" s="79">
        <f t="shared" si="16"/>
        <v>-4166.3599999999997</v>
      </c>
      <c r="AU16" s="81">
        <v>6463.57</v>
      </c>
      <c r="AV16" s="78">
        <v>9644.01</v>
      </c>
      <c r="AW16" s="79">
        <f t="shared" si="17"/>
        <v>-3180.4400000000005</v>
      </c>
      <c r="AX16" s="102">
        <f t="shared" si="29"/>
        <v>17983.674999999999</v>
      </c>
      <c r="AY16" s="54">
        <v>7275.2349999999997</v>
      </c>
      <c r="AZ16" s="74">
        <v>10708.44</v>
      </c>
      <c r="BA16" s="102">
        <f t="shared" si="18"/>
        <v>-3433.2050000000008</v>
      </c>
      <c r="BB16" s="102">
        <f t="shared" si="30"/>
        <v>21288.510000000002</v>
      </c>
      <c r="BC16" s="54">
        <v>8200.16</v>
      </c>
      <c r="BD16" s="100">
        <f t="shared" si="34"/>
        <v>12.713335033163879</v>
      </c>
      <c r="BE16" s="74">
        <v>13088.35</v>
      </c>
      <c r="BF16" s="102">
        <f t="shared" si="31"/>
        <v>22.224619085506383</v>
      </c>
      <c r="BG16" s="83">
        <f t="shared" si="19"/>
        <v>-4888.1900000000005</v>
      </c>
      <c r="BH16" s="83">
        <f t="shared" si="20"/>
        <v>19518.080000000002</v>
      </c>
      <c r="BI16" s="54">
        <v>9701.2900000000009</v>
      </c>
      <c r="BJ16" s="74">
        <v>9816.7900000000009</v>
      </c>
      <c r="BK16" s="83">
        <f t="shared" si="21"/>
        <v>-115.5</v>
      </c>
      <c r="BL16" s="167">
        <f t="shared" si="22"/>
        <v>14790.938300000002</v>
      </c>
      <c r="BM16" s="178">
        <v>8374.1872000000003</v>
      </c>
      <c r="BN16" s="179">
        <v>6416.7511000000004</v>
      </c>
      <c r="BO16" s="355">
        <f t="shared" si="23"/>
        <v>1957.4360999999999</v>
      </c>
      <c r="BP16" s="356">
        <f t="shared" si="24"/>
        <v>15116.6016</v>
      </c>
      <c r="BQ16" s="337">
        <v>8080.6846999999998</v>
      </c>
      <c r="BR16" s="337">
        <v>7035.9169000000002</v>
      </c>
      <c r="BS16" s="357">
        <f t="shared" si="35"/>
        <v>1044.7677999999996</v>
      </c>
      <c r="BT16" s="167">
        <f t="shared" si="32"/>
        <v>16303.242999999999</v>
      </c>
      <c r="BU16" s="182">
        <v>8284.4120999999996</v>
      </c>
      <c r="BV16" s="182">
        <v>8018.8308999999999</v>
      </c>
      <c r="BW16" s="169">
        <f t="shared" si="33"/>
        <v>265.58119999999963</v>
      </c>
      <c r="BX16" s="452">
        <f t="shared" si="45"/>
        <v>16185.492299999998</v>
      </c>
      <c r="BY16" s="182">
        <v>8490.4020999999993</v>
      </c>
      <c r="BZ16" s="184">
        <f t="shared" si="46"/>
        <v>2.4864769824765212</v>
      </c>
      <c r="CA16" s="182">
        <v>7695.0901999999996</v>
      </c>
      <c r="CB16" s="184">
        <f>(CA16-CE16)*100/CE16</f>
        <v>-4.0372556054274735</v>
      </c>
      <c r="CC16" s="453">
        <f>BY16-CA16</f>
        <v>795.3118999999997</v>
      </c>
      <c r="CD16" s="334">
        <v>8284.4120999999996</v>
      </c>
      <c r="CE16" s="334">
        <v>8018.8308999999999</v>
      </c>
      <c r="CG16" s="456" t="s">
        <v>21</v>
      </c>
      <c r="CH16" s="334">
        <v>16621.665000000001</v>
      </c>
      <c r="CI16" s="334">
        <v>9102.6664000000001</v>
      </c>
      <c r="CJ16" s="334">
        <v>7518.9985999999999</v>
      </c>
      <c r="CK16" s="334">
        <v>1583.6677</v>
      </c>
      <c r="CL16" s="334">
        <v>16059.1666</v>
      </c>
      <c r="CM16" s="334">
        <v>7947.8674000000001</v>
      </c>
      <c r="CN16" s="334">
        <v>8111.2992000000004</v>
      </c>
      <c r="CO16" s="334">
        <v>-163.43180000000001</v>
      </c>
      <c r="CP16" s="334">
        <v>16059.1666</v>
      </c>
      <c r="CQ16" s="334">
        <v>7947.8674000000001</v>
      </c>
      <c r="CR16" s="334">
        <v>8111.2992000000004</v>
      </c>
      <c r="CS16" s="334">
        <v>-163.43180000000001</v>
      </c>
      <c r="CT16" s="334">
        <v>14368.609399999999</v>
      </c>
      <c r="CU16" s="334">
        <v>7771.6080000000002</v>
      </c>
      <c r="CV16" s="334">
        <v>6597.0014000000001</v>
      </c>
      <c r="CW16" s="334">
        <v>1174.6066000000001</v>
      </c>
      <c r="CX16" s="472" t="s">
        <v>291</v>
      </c>
      <c r="CY16" s="472" t="s">
        <v>292</v>
      </c>
    </row>
    <row r="17" spans="2:103" s="33" customFormat="1" ht="32.25" customHeight="1" x14ac:dyDescent="0.5">
      <c r="B17" s="159" t="s">
        <v>22</v>
      </c>
      <c r="C17" s="27">
        <v>1307.8399999999999</v>
      </c>
      <c r="D17" s="27">
        <v>4612.09</v>
      </c>
      <c r="E17" s="35">
        <f t="shared" si="0"/>
        <v>-3304.25</v>
      </c>
      <c r="F17" s="27">
        <v>1307.8399999999999</v>
      </c>
      <c r="G17" s="29">
        <v>1555.5</v>
      </c>
      <c r="H17" s="34">
        <f t="shared" si="1"/>
        <v>18.93656716417911</v>
      </c>
      <c r="I17" s="29">
        <v>4612.09</v>
      </c>
      <c r="J17" s="29">
        <v>5608.84</v>
      </c>
      <c r="K17" s="34">
        <f t="shared" si="2"/>
        <v>21.611677135528577</v>
      </c>
      <c r="L17" s="34">
        <f t="shared" si="3"/>
        <v>-4053.34</v>
      </c>
      <c r="M17" s="29">
        <v>1555.5</v>
      </c>
      <c r="N17" s="31">
        <v>1553.62</v>
      </c>
      <c r="O17" s="32">
        <f t="shared" si="4"/>
        <v>-0.12086145933784051</v>
      </c>
      <c r="P17" s="31">
        <v>5608.84</v>
      </c>
      <c r="Q17" s="31">
        <v>7346.7</v>
      </c>
      <c r="R17" s="32">
        <f t="shared" si="5"/>
        <v>30.984303349712235</v>
      </c>
      <c r="S17" s="32">
        <f t="shared" si="6"/>
        <v>-5793.08</v>
      </c>
      <c r="T17" s="31">
        <v>1553.62</v>
      </c>
      <c r="U17" s="59">
        <v>2072.86</v>
      </c>
      <c r="V17" s="60">
        <f t="shared" si="7"/>
        <v>33.421299931772268</v>
      </c>
      <c r="W17" s="61">
        <v>7346.7</v>
      </c>
      <c r="X17" s="59">
        <v>13779</v>
      </c>
      <c r="Y17" s="60">
        <f>(X17-W17)*100/W17</f>
        <v>87.553595491853486</v>
      </c>
      <c r="Z17" s="62">
        <f t="shared" si="9"/>
        <v>-11706.14</v>
      </c>
      <c r="AA17" s="5">
        <v>2072.86</v>
      </c>
      <c r="AB17" s="50">
        <v>2902.46</v>
      </c>
      <c r="AC17" s="51">
        <f t="shared" si="10"/>
        <v>40.021998591318265</v>
      </c>
      <c r="AD17" s="50">
        <v>13779</v>
      </c>
      <c r="AE17" s="58">
        <v>9985.14</v>
      </c>
      <c r="AF17" s="53">
        <f t="shared" si="11"/>
        <v>-27.53363814500327</v>
      </c>
      <c r="AG17" s="63">
        <f t="shared" si="12"/>
        <v>-7082.6799999999994</v>
      </c>
      <c r="AH17" s="50">
        <v>2902.46</v>
      </c>
      <c r="AI17" s="67">
        <v>3829.05</v>
      </c>
      <c r="AJ17" s="68">
        <f t="shared" si="13"/>
        <v>31.924298698345545</v>
      </c>
      <c r="AK17" s="72">
        <v>9985.14</v>
      </c>
      <c r="AL17" s="67">
        <v>7420.3</v>
      </c>
      <c r="AM17" s="70">
        <f t="shared" si="14"/>
        <v>-25.686570243381659</v>
      </c>
      <c r="AN17" s="71">
        <f t="shared" si="15"/>
        <v>-3591.25</v>
      </c>
      <c r="AO17" s="73">
        <v>3723.71</v>
      </c>
      <c r="AP17" s="69">
        <v>7588.68</v>
      </c>
      <c r="AQ17" s="71">
        <f t="shared" si="38"/>
        <v>-3864.9700000000003</v>
      </c>
      <c r="AR17" s="82">
        <v>4445.47</v>
      </c>
      <c r="AS17" s="81">
        <v>8143.18</v>
      </c>
      <c r="AT17" s="79">
        <f t="shared" si="16"/>
        <v>-3697.71</v>
      </c>
      <c r="AU17" s="82">
        <v>5848.96</v>
      </c>
      <c r="AV17" s="78">
        <v>11595.2</v>
      </c>
      <c r="AW17" s="79">
        <f t="shared" si="17"/>
        <v>-5746.2400000000007</v>
      </c>
      <c r="AX17" s="102">
        <f t="shared" si="29"/>
        <v>18168.099999999999</v>
      </c>
      <c r="AY17" s="106">
        <v>7223.61</v>
      </c>
      <c r="AZ17" s="104">
        <v>10944.49</v>
      </c>
      <c r="BA17" s="102">
        <f t="shared" si="18"/>
        <v>-3720.88</v>
      </c>
      <c r="BB17" s="102">
        <f t="shared" si="30"/>
        <v>20276.989999999998</v>
      </c>
      <c r="BC17" s="106">
        <v>7650.52</v>
      </c>
      <c r="BD17" s="100">
        <f t="shared" si="34"/>
        <v>5.9099259234648711</v>
      </c>
      <c r="BE17" s="104">
        <v>12626.47</v>
      </c>
      <c r="BF17" s="102">
        <f t="shared" si="31"/>
        <v>15.368281208169586</v>
      </c>
      <c r="BG17" s="83">
        <f t="shared" si="19"/>
        <v>-4975.9499999999989</v>
      </c>
      <c r="BH17" s="83">
        <f t="shared" si="20"/>
        <v>15914.220000000001</v>
      </c>
      <c r="BI17" s="106">
        <v>8611.85</v>
      </c>
      <c r="BJ17" s="104">
        <v>7302.37</v>
      </c>
      <c r="BK17" s="83">
        <f t="shared" si="21"/>
        <v>1309.4800000000005</v>
      </c>
      <c r="BL17" s="167">
        <f t="shared" si="22"/>
        <v>15827.511200000001</v>
      </c>
      <c r="BM17" s="178">
        <v>9185.8796000000002</v>
      </c>
      <c r="BN17" s="179">
        <v>6641.6315999999997</v>
      </c>
      <c r="BO17" s="355">
        <f t="shared" si="23"/>
        <v>2544.2480000000005</v>
      </c>
      <c r="BP17" s="356">
        <f t="shared" si="24"/>
        <v>16233.6248</v>
      </c>
      <c r="BQ17" s="337">
        <v>9091.1286</v>
      </c>
      <c r="BR17" s="337">
        <v>7142.4961999999996</v>
      </c>
      <c r="BS17" s="357">
        <f t="shared" si="35"/>
        <v>1948.6324000000004</v>
      </c>
      <c r="BT17" s="167">
        <f t="shared" si="32"/>
        <v>16660.219499999999</v>
      </c>
      <c r="BU17" s="182">
        <v>8467.4035999999996</v>
      </c>
      <c r="BV17" s="182">
        <v>8192.8158999999996</v>
      </c>
      <c r="BW17" s="169">
        <f t="shared" si="33"/>
        <v>274.58770000000004</v>
      </c>
      <c r="BX17" s="452">
        <f t="shared" si="45"/>
        <v>16354.124299999999</v>
      </c>
      <c r="BY17" s="182">
        <v>8644.8986000000004</v>
      </c>
      <c r="BZ17" s="184">
        <f t="shared" si="46"/>
        <v>2.0962151845460726</v>
      </c>
      <c r="CA17" s="182">
        <v>7709.2257</v>
      </c>
      <c r="CB17" s="184">
        <f>(CA17-CE17)*100/CE17</f>
        <v>-5.902612800075242</v>
      </c>
      <c r="CC17" s="453">
        <f>BY17-CA17</f>
        <v>935.67290000000048</v>
      </c>
      <c r="CD17" s="334">
        <v>8467.4035999999996</v>
      </c>
      <c r="CE17" s="334">
        <v>8192.8158999999996</v>
      </c>
      <c r="CG17" s="456" t="s">
        <v>55</v>
      </c>
      <c r="CH17" s="334">
        <v>15116.601699999999</v>
      </c>
      <c r="CI17" s="334">
        <v>8080.6846999999998</v>
      </c>
      <c r="CJ17" s="334">
        <v>7035.9169000000002</v>
      </c>
      <c r="CK17" s="334">
        <v>1044.7678000000001</v>
      </c>
      <c r="CL17" s="334">
        <v>16303.243</v>
      </c>
      <c r="CM17" s="334">
        <v>8284.4120999999996</v>
      </c>
      <c r="CN17" s="334">
        <v>8018.8308999999999</v>
      </c>
      <c r="CO17" s="334">
        <v>265.58109999999999</v>
      </c>
      <c r="CP17" s="334">
        <v>16303.243</v>
      </c>
      <c r="CQ17" s="334">
        <v>8284.4120999999996</v>
      </c>
      <c r="CR17" s="334">
        <v>8018.8308999999999</v>
      </c>
      <c r="CS17" s="334">
        <v>265.58109999999999</v>
      </c>
      <c r="CT17" s="334">
        <v>16185.4923</v>
      </c>
      <c r="CU17" s="334">
        <v>8490.4020999999993</v>
      </c>
      <c r="CV17" s="334">
        <v>7695.0901999999996</v>
      </c>
      <c r="CW17" s="334">
        <v>795.31190000000004</v>
      </c>
      <c r="CX17" s="472" t="s">
        <v>293</v>
      </c>
      <c r="CY17" s="472" t="s">
        <v>294</v>
      </c>
    </row>
    <row r="18" spans="2:103" s="33" customFormat="1" ht="32.25" customHeight="1" x14ac:dyDescent="0.5">
      <c r="B18" s="160" t="s">
        <v>23</v>
      </c>
      <c r="C18" s="27">
        <v>1569.47</v>
      </c>
      <c r="D18" s="27">
        <v>4895.57</v>
      </c>
      <c r="E18" s="28">
        <f t="shared" si="0"/>
        <v>-3326.0999999999995</v>
      </c>
      <c r="F18" s="27">
        <v>1569.47</v>
      </c>
      <c r="G18" s="29">
        <v>1672.41</v>
      </c>
      <c r="H18" s="34">
        <f t="shared" si="1"/>
        <v>6.5589020497365382</v>
      </c>
      <c r="I18" s="29">
        <v>4895.57</v>
      </c>
      <c r="J18" s="29">
        <v>6522.92</v>
      </c>
      <c r="K18" s="34">
        <f t="shared" si="2"/>
        <v>33.241277318065116</v>
      </c>
      <c r="L18" s="34">
        <f t="shared" si="3"/>
        <v>-4850.51</v>
      </c>
      <c r="M18" s="29">
        <v>1672.41</v>
      </c>
      <c r="N18" s="31">
        <v>1829.27</v>
      </c>
      <c r="O18" s="32">
        <f t="shared" si="4"/>
        <v>9.3792790045503125</v>
      </c>
      <c r="P18" s="31">
        <v>6522.92</v>
      </c>
      <c r="Q18" s="31">
        <v>7053.09</v>
      </c>
      <c r="R18" s="32">
        <f>(Q18-P18)*100/P18</f>
        <v>8.1278016593795428</v>
      </c>
      <c r="S18" s="32">
        <f>N18-Q18</f>
        <v>-5223.82</v>
      </c>
      <c r="T18" s="31">
        <v>1829.27</v>
      </c>
      <c r="U18" s="59">
        <v>2263.0500000000002</v>
      </c>
      <c r="V18" s="60">
        <f t="shared" si="7"/>
        <v>23.713284534267782</v>
      </c>
      <c r="W18" s="61">
        <v>7053.09</v>
      </c>
      <c r="X18" s="59">
        <v>355</v>
      </c>
      <c r="Y18" s="60">
        <f>(X18-W18)*100/W18</f>
        <v>-94.966745072018071</v>
      </c>
      <c r="Z18" s="62">
        <f t="shared" si="9"/>
        <v>1908.0500000000002</v>
      </c>
      <c r="AA18" s="5">
        <v>2263.0500000000002</v>
      </c>
      <c r="AB18" s="50">
        <v>2707.16</v>
      </c>
      <c r="AC18" s="51">
        <f t="shared" si="10"/>
        <v>19.624400698172806</v>
      </c>
      <c r="AD18" s="50">
        <v>355</v>
      </c>
      <c r="AE18" s="58">
        <v>8444.85</v>
      </c>
      <c r="AF18" s="53">
        <f t="shared" si="11"/>
        <v>2278.8309859154929</v>
      </c>
      <c r="AG18" s="63">
        <f t="shared" si="12"/>
        <v>-5737.6900000000005</v>
      </c>
      <c r="AH18" s="50">
        <v>2707.16</v>
      </c>
      <c r="AI18" s="67">
        <v>4443.5200000000004</v>
      </c>
      <c r="AJ18" s="68">
        <f t="shared" si="13"/>
        <v>64.139541068869249</v>
      </c>
      <c r="AK18" s="69">
        <v>8444.85</v>
      </c>
      <c r="AL18" s="67">
        <v>6989.82</v>
      </c>
      <c r="AM18" s="70">
        <f t="shared" si="14"/>
        <v>-17.229790937672078</v>
      </c>
      <c r="AN18" s="71">
        <f t="shared" si="15"/>
        <v>-2546.2999999999993</v>
      </c>
      <c r="AO18" s="69">
        <v>4540.6499999999996</v>
      </c>
      <c r="AP18" s="69">
        <v>6710.52</v>
      </c>
      <c r="AQ18" s="71">
        <f t="shared" si="38"/>
        <v>-2169.8700000000008</v>
      </c>
      <c r="AR18" s="81">
        <v>5598.66</v>
      </c>
      <c r="AS18" s="81">
        <v>14752.37</v>
      </c>
      <c r="AT18" s="79">
        <f t="shared" si="16"/>
        <v>-9153.7100000000009</v>
      </c>
      <c r="AU18" s="81">
        <v>6063.85</v>
      </c>
      <c r="AV18" s="78">
        <v>11078.93</v>
      </c>
      <c r="AW18" s="79">
        <f t="shared" si="17"/>
        <v>-5015.08</v>
      </c>
      <c r="AX18" s="102">
        <f t="shared" si="29"/>
        <v>17760.670000000002</v>
      </c>
      <c r="AY18" s="54">
        <v>6994.22</v>
      </c>
      <c r="AZ18" s="74">
        <v>10766.45</v>
      </c>
      <c r="BA18" s="102">
        <f t="shared" si="18"/>
        <v>-3772.2300000000005</v>
      </c>
      <c r="BB18" s="102">
        <f t="shared" si="30"/>
        <v>21232.940000000002</v>
      </c>
      <c r="BC18" s="76">
        <v>8691.5400000000009</v>
      </c>
      <c r="BD18" s="100">
        <f t="shared" si="34"/>
        <v>24.267466565249599</v>
      </c>
      <c r="BE18" s="104">
        <v>12541.4</v>
      </c>
      <c r="BF18" s="102">
        <f t="shared" si="31"/>
        <v>16.485935475481693</v>
      </c>
      <c r="BG18" s="83">
        <f t="shared" si="19"/>
        <v>-3849.8599999999988</v>
      </c>
      <c r="BH18" s="83">
        <f t="shared" si="20"/>
        <v>17356.07</v>
      </c>
      <c r="BI18" s="76">
        <v>9919.1200000000008</v>
      </c>
      <c r="BJ18" s="104">
        <v>7436.95</v>
      </c>
      <c r="BK18" s="83">
        <f t="shared" si="21"/>
        <v>2482.170000000001</v>
      </c>
      <c r="BL18" s="167">
        <f t="shared" si="22"/>
        <v>16420.141500000002</v>
      </c>
      <c r="BM18" s="178">
        <v>10347.373900000001</v>
      </c>
      <c r="BN18" s="179">
        <v>6072.7676000000001</v>
      </c>
      <c r="BO18" s="355">
        <f t="shared" si="23"/>
        <v>4274.6063000000004</v>
      </c>
      <c r="BP18" s="356">
        <f t="shared" si="24"/>
        <v>15873.692999999999</v>
      </c>
      <c r="BQ18" s="337">
        <v>9184.6679000000004</v>
      </c>
      <c r="BR18" s="337">
        <v>6689.0250999999998</v>
      </c>
      <c r="BS18" s="357">
        <f t="shared" si="35"/>
        <v>2495.6428000000005</v>
      </c>
      <c r="BT18" s="167">
        <f t="shared" si="32"/>
        <v>16491.644199999999</v>
      </c>
      <c r="BU18" s="182">
        <v>8657.6911</v>
      </c>
      <c r="BV18" s="182">
        <v>7833.9530999999997</v>
      </c>
      <c r="BW18" s="169">
        <f t="shared" si="33"/>
        <v>823.73800000000028</v>
      </c>
      <c r="BX18" s="473"/>
      <c r="BY18" s="474"/>
      <c r="BZ18" s="474"/>
      <c r="CA18" s="474"/>
      <c r="CB18" s="474"/>
      <c r="CC18" s="475"/>
      <c r="CD18" s="316"/>
      <c r="CE18" s="316"/>
      <c r="CG18" s="456" t="s">
        <v>22</v>
      </c>
      <c r="CH18" s="334">
        <v>16233.6248</v>
      </c>
      <c r="CI18" s="334">
        <v>9091.1286</v>
      </c>
      <c r="CJ18" s="334">
        <v>7142.4961999999996</v>
      </c>
      <c r="CK18" s="334">
        <v>1948.6323</v>
      </c>
      <c r="CL18" s="334">
        <v>16660.2196</v>
      </c>
      <c r="CM18" s="334">
        <v>8467.4035999999996</v>
      </c>
      <c r="CN18" s="334">
        <v>8192.8158999999996</v>
      </c>
      <c r="CO18" s="334">
        <v>274.58769999999998</v>
      </c>
      <c r="CP18" s="334">
        <v>16660.2196</v>
      </c>
      <c r="CQ18" s="334">
        <v>8467.4035999999996</v>
      </c>
      <c r="CR18" s="334">
        <v>8192.8158999999996</v>
      </c>
      <c r="CS18" s="334">
        <v>274.58769999999998</v>
      </c>
      <c r="CT18" s="334">
        <v>16354.124299999999</v>
      </c>
      <c r="CU18" s="334">
        <v>8644.8986000000004</v>
      </c>
      <c r="CV18" s="334">
        <v>7709.2257</v>
      </c>
      <c r="CW18" s="334">
        <v>935.67290000000003</v>
      </c>
      <c r="CX18" s="472" t="s">
        <v>295</v>
      </c>
      <c r="CY18" s="472" t="s">
        <v>296</v>
      </c>
    </row>
    <row r="19" spans="2:103" s="33" customFormat="1" ht="32.25" customHeight="1" x14ac:dyDescent="0.5">
      <c r="B19" s="161" t="s">
        <v>5</v>
      </c>
      <c r="C19" s="114">
        <f>SUM(C7:C18)</f>
        <v>19294.36</v>
      </c>
      <c r="D19" s="114">
        <f>SUM(D7:D18)</f>
        <v>48698.26</v>
      </c>
      <c r="E19" s="114">
        <f>SUM(E7:E18)</f>
        <v>-29403.9</v>
      </c>
      <c r="F19" s="114">
        <f>SUM(F7:F18)</f>
        <v>19294.36</v>
      </c>
      <c r="G19" s="115">
        <f>SUM(G7:G18)</f>
        <v>20152.489999999998</v>
      </c>
      <c r="H19" s="115">
        <f t="shared" si="1"/>
        <v>4.4475691341925687</v>
      </c>
      <c r="I19" s="116">
        <f>SUM(I7:I18)</f>
        <v>48698.26</v>
      </c>
      <c r="J19" s="115">
        <f>SUM(J7:J18)</f>
        <v>64120.479999999996</v>
      </c>
      <c r="K19" s="115">
        <f t="shared" si="2"/>
        <v>31.66893437260385</v>
      </c>
      <c r="L19" s="116">
        <f>SUM(L7:L18)</f>
        <v>-43967.99</v>
      </c>
      <c r="M19" s="116">
        <f>SUM(M7:M18)</f>
        <v>20152.489999999998</v>
      </c>
      <c r="N19" s="117">
        <f>SUM(N7:N18)</f>
        <v>18898.009999999998</v>
      </c>
      <c r="O19" s="118">
        <f>(N19-M19)*100/M19</f>
        <v>-6.2249379605200135</v>
      </c>
      <c r="P19" s="117">
        <f>SUM(P7:P18)</f>
        <v>64120.479999999996</v>
      </c>
      <c r="Q19" s="117">
        <f>SUM(Q7:Q18)</f>
        <v>80397.899999999994</v>
      </c>
      <c r="R19" s="118">
        <f>(Q19-P19)*100/P19</f>
        <v>25.385680207010299</v>
      </c>
      <c r="S19" s="117">
        <f>SUM(S7:S18)</f>
        <v>-61499.89</v>
      </c>
      <c r="T19" s="117">
        <f>SUM(T7:T18)</f>
        <v>18898.009999999998</v>
      </c>
      <c r="U19" s="119">
        <f>SUM(U7:U18)</f>
        <v>22180.519999999997</v>
      </c>
      <c r="V19" s="120">
        <f>(U19-T19)*100/T19</f>
        <v>17.369606641122523</v>
      </c>
      <c r="W19" s="119">
        <f>SUM(W7:W18)</f>
        <v>80397.899999999994</v>
      </c>
      <c r="X19" s="119">
        <f>SUM(X7:X18)</f>
        <v>75270.27</v>
      </c>
      <c r="Y19" s="120">
        <f>(X19-W19)*100/W19</f>
        <v>-6.3778158384733814</v>
      </c>
      <c r="Z19" s="119">
        <f>SUM(Z7:Z18)</f>
        <v>-53089.749999999993</v>
      </c>
      <c r="AA19" s="117">
        <f>SUM(AA7:AA18)</f>
        <v>22180.519999999997</v>
      </c>
      <c r="AB19" s="121">
        <f>SUM(AB7:AB18)</f>
        <v>35197.58</v>
      </c>
      <c r="AC19" s="122">
        <f>(AB19-AA19)*100/AA19</f>
        <v>58.686901839992963</v>
      </c>
      <c r="AD19" s="121">
        <f>SUM(AD7:AD18)</f>
        <v>75270.27</v>
      </c>
      <c r="AE19" s="123">
        <f>SUM(AE7:AE18)</f>
        <v>108503.37</v>
      </c>
      <c r="AF19" s="122">
        <f t="shared" si="11"/>
        <v>44.151694952070706</v>
      </c>
      <c r="AG19" s="124">
        <f>AB19-AE19</f>
        <v>-73305.789999999994</v>
      </c>
      <c r="AH19" s="121">
        <f>SUM(AH7:AH18)</f>
        <v>35197.58</v>
      </c>
      <c r="AI19" s="125">
        <f>SUM(AI7:AI18)</f>
        <v>42604.39</v>
      </c>
      <c r="AJ19" s="125">
        <f t="shared" ref="AJ19:AO19" si="48">SUM(AJ7:AJ18)</f>
        <v>256.25352733324507</v>
      </c>
      <c r="AK19" s="125">
        <f t="shared" si="48"/>
        <v>108503.35</v>
      </c>
      <c r="AL19" s="125">
        <f t="shared" si="48"/>
        <v>92162.010000000009</v>
      </c>
      <c r="AM19" s="125">
        <f t="shared" si="48"/>
        <v>6141.4343041839238</v>
      </c>
      <c r="AN19" s="125">
        <f t="shared" si="48"/>
        <v>-49557.62000000001</v>
      </c>
      <c r="AO19" s="125">
        <f t="shared" si="48"/>
        <v>50854.43</v>
      </c>
      <c r="AP19" s="125">
        <f>SUM(AP7:AP18)+0.01</f>
        <v>87014.859999999986</v>
      </c>
      <c r="AQ19" s="125">
        <f>AO19-AP19</f>
        <v>-36160.429999999986</v>
      </c>
      <c r="AR19" s="125">
        <f>SUM(AR7:AR18)</f>
        <v>60599.260000000009</v>
      </c>
      <c r="AS19" s="125">
        <f>SUM(AS7:AS18)+0.01</f>
        <v>103775.99999999999</v>
      </c>
      <c r="AT19" s="125">
        <f>AR19-AS19</f>
        <v>-43176.739999999976</v>
      </c>
      <c r="AU19" s="125">
        <f>SUM(AU7:AU18)</f>
        <v>69975.66</v>
      </c>
      <c r="AV19" s="125">
        <f>SUM(AV7:AV18)</f>
        <v>110495.86999999997</v>
      </c>
      <c r="AW19" s="125">
        <f>SUM(AW7:AW18)</f>
        <v>-40520.21</v>
      </c>
      <c r="AX19" s="126">
        <f>AY19+AZ19+0.01</f>
        <v>196861.584</v>
      </c>
      <c r="AY19" s="126">
        <f>SUM(AY7:AY18)-0.01</f>
        <v>79447.194999999992</v>
      </c>
      <c r="AZ19" s="126">
        <f>SUM(AZ7:AZ18)-0.02</f>
        <v>117414.379</v>
      </c>
      <c r="BA19" s="126">
        <f>SUM(BA7:BA18)+0.01</f>
        <v>-37967.183999999994</v>
      </c>
      <c r="BB19" s="125">
        <f t="shared" si="30"/>
        <v>215709.34800000006</v>
      </c>
      <c r="BC19" s="125">
        <f>SUM(BC7:BC18)-0.01</f>
        <v>94006.670000000027</v>
      </c>
      <c r="BD19" s="127">
        <f t="shared" si="34"/>
        <v>18.32597739920212</v>
      </c>
      <c r="BE19" s="125">
        <f>SUM(BE7:BE18)</f>
        <v>121702.67800000001</v>
      </c>
      <c r="BF19" s="128">
        <f t="shared" si="31"/>
        <v>3.6522775460065362</v>
      </c>
      <c r="BG19" s="125">
        <f>SUM(BC19-BE19)</f>
        <v>-27696.007999999987</v>
      </c>
      <c r="BH19" s="129">
        <f t="shared" si="20"/>
        <v>217964.63999999998</v>
      </c>
      <c r="BI19" s="126">
        <f>SUM(BI7:BI18)</f>
        <v>100819.29999999999</v>
      </c>
      <c r="BJ19" s="126">
        <f>SUM(BJ7:BJ18)+0.01</f>
        <v>117145.34</v>
      </c>
      <c r="BK19" s="125">
        <f>SUM(BI19-BJ19)</f>
        <v>-16326.040000000008</v>
      </c>
      <c r="BL19" s="168">
        <f>BM19+BN19</f>
        <v>187905.2861</v>
      </c>
      <c r="BM19" s="180">
        <f>SUM(BM7:BM18)</f>
        <v>109267.1655</v>
      </c>
      <c r="BN19" s="181">
        <f>SUM(BN7:BN18)</f>
        <v>78638.120599999995</v>
      </c>
      <c r="BO19" s="171">
        <f>SUM(BM19-BN19)+0.01</f>
        <v>30629.054900000006</v>
      </c>
      <c r="BP19" s="168">
        <f>BQ19+BR19</f>
        <v>184331.01129999998</v>
      </c>
      <c r="BQ19" s="180">
        <f>SUM(BQ7:BQ18)</f>
        <v>108966.17899999999</v>
      </c>
      <c r="BR19" s="180">
        <f>SUM(BR7:BR18)</f>
        <v>75364.832299999995</v>
      </c>
      <c r="BS19" s="172">
        <f>BQ19-BR19</f>
        <v>33601.346699999995</v>
      </c>
      <c r="BT19" s="168">
        <f>SUM(BT7:BT18)</f>
        <v>193328.57199999999</v>
      </c>
      <c r="BU19" s="180">
        <f>SUM(BU7:BU18)</f>
        <v>105213.5105</v>
      </c>
      <c r="BV19" s="180">
        <f t="shared" ref="BV19" si="49">SUM(BV7:BV18)</f>
        <v>88115.061499999996</v>
      </c>
      <c r="BW19" s="172">
        <f>SUM(BW7:BW18)</f>
        <v>17098.449000000001</v>
      </c>
      <c r="BX19" s="322">
        <f>SUM(BX7:BX18)</f>
        <v>180737.18409999998</v>
      </c>
      <c r="BY19" s="186">
        <f>SUM(BY7:BY18)</f>
        <v>93778.108800000002</v>
      </c>
      <c r="BZ19" s="185">
        <f>(BY19-CD19)*100/CD19</f>
        <v>-2.8767925302283808</v>
      </c>
      <c r="CA19" s="186">
        <f>SUM(CA7:CA18)</f>
        <v>86959.075299999997</v>
      </c>
      <c r="CB19" s="185">
        <f>(CA19-CE19)*100/CE19</f>
        <v>8.3182160800590008</v>
      </c>
      <c r="CC19" s="170">
        <f>SUM(CC7:CC18)+0.01</f>
        <v>6819.0334999999986</v>
      </c>
      <c r="CD19" s="317">
        <f>SUM(CD7:CD18)</f>
        <v>96555.819400000008</v>
      </c>
      <c r="CE19" s="317">
        <f>SUM(CE7:CE18)+0.01</f>
        <v>80281.118399999992</v>
      </c>
      <c r="CG19" s="456" t="s">
        <v>23</v>
      </c>
      <c r="CH19" s="334">
        <v>15873.692999999999</v>
      </c>
      <c r="CI19" s="334">
        <v>9184.6679000000004</v>
      </c>
      <c r="CJ19" s="334">
        <v>6689.0250999999998</v>
      </c>
      <c r="CK19" s="334">
        <v>2495.6428000000001</v>
      </c>
      <c r="CL19" s="334">
        <v>16491.644199999999</v>
      </c>
      <c r="CM19" s="334">
        <v>8657.6911</v>
      </c>
      <c r="CN19" s="334">
        <v>7833.9530999999997</v>
      </c>
      <c r="CO19" s="334">
        <v>823.73800000000006</v>
      </c>
      <c r="CP19" s="334">
        <v>16491.644199999999</v>
      </c>
      <c r="CQ19" s="334">
        <v>8657.6911</v>
      </c>
      <c r="CR19" s="334">
        <v>7833.9530999999997</v>
      </c>
      <c r="CS19" s="334">
        <v>823.73800000000006</v>
      </c>
      <c r="CT19" s="334">
        <v>15665.504800000001</v>
      </c>
      <c r="CU19" s="334">
        <v>8754.1962000000003</v>
      </c>
      <c r="CV19" s="334">
        <v>6911.3085000000001</v>
      </c>
      <c r="CW19" s="334">
        <v>1842.8877</v>
      </c>
      <c r="CX19" s="472" t="s">
        <v>307</v>
      </c>
      <c r="CY19" s="472" t="s">
        <v>308</v>
      </c>
    </row>
    <row r="20" spans="2:103" s="13" customFormat="1" ht="21" customHeight="1" x14ac:dyDescent="0.5">
      <c r="B20" s="37" t="s">
        <v>63</v>
      </c>
      <c r="C20" s="37"/>
      <c r="D20" s="37"/>
      <c r="E20" s="14"/>
      <c r="F20" s="14"/>
      <c r="G20" s="37"/>
      <c r="H20" s="37"/>
      <c r="I20" s="37"/>
      <c r="J20" s="37"/>
      <c r="K20" s="14"/>
      <c r="L20" s="14"/>
      <c r="M20" s="14"/>
      <c r="N20" s="37"/>
      <c r="O20" s="37"/>
      <c r="P20" s="37"/>
      <c r="Q20" s="37"/>
      <c r="R20" s="14"/>
      <c r="S20" s="14"/>
      <c r="T20" s="14"/>
      <c r="U20" s="37"/>
      <c r="V20" s="37"/>
      <c r="W20" s="37"/>
      <c r="X20" s="37"/>
      <c r="Y20" s="14"/>
      <c r="Z20" s="14"/>
      <c r="AA20" s="14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6"/>
      <c r="BZ20" s="55"/>
      <c r="CA20" s="41"/>
      <c r="CB20" s="14"/>
      <c r="CC20" s="14" t="s">
        <v>89</v>
      </c>
      <c r="CD20" s="65"/>
      <c r="CE20" s="40"/>
      <c r="CG20" s="470"/>
      <c r="CH20" s="457" t="s">
        <v>175</v>
      </c>
      <c r="CI20" s="457" t="s">
        <v>176</v>
      </c>
      <c r="CJ20" s="457" t="s">
        <v>177</v>
      </c>
      <c r="CK20" s="457" t="s">
        <v>178</v>
      </c>
      <c r="CL20" s="457" t="s">
        <v>179</v>
      </c>
      <c r="CM20" s="457" t="s">
        <v>180</v>
      </c>
      <c r="CN20" s="457" t="s">
        <v>181</v>
      </c>
      <c r="CO20" s="457" t="s">
        <v>182</v>
      </c>
      <c r="CP20" s="457" t="s">
        <v>179</v>
      </c>
      <c r="CQ20" s="457" t="s">
        <v>180</v>
      </c>
      <c r="CR20" s="457" t="s">
        <v>181</v>
      </c>
      <c r="CS20" s="457" t="s">
        <v>182</v>
      </c>
      <c r="CT20" s="457" t="s">
        <v>309</v>
      </c>
      <c r="CU20" s="457" t="s">
        <v>310</v>
      </c>
      <c r="CV20" s="457" t="s">
        <v>311</v>
      </c>
      <c r="CW20" s="457" t="s">
        <v>312</v>
      </c>
      <c r="CX20" s="470" t="s">
        <v>313</v>
      </c>
      <c r="CY20" s="470" t="s">
        <v>314</v>
      </c>
    </row>
    <row r="21" spans="2:103" s="421" customFormat="1" ht="19.5" customHeight="1" x14ac:dyDescent="0.2">
      <c r="B21" s="413" t="s">
        <v>91</v>
      </c>
      <c r="C21" s="414"/>
      <c r="D21" s="413" t="s">
        <v>91</v>
      </c>
      <c r="E21" s="414"/>
      <c r="F21" s="413" t="s">
        <v>91</v>
      </c>
      <c r="G21" s="414"/>
      <c r="H21" s="413" t="s">
        <v>91</v>
      </c>
      <c r="I21" s="414"/>
      <c r="J21" s="413" t="s">
        <v>91</v>
      </c>
      <c r="K21" s="414"/>
      <c r="L21" s="413" t="s">
        <v>91</v>
      </c>
      <c r="M21" s="414"/>
      <c r="N21" s="413" t="s">
        <v>91</v>
      </c>
      <c r="O21" s="414"/>
      <c r="P21" s="413" t="s">
        <v>91</v>
      </c>
      <c r="Q21" s="414"/>
      <c r="R21" s="413" t="s">
        <v>91</v>
      </c>
      <c r="S21" s="414"/>
      <c r="T21" s="413" t="s">
        <v>91</v>
      </c>
      <c r="U21" s="414"/>
      <c r="V21" s="413" t="s">
        <v>91</v>
      </c>
      <c r="W21" s="414"/>
      <c r="X21" s="413" t="s">
        <v>91</v>
      </c>
      <c r="Y21" s="414"/>
      <c r="Z21" s="413" t="s">
        <v>91</v>
      </c>
      <c r="AA21" s="414"/>
      <c r="AB21" s="413" t="s">
        <v>91</v>
      </c>
      <c r="AC21" s="414"/>
      <c r="AD21" s="413" t="s">
        <v>91</v>
      </c>
      <c r="AE21" s="414"/>
      <c r="AF21" s="413" t="s">
        <v>91</v>
      </c>
      <c r="AG21" s="414"/>
      <c r="AH21" s="413" t="s">
        <v>91</v>
      </c>
      <c r="AI21" s="414"/>
      <c r="AJ21" s="413" t="s">
        <v>91</v>
      </c>
      <c r="AK21" s="414"/>
      <c r="AL21" s="413" t="s">
        <v>91</v>
      </c>
      <c r="AM21" s="414"/>
      <c r="AN21" s="413" t="s">
        <v>91</v>
      </c>
      <c r="AO21" s="414"/>
      <c r="AP21" s="413" t="s">
        <v>91</v>
      </c>
      <c r="AQ21" s="414"/>
      <c r="AR21" s="413" t="s">
        <v>91</v>
      </c>
      <c r="AS21" s="414"/>
      <c r="AT21" s="413" t="s">
        <v>91</v>
      </c>
      <c r="AU21" s="414"/>
      <c r="AV21" s="413" t="s">
        <v>91</v>
      </c>
      <c r="AW21" s="414"/>
      <c r="AX21" s="413" t="s">
        <v>91</v>
      </c>
      <c r="AY21" s="414"/>
      <c r="AZ21" s="413" t="s">
        <v>91</v>
      </c>
      <c r="BA21" s="414"/>
      <c r="BB21" s="413" t="s">
        <v>91</v>
      </c>
      <c r="BC21" s="414"/>
      <c r="BD21" s="413" t="s">
        <v>91</v>
      </c>
      <c r="BE21" s="414"/>
      <c r="BF21" s="413" t="s">
        <v>91</v>
      </c>
      <c r="BG21" s="414"/>
      <c r="BH21" s="413" t="s">
        <v>91</v>
      </c>
      <c r="BI21" s="414"/>
      <c r="BJ21" s="413" t="s">
        <v>91</v>
      </c>
      <c r="BK21" s="414"/>
      <c r="BL21" s="413"/>
      <c r="BM21" s="414"/>
      <c r="BN21" s="413"/>
      <c r="BO21" s="414"/>
      <c r="BP21" s="149"/>
      <c r="BQ21" s="149"/>
      <c r="BR21" s="149"/>
      <c r="BS21" s="149"/>
      <c r="BT21" s="149"/>
      <c r="BU21" s="149"/>
      <c r="BV21" s="149"/>
      <c r="BW21" s="149"/>
      <c r="BX21" s="430"/>
      <c r="CA21" s="47"/>
      <c r="CB21" s="47"/>
      <c r="CC21" s="47" t="s">
        <v>62</v>
      </c>
      <c r="CD21" s="431"/>
      <c r="CE21" s="432"/>
    </row>
    <row r="22" spans="2:103" s="421" customFormat="1" ht="19.5" customHeight="1" x14ac:dyDescent="0.2">
      <c r="B22" s="418" t="s">
        <v>145</v>
      </c>
      <c r="C22" s="414"/>
      <c r="D22" s="418" t="s">
        <v>92</v>
      </c>
      <c r="E22" s="414"/>
      <c r="F22" s="418" t="s">
        <v>92</v>
      </c>
      <c r="G22" s="414"/>
      <c r="H22" s="418" t="s">
        <v>92</v>
      </c>
      <c r="I22" s="414"/>
      <c r="J22" s="418" t="s">
        <v>92</v>
      </c>
      <c r="K22" s="414"/>
      <c r="L22" s="418" t="s">
        <v>92</v>
      </c>
      <c r="M22" s="414"/>
      <c r="N22" s="418" t="s">
        <v>92</v>
      </c>
      <c r="O22" s="414"/>
      <c r="P22" s="418" t="s">
        <v>92</v>
      </c>
      <c r="Q22" s="414"/>
      <c r="R22" s="418" t="s">
        <v>92</v>
      </c>
      <c r="S22" s="414"/>
      <c r="T22" s="418" t="s">
        <v>92</v>
      </c>
      <c r="U22" s="414"/>
      <c r="V22" s="418" t="s">
        <v>92</v>
      </c>
      <c r="W22" s="414"/>
      <c r="X22" s="418" t="s">
        <v>92</v>
      </c>
      <c r="Y22" s="414"/>
      <c r="Z22" s="418" t="s">
        <v>92</v>
      </c>
      <c r="AA22" s="414"/>
      <c r="AB22" s="418" t="s">
        <v>92</v>
      </c>
      <c r="AC22" s="414"/>
      <c r="AD22" s="418" t="s">
        <v>92</v>
      </c>
      <c r="AE22" s="414"/>
      <c r="AF22" s="418" t="s">
        <v>92</v>
      </c>
      <c r="AG22" s="414"/>
      <c r="AH22" s="418" t="s">
        <v>92</v>
      </c>
      <c r="AI22" s="414"/>
      <c r="AJ22" s="418" t="s">
        <v>92</v>
      </c>
      <c r="AK22" s="414"/>
      <c r="AL22" s="418" t="s">
        <v>92</v>
      </c>
      <c r="AM22" s="414"/>
      <c r="AN22" s="418" t="s">
        <v>92</v>
      </c>
      <c r="AO22" s="414"/>
      <c r="AP22" s="418" t="s">
        <v>92</v>
      </c>
      <c r="AQ22" s="414"/>
      <c r="AR22" s="418" t="s">
        <v>92</v>
      </c>
      <c r="AS22" s="414"/>
      <c r="AT22" s="418" t="s">
        <v>92</v>
      </c>
      <c r="AU22" s="414"/>
      <c r="AV22" s="418" t="s">
        <v>92</v>
      </c>
      <c r="AW22" s="414"/>
      <c r="AX22" s="418" t="s">
        <v>92</v>
      </c>
      <c r="AY22" s="414"/>
      <c r="AZ22" s="418" t="s">
        <v>92</v>
      </c>
      <c r="BA22" s="414"/>
      <c r="BB22" s="418" t="s">
        <v>92</v>
      </c>
      <c r="BC22" s="414"/>
      <c r="BD22" s="418" t="s">
        <v>92</v>
      </c>
      <c r="BE22" s="414"/>
      <c r="BF22" s="418" t="s">
        <v>92</v>
      </c>
      <c r="BG22" s="414"/>
      <c r="BH22" s="418" t="s">
        <v>92</v>
      </c>
      <c r="BI22" s="414"/>
      <c r="BJ22" s="418" t="s">
        <v>92</v>
      </c>
      <c r="BK22" s="414"/>
      <c r="BL22" s="418"/>
      <c r="BM22" s="414"/>
      <c r="BN22" s="418"/>
      <c r="BO22" s="414"/>
      <c r="BP22" s="430"/>
      <c r="BQ22" s="430"/>
      <c r="BR22" s="430"/>
      <c r="BS22" s="430"/>
      <c r="BT22" s="430"/>
      <c r="BU22" s="430"/>
      <c r="BV22" s="430"/>
      <c r="BW22" s="430"/>
      <c r="BX22" s="430"/>
      <c r="CA22" s="47"/>
      <c r="CB22" s="47"/>
      <c r="CC22" s="46" t="s">
        <v>6</v>
      </c>
      <c r="CD22" s="433"/>
    </row>
    <row r="23" spans="2:103" s="421" customFormat="1" ht="19.5" customHeight="1" x14ac:dyDescent="0.2">
      <c r="B23" s="413" t="s">
        <v>146</v>
      </c>
      <c r="C23" s="418"/>
      <c r="D23" s="413" t="s">
        <v>93</v>
      </c>
      <c r="E23" s="418"/>
      <c r="F23" s="413" t="s">
        <v>93</v>
      </c>
      <c r="G23" s="418"/>
      <c r="H23" s="413" t="s">
        <v>93</v>
      </c>
      <c r="I23" s="418"/>
      <c r="J23" s="413" t="s">
        <v>93</v>
      </c>
      <c r="K23" s="418"/>
      <c r="L23" s="413" t="s">
        <v>93</v>
      </c>
      <c r="M23" s="418"/>
      <c r="N23" s="413" t="s">
        <v>93</v>
      </c>
      <c r="O23" s="418"/>
      <c r="P23" s="413" t="s">
        <v>93</v>
      </c>
      <c r="Q23" s="418"/>
      <c r="R23" s="413" t="s">
        <v>93</v>
      </c>
      <c r="S23" s="418"/>
      <c r="T23" s="413" t="s">
        <v>93</v>
      </c>
      <c r="U23" s="418"/>
      <c r="V23" s="413" t="s">
        <v>93</v>
      </c>
      <c r="W23" s="418"/>
      <c r="X23" s="413" t="s">
        <v>93</v>
      </c>
      <c r="Y23" s="418"/>
      <c r="Z23" s="413" t="s">
        <v>93</v>
      </c>
      <c r="AA23" s="418"/>
      <c r="AB23" s="413" t="s">
        <v>93</v>
      </c>
      <c r="AC23" s="418"/>
      <c r="AD23" s="413" t="s">
        <v>93</v>
      </c>
      <c r="AE23" s="418"/>
      <c r="AF23" s="413" t="s">
        <v>93</v>
      </c>
      <c r="AG23" s="418"/>
      <c r="AH23" s="413" t="s">
        <v>93</v>
      </c>
      <c r="AI23" s="418"/>
      <c r="AJ23" s="413" t="s">
        <v>93</v>
      </c>
      <c r="AK23" s="418"/>
      <c r="AL23" s="413" t="s">
        <v>93</v>
      </c>
      <c r="AM23" s="418"/>
      <c r="AN23" s="413" t="s">
        <v>93</v>
      </c>
      <c r="AO23" s="418"/>
      <c r="AP23" s="413" t="s">
        <v>93</v>
      </c>
      <c r="AQ23" s="418"/>
      <c r="AR23" s="413" t="s">
        <v>93</v>
      </c>
      <c r="AS23" s="418"/>
      <c r="AT23" s="413" t="s">
        <v>93</v>
      </c>
      <c r="AU23" s="418"/>
      <c r="AV23" s="413" t="s">
        <v>93</v>
      </c>
      <c r="AW23" s="418"/>
      <c r="AX23" s="413" t="s">
        <v>93</v>
      </c>
      <c r="AY23" s="418"/>
      <c r="AZ23" s="413" t="s">
        <v>93</v>
      </c>
      <c r="BA23" s="418"/>
      <c r="BB23" s="413" t="s">
        <v>93</v>
      </c>
      <c r="BC23" s="418"/>
      <c r="BD23" s="413" t="s">
        <v>93</v>
      </c>
      <c r="BE23" s="418"/>
      <c r="BF23" s="413" t="s">
        <v>93</v>
      </c>
      <c r="BG23" s="418"/>
      <c r="BH23" s="413" t="s">
        <v>93</v>
      </c>
      <c r="BI23" s="418"/>
      <c r="BJ23" s="413" t="s">
        <v>93</v>
      </c>
      <c r="BK23" s="418"/>
      <c r="BL23" s="413"/>
      <c r="BM23" s="418"/>
      <c r="BN23" s="413"/>
      <c r="BO23" s="418"/>
      <c r="CC23" s="46"/>
      <c r="CD23" s="433"/>
    </row>
    <row r="24" spans="2:103" s="433" customFormat="1" ht="19.5" customHeight="1" x14ac:dyDescent="0.2">
      <c r="B24" s="417" t="s">
        <v>147</v>
      </c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</row>
    <row r="25" spans="2:103" s="433" customFormat="1" ht="19.5" customHeight="1" x14ac:dyDescent="0.2">
      <c r="B25" s="412" t="s">
        <v>164</v>
      </c>
    </row>
  </sheetData>
  <mergeCells count="39">
    <mergeCell ref="CG2:CV2"/>
    <mergeCell ref="CT6:CW6"/>
    <mergeCell ref="CG4:CW4"/>
    <mergeCell ref="CX4:CY4"/>
    <mergeCell ref="CG5:CG7"/>
    <mergeCell ref="CH5:CK5"/>
    <mergeCell ref="CL5:CO5"/>
    <mergeCell ref="CP5:CW5"/>
    <mergeCell ref="CX5:CX7"/>
    <mergeCell ref="CY5:CY7"/>
    <mergeCell ref="CH6:CH7"/>
    <mergeCell ref="CI6:CI7"/>
    <mergeCell ref="CJ6:CJ7"/>
    <mergeCell ref="CK6:CK7"/>
    <mergeCell ref="CL6:CL7"/>
    <mergeCell ref="CM6:CM7"/>
    <mergeCell ref="CN6:CN7"/>
    <mergeCell ref="CO6:CO7"/>
    <mergeCell ref="CP6:CS6"/>
    <mergeCell ref="B2:CC2"/>
    <mergeCell ref="B5:B6"/>
    <mergeCell ref="C5:E5"/>
    <mergeCell ref="G5:L5"/>
    <mergeCell ref="N5:S5"/>
    <mergeCell ref="BL5:BO5"/>
    <mergeCell ref="BH5:BK5"/>
    <mergeCell ref="BP5:BS5"/>
    <mergeCell ref="BT5:BW5"/>
    <mergeCell ref="CD5:CE5"/>
    <mergeCell ref="U5:Z5"/>
    <mergeCell ref="AB5:AG5"/>
    <mergeCell ref="B3:CC3"/>
    <mergeCell ref="BB5:BG5"/>
    <mergeCell ref="BX5:CC5"/>
    <mergeCell ref="AH5:AN5"/>
    <mergeCell ref="AR5:AT5"/>
    <mergeCell ref="AO5:AQ5"/>
    <mergeCell ref="AU5:AW5"/>
    <mergeCell ref="AX5:BA5"/>
  </mergeCells>
  <phoneticPr fontId="19" type="noConversion"/>
  <pageMargins left="0.2" right="0" top="0.75" bottom="0.75" header="0.3" footer="0.3"/>
  <pageSetup paperSize="9" scale="95" orientation="portrait" horizontalDpi="4294967295" verticalDpi="4294967295" r:id="rId1"/>
  <headerFooter>
    <oddHeader>&amp;C&amp;"AngsanaUPC,Regular"&amp;16- 21 -</oddHeader>
  </headerFooter>
  <ignoredErrors>
    <ignoredError sqref="AC19 AF1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8"/>
  <sheetViews>
    <sheetView view="pageLayout" zoomScale="140" zoomScaleNormal="84" zoomScalePageLayoutView="140" workbookViewId="0">
      <selection activeCell="BS4" sqref="BS4"/>
    </sheetView>
  </sheetViews>
  <sheetFormatPr defaultColWidth="9.125" defaultRowHeight="34.5" customHeight="1" x14ac:dyDescent="0.5"/>
  <cols>
    <col min="1" max="1" width="10" style="6" customWidth="1"/>
    <col min="2" max="8" width="9.125" style="6" hidden="1" customWidth="1"/>
    <col min="9" max="9" width="6.375" style="6" hidden="1" customWidth="1"/>
    <col min="10" max="10" width="6.625" style="6" hidden="1" customWidth="1"/>
    <col min="11" max="11" width="7" style="6" hidden="1" customWidth="1"/>
    <col min="12" max="12" width="6.375" style="6" hidden="1" customWidth="1"/>
    <col min="13" max="13" width="6.75" style="6" hidden="1" customWidth="1"/>
    <col min="14" max="14" width="7.625" style="6" hidden="1" customWidth="1"/>
    <col min="15" max="16" width="6.125" style="6" hidden="1" customWidth="1"/>
    <col min="17" max="17" width="6.375" style="6" hidden="1" customWidth="1"/>
    <col min="18" max="18" width="6.125" style="6" hidden="1" customWidth="1"/>
    <col min="19" max="19" width="6.875" style="6" hidden="1" customWidth="1"/>
    <col min="20" max="20" width="6" style="6" hidden="1" customWidth="1"/>
    <col min="21" max="21" width="5.75" style="6" hidden="1" customWidth="1"/>
    <col min="22" max="23" width="6.125" style="6" hidden="1" customWidth="1"/>
    <col min="24" max="24" width="6.375" style="6" hidden="1" customWidth="1"/>
    <col min="25" max="25" width="6.625" style="6" hidden="1" customWidth="1"/>
    <col min="26" max="26" width="6.375" style="6" hidden="1" customWidth="1"/>
    <col min="27" max="27" width="7.125" style="6" hidden="1" customWidth="1"/>
    <col min="28" max="28" width="7" style="6" hidden="1" customWidth="1"/>
    <col min="29" max="30" width="6.625" style="6" hidden="1" customWidth="1"/>
    <col min="31" max="31" width="6.125" style="6" hidden="1" customWidth="1"/>
    <col min="32" max="33" width="6.625" style="6" hidden="1" customWidth="1"/>
    <col min="34" max="34" width="6.75" style="6" hidden="1" customWidth="1"/>
    <col min="35" max="35" width="5.375" style="6" hidden="1" customWidth="1"/>
    <col min="36" max="36" width="6.375" style="6" hidden="1" customWidth="1"/>
    <col min="37" max="37" width="5.375" style="6" hidden="1" customWidth="1"/>
    <col min="38" max="42" width="6.625" style="6" hidden="1" customWidth="1"/>
    <col min="43" max="43" width="6.875" style="6" hidden="1" customWidth="1"/>
    <col min="44" max="45" width="6.375" style="6" hidden="1" customWidth="1"/>
    <col min="46" max="46" width="0.375" style="6" hidden="1" customWidth="1"/>
    <col min="47" max="47" width="6.75" style="6" hidden="1" customWidth="1"/>
    <col min="48" max="55" width="6.75" style="6" customWidth="1"/>
    <col min="56" max="56" width="6.625" style="162" customWidth="1"/>
    <col min="57" max="57" width="6.75" style="162" customWidth="1"/>
    <col min="58" max="58" width="5.125" style="162" customWidth="1"/>
    <col min="59" max="59" width="6.375" style="162" customWidth="1"/>
    <col min="60" max="60" width="5.125" style="162" customWidth="1"/>
    <col min="61" max="61" width="6.125" style="162" customWidth="1"/>
    <col min="62" max="69" width="0" style="6" hidden="1" customWidth="1"/>
    <col min="70" max="70" width="1.25" style="6" hidden="1" customWidth="1"/>
    <col min="71" max="72" width="12.625" style="6" customWidth="1"/>
    <col min="73" max="16384" width="9.125" style="6"/>
  </cols>
  <sheetData>
    <row r="1" spans="1:93" ht="34.5" customHeight="1" x14ac:dyDescent="0.55000000000000004">
      <c r="A1" s="575" t="s">
        <v>68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  <c r="AK1" s="575"/>
      <c r="AL1" s="575"/>
      <c r="AM1" s="575"/>
      <c r="AN1" s="575"/>
      <c r="AO1" s="575"/>
      <c r="AP1" s="575"/>
      <c r="AQ1" s="575"/>
      <c r="AR1" s="575"/>
      <c r="AS1" s="575"/>
      <c r="AT1" s="575"/>
      <c r="AU1" s="575"/>
      <c r="AV1" s="575"/>
      <c r="AW1" s="575"/>
      <c r="AX1" s="575"/>
      <c r="AY1" s="575"/>
      <c r="AZ1" s="575"/>
      <c r="BA1" s="575"/>
      <c r="BB1" s="575"/>
      <c r="BC1" s="575"/>
      <c r="BD1" s="575"/>
      <c r="BE1" s="575"/>
      <c r="BF1" s="575"/>
      <c r="BG1" s="575"/>
      <c r="BH1" s="575"/>
      <c r="BI1" s="575"/>
    </row>
    <row r="2" spans="1:93" ht="34.5" customHeight="1" x14ac:dyDescent="0.55000000000000004">
      <c r="A2" s="575" t="s">
        <v>394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5"/>
      <c r="AF2" s="575"/>
      <c r="AG2" s="575"/>
      <c r="AH2" s="575"/>
      <c r="AI2" s="575"/>
      <c r="AJ2" s="575"/>
      <c r="AK2" s="575"/>
      <c r="AL2" s="575"/>
      <c r="AM2" s="575"/>
      <c r="AN2" s="575"/>
      <c r="AO2" s="575"/>
      <c r="AP2" s="575"/>
      <c r="AQ2" s="575"/>
      <c r="AR2" s="575"/>
      <c r="AS2" s="575"/>
      <c r="AT2" s="575"/>
      <c r="AU2" s="575"/>
      <c r="AV2" s="575"/>
      <c r="AW2" s="575"/>
      <c r="AX2" s="575"/>
      <c r="AY2" s="575"/>
      <c r="AZ2" s="575"/>
      <c r="BA2" s="575"/>
      <c r="BB2" s="575"/>
      <c r="BC2" s="575"/>
      <c r="BD2" s="575"/>
      <c r="BE2" s="575"/>
      <c r="BF2" s="575"/>
      <c r="BG2" s="575"/>
      <c r="BH2" s="575"/>
      <c r="BI2" s="575"/>
      <c r="BU2" s="571" t="s">
        <v>315</v>
      </c>
      <c r="BV2" s="571"/>
      <c r="BW2" s="571"/>
      <c r="BX2" s="571"/>
      <c r="BY2" s="571"/>
      <c r="BZ2" s="571"/>
      <c r="CA2" s="571"/>
      <c r="CB2" s="571"/>
      <c r="CC2" s="571"/>
      <c r="CD2" s="571"/>
      <c r="CE2" s="571"/>
      <c r="CF2" s="571"/>
      <c r="CG2" s="571"/>
      <c r="CH2" s="571"/>
      <c r="CI2" s="571"/>
      <c r="CJ2" s="571"/>
      <c r="CK2"/>
      <c r="CL2"/>
      <c r="CM2"/>
      <c r="CN2"/>
      <c r="CO2"/>
    </row>
    <row r="3" spans="1:93" s="13" customFormat="1" ht="34.5" customHeight="1" x14ac:dyDescent="0.45"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H3" s="64"/>
      <c r="BI3" s="144" t="s">
        <v>46</v>
      </c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</row>
    <row r="4" spans="1:93" s="15" customFormat="1" ht="34.5" customHeight="1" x14ac:dyDescent="0.55000000000000004">
      <c r="A4" s="576" t="s">
        <v>0</v>
      </c>
      <c r="B4" s="578">
        <v>2547</v>
      </c>
      <c r="C4" s="579"/>
      <c r="D4" s="578">
        <v>2548</v>
      </c>
      <c r="E4" s="579"/>
      <c r="F4" s="580">
        <v>2549</v>
      </c>
      <c r="G4" s="581"/>
      <c r="H4" s="582"/>
      <c r="I4" s="580">
        <v>2550</v>
      </c>
      <c r="J4" s="581"/>
      <c r="K4" s="582"/>
      <c r="L4" s="580">
        <v>2551</v>
      </c>
      <c r="M4" s="581"/>
      <c r="N4" s="582"/>
      <c r="O4" s="572">
        <v>2552</v>
      </c>
      <c r="P4" s="573"/>
      <c r="Q4" s="573"/>
      <c r="R4" s="573"/>
      <c r="S4" s="574"/>
      <c r="T4" s="572">
        <v>2553</v>
      </c>
      <c r="U4" s="573"/>
      <c r="V4" s="574"/>
      <c r="W4" s="84"/>
      <c r="X4" s="84">
        <v>2554</v>
      </c>
      <c r="Y4" s="84"/>
      <c r="Z4" s="572">
        <v>2555</v>
      </c>
      <c r="AA4" s="573"/>
      <c r="AB4" s="574"/>
      <c r="AC4" s="572">
        <v>2556</v>
      </c>
      <c r="AD4" s="573"/>
      <c r="AE4" s="573"/>
      <c r="AF4" s="574"/>
      <c r="AG4" s="572">
        <v>2557</v>
      </c>
      <c r="AH4" s="573"/>
      <c r="AI4" s="573"/>
      <c r="AJ4" s="573"/>
      <c r="AK4" s="573"/>
      <c r="AL4" s="574"/>
      <c r="AM4" s="572">
        <v>2558</v>
      </c>
      <c r="AN4" s="573"/>
      <c r="AO4" s="573"/>
      <c r="AP4" s="574"/>
      <c r="AQ4" s="572">
        <v>2559</v>
      </c>
      <c r="AR4" s="573"/>
      <c r="AS4" s="573"/>
      <c r="AT4" s="573"/>
      <c r="AU4" s="574"/>
      <c r="AV4" s="572">
        <v>2560</v>
      </c>
      <c r="AW4" s="573"/>
      <c r="AX4" s="573"/>
      <c r="AY4" s="574"/>
      <c r="AZ4" s="572">
        <v>2561</v>
      </c>
      <c r="BA4" s="573"/>
      <c r="BB4" s="573"/>
      <c r="BC4" s="574"/>
      <c r="BD4" s="583" t="s">
        <v>274</v>
      </c>
      <c r="BE4" s="584"/>
      <c r="BF4" s="584"/>
      <c r="BG4" s="584"/>
      <c r="BH4" s="584"/>
      <c r="BI4" s="585"/>
      <c r="BS4" s="15" t="s">
        <v>398</v>
      </c>
      <c r="BU4" s="561" t="s">
        <v>0</v>
      </c>
      <c r="BV4" s="561">
        <v>2560</v>
      </c>
      <c r="BW4" s="561"/>
      <c r="BX4" s="561"/>
      <c r="BY4" s="561"/>
      <c r="BZ4" s="561">
        <v>2561</v>
      </c>
      <c r="CA4" s="561"/>
      <c r="CB4" s="561"/>
      <c r="CC4" s="561"/>
      <c r="CD4" s="561" t="s">
        <v>306</v>
      </c>
      <c r="CE4" s="561"/>
      <c r="CF4" s="561"/>
      <c r="CG4" s="561"/>
      <c r="CH4" s="561"/>
      <c r="CI4" s="561"/>
      <c r="CJ4" s="561"/>
      <c r="CK4" s="561"/>
      <c r="CL4" s="561" t="s">
        <v>305</v>
      </c>
      <c r="CM4" s="561"/>
      <c r="CN4" s="561" t="s">
        <v>316</v>
      </c>
      <c r="CO4" s="561"/>
    </row>
    <row r="5" spans="1:93" s="15" customFormat="1" ht="34.5" customHeight="1" x14ac:dyDescent="0.5">
      <c r="A5" s="577"/>
      <c r="B5" s="85" t="s">
        <v>1</v>
      </c>
      <c r="C5" s="86" t="s">
        <v>2</v>
      </c>
      <c r="D5" s="85" t="s">
        <v>1</v>
      </c>
      <c r="E5" s="86" t="s">
        <v>2</v>
      </c>
      <c r="F5" s="85" t="s">
        <v>1</v>
      </c>
      <c r="G5" s="86" t="s">
        <v>2</v>
      </c>
      <c r="H5" s="86" t="s">
        <v>3</v>
      </c>
      <c r="I5" s="87" t="s">
        <v>1</v>
      </c>
      <c r="J5" s="88" t="s">
        <v>2</v>
      </c>
      <c r="K5" s="88" t="s">
        <v>3</v>
      </c>
      <c r="L5" s="87" t="s">
        <v>1</v>
      </c>
      <c r="M5" s="87" t="s">
        <v>2</v>
      </c>
      <c r="N5" s="88" t="s">
        <v>3</v>
      </c>
      <c r="O5" s="87" t="s">
        <v>1</v>
      </c>
      <c r="P5" s="89" t="s">
        <v>4</v>
      </c>
      <c r="Q5" s="87" t="s">
        <v>2</v>
      </c>
      <c r="R5" s="90" t="s">
        <v>4</v>
      </c>
      <c r="S5" s="88" t="s">
        <v>3</v>
      </c>
      <c r="T5" s="87" t="s">
        <v>1</v>
      </c>
      <c r="U5" s="87" t="s">
        <v>2</v>
      </c>
      <c r="V5" s="88" t="s">
        <v>3</v>
      </c>
      <c r="W5" s="87" t="s">
        <v>1</v>
      </c>
      <c r="X5" s="87" t="s">
        <v>2</v>
      </c>
      <c r="Y5" s="88" t="s">
        <v>3</v>
      </c>
      <c r="Z5" s="91" t="s">
        <v>1</v>
      </c>
      <c r="AA5" s="91" t="s">
        <v>2</v>
      </c>
      <c r="AB5" s="91" t="s">
        <v>3</v>
      </c>
      <c r="AC5" s="91" t="s">
        <v>5</v>
      </c>
      <c r="AD5" s="91" t="s">
        <v>1</v>
      </c>
      <c r="AE5" s="91" t="s">
        <v>2</v>
      </c>
      <c r="AF5" s="133" t="s">
        <v>3</v>
      </c>
      <c r="AG5" s="91" t="s">
        <v>5</v>
      </c>
      <c r="AH5" s="91" t="s">
        <v>1</v>
      </c>
      <c r="AI5" s="90" t="s">
        <v>4</v>
      </c>
      <c r="AJ5" s="91" t="s">
        <v>2</v>
      </c>
      <c r="AK5" s="90" t="s">
        <v>4</v>
      </c>
      <c r="AL5" s="133" t="s">
        <v>3</v>
      </c>
      <c r="AM5" s="91" t="s">
        <v>5</v>
      </c>
      <c r="AN5" s="91" t="s">
        <v>1</v>
      </c>
      <c r="AO5" s="91" t="s">
        <v>2</v>
      </c>
      <c r="AP5" s="133" t="s">
        <v>3</v>
      </c>
      <c r="AQ5" s="173" t="s">
        <v>5</v>
      </c>
      <c r="AR5" s="187" t="s">
        <v>1</v>
      </c>
      <c r="AS5" s="187" t="s">
        <v>2</v>
      </c>
      <c r="AT5" s="188" t="s">
        <v>4</v>
      </c>
      <c r="AU5" s="189" t="s">
        <v>3</v>
      </c>
      <c r="AV5" s="173" t="s">
        <v>5</v>
      </c>
      <c r="AW5" s="187" t="s">
        <v>1</v>
      </c>
      <c r="AX5" s="187" t="s">
        <v>2</v>
      </c>
      <c r="AY5" s="174" t="s">
        <v>3</v>
      </c>
      <c r="AZ5" s="173" t="s">
        <v>5</v>
      </c>
      <c r="BA5" s="187" t="s">
        <v>1</v>
      </c>
      <c r="BB5" s="187" t="s">
        <v>2</v>
      </c>
      <c r="BC5" s="175" t="s">
        <v>3</v>
      </c>
      <c r="BD5" s="173" t="s">
        <v>5</v>
      </c>
      <c r="BE5" s="187" t="s">
        <v>1</v>
      </c>
      <c r="BF5" s="183" t="s">
        <v>82</v>
      </c>
      <c r="BG5" s="187" t="s">
        <v>2</v>
      </c>
      <c r="BH5" s="183" t="s">
        <v>82</v>
      </c>
      <c r="BI5" s="175" t="s">
        <v>3</v>
      </c>
      <c r="BJ5" s="15" t="s">
        <v>36</v>
      </c>
      <c r="BK5" s="15" t="s">
        <v>37</v>
      </c>
      <c r="BL5" s="15" t="s">
        <v>36</v>
      </c>
      <c r="BM5" s="15" t="s">
        <v>37</v>
      </c>
      <c r="BN5" s="15" t="s">
        <v>38</v>
      </c>
      <c r="BO5" s="15" t="s">
        <v>39</v>
      </c>
      <c r="BP5" s="15" t="s">
        <v>38</v>
      </c>
      <c r="BQ5" s="15" t="s">
        <v>39</v>
      </c>
      <c r="BS5" s="187" t="s">
        <v>1</v>
      </c>
      <c r="BT5" s="187" t="s">
        <v>2</v>
      </c>
      <c r="BU5" s="561"/>
      <c r="BV5" s="561" t="s">
        <v>9</v>
      </c>
      <c r="BW5" s="561" t="s">
        <v>1</v>
      </c>
      <c r="BX5" s="561" t="s">
        <v>2</v>
      </c>
      <c r="BY5" s="561" t="s">
        <v>3</v>
      </c>
      <c r="BZ5" s="561" t="s">
        <v>9</v>
      </c>
      <c r="CA5" s="561" t="s">
        <v>1</v>
      </c>
      <c r="CB5" s="561" t="s">
        <v>2</v>
      </c>
      <c r="CC5" s="561" t="s">
        <v>3</v>
      </c>
      <c r="CD5" s="561">
        <v>2561</v>
      </c>
      <c r="CE5" s="561"/>
      <c r="CF5" s="561"/>
      <c r="CG5" s="561"/>
      <c r="CH5" s="561">
        <v>2562</v>
      </c>
      <c r="CI5" s="561"/>
      <c r="CJ5" s="561"/>
      <c r="CK5" s="561"/>
      <c r="CL5" s="561" t="s">
        <v>1</v>
      </c>
      <c r="CM5" s="561" t="s">
        <v>2</v>
      </c>
      <c r="CN5" s="561" t="s">
        <v>1</v>
      </c>
      <c r="CO5" s="561" t="s">
        <v>2</v>
      </c>
    </row>
    <row r="6" spans="1:93" ht="34.5" customHeight="1" x14ac:dyDescent="0.5">
      <c r="A6" s="232" t="s">
        <v>96</v>
      </c>
      <c r="B6" s="233">
        <v>10386.65</v>
      </c>
      <c r="C6" s="233">
        <v>630.14</v>
      </c>
      <c r="D6" s="233">
        <v>10121.25</v>
      </c>
      <c r="E6" s="233">
        <v>832.42</v>
      </c>
      <c r="F6" s="234">
        <v>8789.0400000000009</v>
      </c>
      <c r="G6" s="234">
        <v>1258.6600000000001</v>
      </c>
      <c r="H6" s="234">
        <f t="shared" ref="H6:H12" si="0">F6-G6</f>
        <v>7530.380000000001</v>
      </c>
      <c r="I6" s="235">
        <v>10617.65</v>
      </c>
      <c r="J6" s="235">
        <v>988.91</v>
      </c>
      <c r="K6" s="235">
        <f t="shared" ref="K6:K11" si="1">I6-J6</f>
        <v>9628.74</v>
      </c>
      <c r="L6" s="235">
        <v>18072.22</v>
      </c>
      <c r="M6" s="235">
        <v>1544.79</v>
      </c>
      <c r="N6" s="235">
        <f>L6-M6</f>
        <v>16527.43</v>
      </c>
      <c r="O6" s="236">
        <v>25073.200000000001</v>
      </c>
      <c r="P6" s="237">
        <f t="shared" ref="P6:P11" si="2">(O6-L6)*100/L6</f>
        <v>38.738904240873559</v>
      </c>
      <c r="Q6" s="236">
        <v>1495.78</v>
      </c>
      <c r="R6" s="237">
        <f t="shared" ref="R6:R11" si="3">(Q6-M6)*100/M6</f>
        <v>-3.1725995119077668</v>
      </c>
      <c r="S6" s="237">
        <f>O6-Q6</f>
        <v>23577.420000000002</v>
      </c>
      <c r="T6" s="237">
        <v>23968.99</v>
      </c>
      <c r="U6" s="238">
        <v>1087.75</v>
      </c>
      <c r="V6" s="237">
        <f>T6-U6</f>
        <v>22881.24</v>
      </c>
      <c r="W6" s="239">
        <v>21216.45</v>
      </c>
      <c r="X6" s="240">
        <v>888.7</v>
      </c>
      <c r="Y6" s="237">
        <f t="shared" ref="Y6:Y12" si="4">W6-X6</f>
        <v>20327.75</v>
      </c>
      <c r="Z6" s="239">
        <v>37966.31</v>
      </c>
      <c r="AA6" s="240">
        <v>1410.58</v>
      </c>
      <c r="AB6" s="241">
        <f t="shared" ref="AB6:AB12" si="5">SUM(Z6-AA6)</f>
        <v>36555.729999999996</v>
      </c>
      <c r="AC6" s="241">
        <f t="shared" ref="AC6:AC12" si="6">AD6+AE6</f>
        <v>46308.939999999995</v>
      </c>
      <c r="AD6" s="239">
        <v>43667.56</v>
      </c>
      <c r="AE6" s="240">
        <v>2641.38</v>
      </c>
      <c r="AF6" s="241">
        <f>SUM(AD6-AE6)</f>
        <v>41026.18</v>
      </c>
      <c r="AG6" s="241">
        <f>AH6+AJ6</f>
        <v>63584.06</v>
      </c>
      <c r="AH6" s="239">
        <v>59839.24</v>
      </c>
      <c r="AI6" s="241">
        <f t="shared" ref="AI6:AI12" si="7">(AH6-AD6)*100/AD6</f>
        <v>37.033624044943203</v>
      </c>
      <c r="AJ6" s="240">
        <v>3744.82</v>
      </c>
      <c r="AK6" s="242">
        <f t="shared" ref="AK6:AK12" si="8">(AJ6-AE6)*100/AE6</f>
        <v>41.775132695787804</v>
      </c>
      <c r="AL6" s="241">
        <f>SUM(AH6-AJ6)</f>
        <v>56094.42</v>
      </c>
      <c r="AM6" s="241">
        <f t="shared" ref="AM6:AM12" si="9">AN6+AO6</f>
        <v>72256.070000000007</v>
      </c>
      <c r="AN6" s="239">
        <v>68997</v>
      </c>
      <c r="AO6" s="240">
        <v>3259.07</v>
      </c>
      <c r="AP6" s="241">
        <f>SUM(AN6-AO6)</f>
        <v>65737.929999999993</v>
      </c>
      <c r="AQ6" s="243">
        <f t="shared" ref="AQ6:AQ12" si="10">AR6+AS6</f>
        <v>84540.270999999993</v>
      </c>
      <c r="AR6" s="244">
        <v>80552.533899999995</v>
      </c>
      <c r="AS6" s="244">
        <v>3987.7370999999998</v>
      </c>
      <c r="AT6" s="245">
        <f t="shared" ref="AT6:AT11" si="11">(AS6-BM6)*100/BM6</f>
        <v>677.53370249770899</v>
      </c>
      <c r="AU6" s="246">
        <f>SUM(AR6-AS6)</f>
        <v>76564.796799999996</v>
      </c>
      <c r="AV6" s="335">
        <f t="shared" ref="AV6:AV11" si="12">AW6+AX6</f>
        <v>79517.495500000005</v>
      </c>
      <c r="AW6" s="337">
        <v>74578.090500000006</v>
      </c>
      <c r="AX6" s="337">
        <v>4939.4049999999997</v>
      </c>
      <c r="AY6" s="338">
        <f t="shared" ref="AY6:AY11" si="13">AW6-AX6</f>
        <v>69638.685500000007</v>
      </c>
      <c r="AZ6" s="335">
        <f>BA6+BB6</f>
        <v>77963.344599999997</v>
      </c>
      <c r="BA6" s="400">
        <v>71936.784</v>
      </c>
      <c r="BB6" s="400">
        <v>6026.5605999999998</v>
      </c>
      <c r="BC6" s="338">
        <f t="shared" ref="BC6:BC11" si="14">BA6-BB6</f>
        <v>65910.223400000003</v>
      </c>
      <c r="BD6" s="476">
        <f>BE6+BG6</f>
        <v>73262.62</v>
      </c>
      <c r="BE6" s="477">
        <v>64608.323400000001</v>
      </c>
      <c r="BF6" s="478">
        <f>(BE6-BS6)*100/BS6</f>
        <v>-2.7419374549067199</v>
      </c>
      <c r="BG6" s="477">
        <v>8654.2965999999997</v>
      </c>
      <c r="BH6" s="478">
        <f>(BG6-BT6)*100/BT6</f>
        <v>54.576038748780753</v>
      </c>
      <c r="BI6" s="479">
        <f>BE6-BG6</f>
        <v>55954.0268</v>
      </c>
      <c r="BJ6" s="77">
        <v>9456.91</v>
      </c>
      <c r="BK6" s="77">
        <v>13962.03</v>
      </c>
      <c r="BL6" s="77">
        <v>861</v>
      </c>
      <c r="BM6" s="77">
        <v>512.87</v>
      </c>
      <c r="BN6" s="77">
        <v>11454.21</v>
      </c>
      <c r="BO6" s="77">
        <v>16915.32</v>
      </c>
      <c r="BP6" s="77">
        <v>1064.92</v>
      </c>
      <c r="BQ6" s="77">
        <v>625.33000000000004</v>
      </c>
      <c r="BR6" s="77"/>
      <c r="BS6" s="334">
        <v>66429.786600000007</v>
      </c>
      <c r="BT6" s="334">
        <v>5598.7309999999998</v>
      </c>
      <c r="BU6" s="561"/>
      <c r="BV6" s="561"/>
      <c r="BW6" s="561"/>
      <c r="BX6" s="561"/>
      <c r="BY6" s="561"/>
      <c r="BZ6" s="561"/>
      <c r="CA6" s="561"/>
      <c r="CB6" s="561"/>
      <c r="CC6" s="561"/>
      <c r="CD6" s="469" t="s">
        <v>9</v>
      </c>
      <c r="CE6" s="469" t="s">
        <v>1</v>
      </c>
      <c r="CF6" s="469" t="s">
        <v>2</v>
      </c>
      <c r="CG6" s="469" t="s">
        <v>3</v>
      </c>
      <c r="CH6" s="469" t="s">
        <v>9</v>
      </c>
      <c r="CI6" s="469" t="s">
        <v>1</v>
      </c>
      <c r="CJ6" s="469" t="s">
        <v>2</v>
      </c>
      <c r="CK6" s="469" t="s">
        <v>3</v>
      </c>
      <c r="CL6" s="561"/>
      <c r="CM6" s="561"/>
      <c r="CN6" s="561"/>
      <c r="CO6" s="561"/>
    </row>
    <row r="7" spans="1:93" ht="34.5" customHeight="1" x14ac:dyDescent="0.5">
      <c r="A7" s="232" t="s">
        <v>97</v>
      </c>
      <c r="B7" s="247">
        <v>301.45999999999998</v>
      </c>
      <c r="C7" s="233">
        <v>43496.13</v>
      </c>
      <c r="D7" s="247">
        <v>285.89999999999998</v>
      </c>
      <c r="E7" s="233">
        <v>60197.73</v>
      </c>
      <c r="F7" s="234">
        <v>193.81</v>
      </c>
      <c r="G7" s="234">
        <v>76592.850000000006</v>
      </c>
      <c r="H7" s="234">
        <f t="shared" si="0"/>
        <v>-76399.040000000008</v>
      </c>
      <c r="I7" s="235">
        <v>220.03</v>
      </c>
      <c r="J7" s="235">
        <v>72041.88</v>
      </c>
      <c r="K7" s="235">
        <f t="shared" si="1"/>
        <v>-71821.850000000006</v>
      </c>
      <c r="L7" s="235">
        <v>216.35</v>
      </c>
      <c r="M7" s="235">
        <v>103984.34</v>
      </c>
      <c r="N7" s="235">
        <f t="shared" ref="N7:N12" si="15">L7-M7</f>
        <v>-103767.98999999999</v>
      </c>
      <c r="O7" s="236">
        <v>514</v>
      </c>
      <c r="P7" s="237">
        <f t="shared" si="2"/>
        <v>137.57799861335798</v>
      </c>
      <c r="Q7" s="236">
        <v>87751.92</v>
      </c>
      <c r="R7" s="237">
        <f t="shared" si="3"/>
        <v>-15.610446726882142</v>
      </c>
      <c r="S7" s="237">
        <f t="shared" ref="S7:S12" si="16">O7-Q7</f>
        <v>-87237.92</v>
      </c>
      <c r="T7" s="237">
        <v>2114.2399999999998</v>
      </c>
      <c r="U7" s="248">
        <v>83275.41</v>
      </c>
      <c r="V7" s="249">
        <f t="shared" ref="V7:V12" si="17">T7-U7</f>
        <v>-81161.17</v>
      </c>
      <c r="W7" s="239">
        <v>3671.33</v>
      </c>
      <c r="X7" s="240">
        <v>100694.39999999999</v>
      </c>
      <c r="Y7" s="237">
        <f t="shared" si="4"/>
        <v>-97023.069999999992</v>
      </c>
      <c r="Z7" s="250">
        <v>1619.03</v>
      </c>
      <c r="AA7" s="251">
        <v>107092</v>
      </c>
      <c r="AB7" s="252">
        <f t="shared" si="5"/>
        <v>-105472.97</v>
      </c>
      <c r="AC7" s="253">
        <f t="shared" si="6"/>
        <v>114647.29</v>
      </c>
      <c r="AD7" s="254">
        <v>1658.01</v>
      </c>
      <c r="AE7" s="255">
        <v>112989.28</v>
      </c>
      <c r="AF7" s="253">
        <f>SUM(AD7-AE7)-0.01</f>
        <v>-111331.28</v>
      </c>
      <c r="AG7" s="253">
        <f>AH7+AJ7</f>
        <v>116567.25</v>
      </c>
      <c r="AH7" s="250">
        <v>1431.44</v>
      </c>
      <c r="AI7" s="252">
        <f t="shared" si="7"/>
        <v>-13.665176928969061</v>
      </c>
      <c r="AJ7" s="255">
        <v>115135.81</v>
      </c>
      <c r="AK7" s="256">
        <f t="shared" si="8"/>
        <v>1.8997642962234991</v>
      </c>
      <c r="AL7" s="253">
        <f>+AH7-AJ7</f>
        <v>-113704.37</v>
      </c>
      <c r="AM7" s="253">
        <f t="shared" si="9"/>
        <v>112531.98000000001</v>
      </c>
      <c r="AN7" s="239">
        <v>1123.4100000000001</v>
      </c>
      <c r="AO7" s="255">
        <v>111408.57</v>
      </c>
      <c r="AP7" s="253">
        <f>+AN7-AO7</f>
        <v>-110285.16</v>
      </c>
      <c r="AQ7" s="243">
        <f t="shared" si="10"/>
        <v>70270.478000000003</v>
      </c>
      <c r="AR7" s="244">
        <v>694.46429999999998</v>
      </c>
      <c r="AS7" s="244">
        <v>69576.013699999996</v>
      </c>
      <c r="AT7" s="245">
        <f t="shared" si="11"/>
        <v>127.84227649677833</v>
      </c>
      <c r="AU7" s="246">
        <f>+AR7-AS7</f>
        <v>-68881.549399999989</v>
      </c>
      <c r="AV7" s="335">
        <f t="shared" si="12"/>
        <v>64447.708999999995</v>
      </c>
      <c r="AW7" s="337">
        <v>503.56200000000001</v>
      </c>
      <c r="AX7" s="337">
        <v>63944.146999999997</v>
      </c>
      <c r="AY7" s="338">
        <f>AW7-AX7+0.01</f>
        <v>-63440.574999999997</v>
      </c>
      <c r="AZ7" s="335">
        <f t="shared" ref="AZ7:AZ11" si="18">BA7+BB7</f>
        <v>75824.616999999998</v>
      </c>
      <c r="BA7" s="400">
        <v>620.44150000000002</v>
      </c>
      <c r="BB7" s="400">
        <v>75204.175499999998</v>
      </c>
      <c r="BC7" s="338">
        <f t="shared" si="14"/>
        <v>-74583.733999999997</v>
      </c>
      <c r="BD7" s="476">
        <f t="shared" ref="BD7:BD12" si="19">BE7+BG7</f>
        <v>72961.209000000003</v>
      </c>
      <c r="BE7" s="477">
        <v>796.62760000000003</v>
      </c>
      <c r="BF7" s="478">
        <f t="shared" ref="BF7:BF12" si="20">(BE7-BS7)*100/BS7</f>
        <v>39.812970213638273</v>
      </c>
      <c r="BG7" s="477">
        <v>72164.581399999995</v>
      </c>
      <c r="BH7" s="478">
        <f t="shared" ref="BH7:BH12" si="21">(BG7-BT7)*100/BT7</f>
        <v>5.403145408768621</v>
      </c>
      <c r="BI7" s="480">
        <f t="shared" ref="BI7:BI12" si="22">BE7-BG7</f>
        <v>-71367.953799999988</v>
      </c>
      <c r="BJ7" s="77">
        <v>124.69</v>
      </c>
      <c r="BK7" s="77">
        <v>694.21</v>
      </c>
      <c r="BL7" s="77">
        <v>33003.21</v>
      </c>
      <c r="BM7" s="77">
        <v>30536.92</v>
      </c>
      <c r="BN7" s="77">
        <v>127.54</v>
      </c>
      <c r="BO7" s="77">
        <v>787.07</v>
      </c>
      <c r="BP7" s="77">
        <v>41999.23</v>
      </c>
      <c r="BQ7" s="77">
        <v>38538.31</v>
      </c>
      <c r="BR7" s="77"/>
      <c r="BS7" s="334">
        <v>569.78089999999997</v>
      </c>
      <c r="BT7" s="334">
        <v>68465.301600000006</v>
      </c>
      <c r="BU7" s="456" t="s">
        <v>169</v>
      </c>
      <c r="BV7" s="334">
        <v>79517.495599999995</v>
      </c>
      <c r="BW7" s="334">
        <v>74578.090500000006</v>
      </c>
      <c r="BX7" s="334">
        <v>4939.4049999999997</v>
      </c>
      <c r="BY7" s="334">
        <v>69638.685400000002</v>
      </c>
      <c r="BZ7" s="334">
        <v>77963.344700000001</v>
      </c>
      <c r="CA7" s="334">
        <v>71936.784</v>
      </c>
      <c r="CB7" s="334">
        <v>6026.5605999999998</v>
      </c>
      <c r="CC7" s="334">
        <v>65910.223400000003</v>
      </c>
      <c r="CD7" s="334">
        <v>77963.344700000001</v>
      </c>
      <c r="CE7" s="334">
        <v>71936.784</v>
      </c>
      <c r="CF7" s="334">
        <v>6026.5605999999998</v>
      </c>
      <c r="CG7" s="334">
        <v>65910.223400000003</v>
      </c>
      <c r="CH7" s="334">
        <v>79604.128500000006</v>
      </c>
      <c r="CI7" s="334">
        <v>70464.465200000006</v>
      </c>
      <c r="CJ7" s="334">
        <v>9139.6632000000009</v>
      </c>
      <c r="CK7" s="334">
        <v>61324.801899999999</v>
      </c>
      <c r="CL7" s="472" t="s">
        <v>317</v>
      </c>
      <c r="CM7" s="472" t="s">
        <v>318</v>
      </c>
      <c r="CN7" s="472" t="s">
        <v>319</v>
      </c>
      <c r="CO7" s="472" t="s">
        <v>320</v>
      </c>
    </row>
    <row r="8" spans="1:93" ht="34.5" customHeight="1" x14ac:dyDescent="0.5">
      <c r="A8" s="232" t="s">
        <v>98</v>
      </c>
      <c r="B8" s="233">
        <v>3604.33</v>
      </c>
      <c r="C8" s="233">
        <v>2130.37</v>
      </c>
      <c r="D8" s="233">
        <v>4005.57</v>
      </c>
      <c r="E8" s="233">
        <v>1984.83</v>
      </c>
      <c r="F8" s="234">
        <v>4454.18</v>
      </c>
      <c r="G8" s="234">
        <v>1771.96</v>
      </c>
      <c r="H8" s="234">
        <f t="shared" si="0"/>
        <v>2682.2200000000003</v>
      </c>
      <c r="I8" s="235">
        <v>5487.4</v>
      </c>
      <c r="J8" s="235">
        <v>1604.3</v>
      </c>
      <c r="K8" s="235">
        <f t="shared" si="1"/>
        <v>3883.0999999999995</v>
      </c>
      <c r="L8" s="235">
        <f>10225.24+0.06</f>
        <v>10225.299999999999</v>
      </c>
      <c r="M8" s="235">
        <v>2572</v>
      </c>
      <c r="N8" s="235">
        <f t="shared" si="15"/>
        <v>7653.2999999999993</v>
      </c>
      <c r="O8" s="236">
        <v>10590.09</v>
      </c>
      <c r="P8" s="237">
        <f t="shared" si="2"/>
        <v>3.5675236912364516</v>
      </c>
      <c r="Q8" s="236">
        <v>2711.06</v>
      </c>
      <c r="R8" s="237">
        <f t="shared" si="3"/>
        <v>5.4066874027993759</v>
      </c>
      <c r="S8" s="237">
        <f t="shared" si="16"/>
        <v>7879.0300000000007</v>
      </c>
      <c r="T8" s="237">
        <v>14531.56</v>
      </c>
      <c r="U8" s="238">
        <v>2229.6</v>
      </c>
      <c r="V8" s="237">
        <f t="shared" si="17"/>
        <v>12301.96</v>
      </c>
      <c r="W8" s="239">
        <v>23331.17</v>
      </c>
      <c r="X8" s="240">
        <v>2002.91</v>
      </c>
      <c r="Y8" s="237">
        <f t="shared" si="4"/>
        <v>21328.26</v>
      </c>
      <c r="Z8" s="239">
        <v>18195.41</v>
      </c>
      <c r="AA8" s="240">
        <v>1801.02</v>
      </c>
      <c r="AB8" s="241">
        <f t="shared" si="5"/>
        <v>16394.39</v>
      </c>
      <c r="AC8" s="241">
        <f t="shared" si="6"/>
        <v>21953.47</v>
      </c>
      <c r="AD8" s="239">
        <v>20618.34</v>
      </c>
      <c r="AE8" s="240">
        <v>1335.13</v>
      </c>
      <c r="AF8" s="241">
        <f>SUM(AD8-AE8)</f>
        <v>19283.21</v>
      </c>
      <c r="AG8" s="241">
        <f>AH8+AJ8-0.01</f>
        <v>20245.93</v>
      </c>
      <c r="AH8" s="239">
        <v>18495.48</v>
      </c>
      <c r="AI8" s="241">
        <f t="shared" si="7"/>
        <v>-10.295979210741507</v>
      </c>
      <c r="AJ8" s="240">
        <v>1750.46</v>
      </c>
      <c r="AK8" s="242">
        <f t="shared" si="8"/>
        <v>31.107832196115726</v>
      </c>
      <c r="AL8" s="241">
        <f>+AH8-AJ8</f>
        <v>16745.02</v>
      </c>
      <c r="AM8" s="241">
        <f t="shared" si="9"/>
        <v>18531.830000000002</v>
      </c>
      <c r="AN8" s="239">
        <v>16934.72</v>
      </c>
      <c r="AO8" s="240">
        <v>1597.11</v>
      </c>
      <c r="AP8" s="241">
        <f>+AN8-AO8</f>
        <v>15337.61</v>
      </c>
      <c r="AQ8" s="243">
        <f t="shared" si="10"/>
        <v>19523.909899999999</v>
      </c>
      <c r="AR8" s="244">
        <v>15395.4763</v>
      </c>
      <c r="AS8" s="244">
        <v>4128.4336000000003</v>
      </c>
      <c r="AT8" s="245">
        <f t="shared" si="11"/>
        <v>441.47652274277323</v>
      </c>
      <c r="AU8" s="246">
        <f>+AR8-AS8</f>
        <v>11267.0427</v>
      </c>
      <c r="AV8" s="335">
        <f t="shared" si="12"/>
        <v>25800.011200000001</v>
      </c>
      <c r="AW8" s="337">
        <v>20324.847000000002</v>
      </c>
      <c r="AX8" s="337">
        <v>5475.1642000000002</v>
      </c>
      <c r="AY8" s="338">
        <f t="shared" si="13"/>
        <v>14849.682800000002</v>
      </c>
      <c r="AZ8" s="335">
        <f t="shared" si="18"/>
        <v>21703.6924</v>
      </c>
      <c r="BA8" s="400">
        <v>16734.167700000002</v>
      </c>
      <c r="BB8" s="400">
        <v>4969.5246999999999</v>
      </c>
      <c r="BC8" s="338">
        <f t="shared" si="14"/>
        <v>11764.643000000002</v>
      </c>
      <c r="BD8" s="476">
        <f t="shared" si="19"/>
        <v>18387.310700000002</v>
      </c>
      <c r="BE8" s="477">
        <v>14190.1589</v>
      </c>
      <c r="BF8" s="478">
        <f t="shared" si="20"/>
        <v>-5.8564144746815607</v>
      </c>
      <c r="BG8" s="477">
        <v>4197.1517999999996</v>
      </c>
      <c r="BH8" s="478">
        <f t="shared" si="21"/>
        <v>-5.9068519595719522</v>
      </c>
      <c r="BI8" s="479">
        <f t="shared" si="22"/>
        <v>9993.0071000000007</v>
      </c>
      <c r="BJ8" s="77">
        <v>4087.16</v>
      </c>
      <c r="BK8" s="77">
        <v>5363.66</v>
      </c>
      <c r="BL8" s="77">
        <v>1454.74</v>
      </c>
      <c r="BM8" s="77">
        <v>762.44</v>
      </c>
      <c r="BN8" s="77">
        <v>4819.2</v>
      </c>
      <c r="BO8" s="77">
        <v>6479.82</v>
      </c>
      <c r="BP8" s="77">
        <v>1651.72</v>
      </c>
      <c r="BQ8" s="77">
        <v>952.97</v>
      </c>
      <c r="BR8" s="77"/>
      <c r="BS8" s="334">
        <v>15072.889800000001</v>
      </c>
      <c r="BT8" s="334">
        <v>4460.6349</v>
      </c>
      <c r="BU8" s="456" t="s">
        <v>170</v>
      </c>
      <c r="BV8" s="334">
        <v>64447.709000000003</v>
      </c>
      <c r="BW8" s="334">
        <v>503.56200000000001</v>
      </c>
      <c r="BX8" s="334">
        <v>63944.146999999997</v>
      </c>
      <c r="BY8" s="334">
        <v>-63440.584900000002</v>
      </c>
      <c r="BZ8" s="334">
        <v>75824.617100000003</v>
      </c>
      <c r="CA8" s="334">
        <v>620.44150000000002</v>
      </c>
      <c r="CB8" s="334">
        <v>75204.175499999998</v>
      </c>
      <c r="CC8" s="334">
        <v>-74583.733999999997</v>
      </c>
      <c r="CD8" s="334">
        <v>75824.617100000003</v>
      </c>
      <c r="CE8" s="334">
        <v>620.44150000000002</v>
      </c>
      <c r="CF8" s="334">
        <v>75204.175499999998</v>
      </c>
      <c r="CG8" s="334">
        <v>-74583.733999999997</v>
      </c>
      <c r="CH8" s="334">
        <v>78671.844700000001</v>
      </c>
      <c r="CI8" s="334">
        <v>930.76239999999996</v>
      </c>
      <c r="CJ8" s="334">
        <v>77741.082200000004</v>
      </c>
      <c r="CK8" s="334">
        <v>-76810.319699999993</v>
      </c>
      <c r="CL8" s="472" t="s">
        <v>321</v>
      </c>
      <c r="CM8" s="472" t="s">
        <v>322</v>
      </c>
      <c r="CN8" s="472" t="s">
        <v>323</v>
      </c>
      <c r="CO8" s="472" t="s">
        <v>324</v>
      </c>
    </row>
    <row r="9" spans="1:93" ht="34.5" customHeight="1" x14ac:dyDescent="0.5">
      <c r="A9" s="232" t="s">
        <v>99</v>
      </c>
      <c r="B9" s="233">
        <v>2462.5300000000002</v>
      </c>
      <c r="C9" s="247">
        <v>273.43</v>
      </c>
      <c r="D9" s="233">
        <v>3418.37</v>
      </c>
      <c r="E9" s="247">
        <v>183.85</v>
      </c>
      <c r="F9" s="234">
        <v>3573.14</v>
      </c>
      <c r="G9" s="234">
        <v>266.16000000000003</v>
      </c>
      <c r="H9" s="234">
        <f t="shared" si="0"/>
        <v>3306.98</v>
      </c>
      <c r="I9" s="235">
        <v>3869.54</v>
      </c>
      <c r="J9" s="235">
        <v>311.77</v>
      </c>
      <c r="K9" s="235">
        <f t="shared" si="1"/>
        <v>3557.77</v>
      </c>
      <c r="L9" s="235">
        <v>5676.9</v>
      </c>
      <c r="M9" s="235">
        <v>221.54</v>
      </c>
      <c r="N9" s="235">
        <f t="shared" si="15"/>
        <v>5455.36</v>
      </c>
      <c r="O9" s="236">
        <v>6221.75</v>
      </c>
      <c r="P9" s="237">
        <f t="shared" si="2"/>
        <v>9.597667741196787</v>
      </c>
      <c r="Q9" s="236">
        <v>183.74</v>
      </c>
      <c r="R9" s="237">
        <f t="shared" si="3"/>
        <v>-17.062381511239497</v>
      </c>
      <c r="S9" s="237">
        <f t="shared" si="16"/>
        <v>6038.01</v>
      </c>
      <c r="T9" s="237">
        <v>10063.41</v>
      </c>
      <c r="U9" s="238">
        <v>199.93</v>
      </c>
      <c r="V9" s="237">
        <f t="shared" si="17"/>
        <v>9863.48</v>
      </c>
      <c r="W9" s="239">
        <v>12106.8</v>
      </c>
      <c r="X9" s="240">
        <v>120.91</v>
      </c>
      <c r="Y9" s="237">
        <f t="shared" si="4"/>
        <v>11985.89</v>
      </c>
      <c r="Z9" s="239">
        <v>11975.35</v>
      </c>
      <c r="AA9" s="240">
        <v>116.01</v>
      </c>
      <c r="AB9" s="241">
        <f t="shared" si="5"/>
        <v>11859.34</v>
      </c>
      <c r="AC9" s="241">
        <f t="shared" si="6"/>
        <v>13440.69</v>
      </c>
      <c r="AD9" s="239">
        <v>13235.09</v>
      </c>
      <c r="AE9" s="240">
        <v>205.6</v>
      </c>
      <c r="AF9" s="241">
        <f>SUM(AD9-AE9)</f>
        <v>13029.49</v>
      </c>
      <c r="AG9" s="241">
        <f>AH9+AJ9+0.01</f>
        <v>14247.4</v>
      </c>
      <c r="AH9" s="239">
        <v>13715.3</v>
      </c>
      <c r="AI9" s="241">
        <f t="shared" si="7"/>
        <v>3.628309289925487</v>
      </c>
      <c r="AJ9" s="240">
        <v>532.09</v>
      </c>
      <c r="AK9" s="242">
        <f t="shared" si="8"/>
        <v>158.79863813229574</v>
      </c>
      <c r="AL9" s="241">
        <f>+AH9-AJ9</f>
        <v>13183.21</v>
      </c>
      <c r="AM9" s="241">
        <f t="shared" si="9"/>
        <v>12959.01</v>
      </c>
      <c r="AN9" s="239">
        <v>12813.74</v>
      </c>
      <c r="AO9" s="240">
        <v>145.27000000000001</v>
      </c>
      <c r="AP9" s="241">
        <f>+AN9-AO9</f>
        <v>12668.47</v>
      </c>
      <c r="AQ9" s="243">
        <f t="shared" si="10"/>
        <v>12151.9825</v>
      </c>
      <c r="AR9" s="244">
        <v>11977.347100000001</v>
      </c>
      <c r="AS9" s="244">
        <v>174.6354</v>
      </c>
      <c r="AT9" s="245">
        <f t="shared" si="11"/>
        <v>207.24032371569317</v>
      </c>
      <c r="AU9" s="246">
        <f>+AR9-AS9</f>
        <v>11802.711700000002</v>
      </c>
      <c r="AV9" s="335">
        <f t="shared" si="12"/>
        <v>12896.3729</v>
      </c>
      <c r="AW9" s="337">
        <v>12724.050300000001</v>
      </c>
      <c r="AX9" s="337">
        <v>172.32259999999999</v>
      </c>
      <c r="AY9" s="338">
        <f t="shared" si="13"/>
        <v>12551.727700000001</v>
      </c>
      <c r="AZ9" s="335">
        <f t="shared" si="18"/>
        <v>15125.4694</v>
      </c>
      <c r="BA9" s="400">
        <v>14833.851000000001</v>
      </c>
      <c r="BB9" s="400">
        <v>291.61840000000001</v>
      </c>
      <c r="BC9" s="338">
        <f t="shared" si="14"/>
        <v>14542.232600000001</v>
      </c>
      <c r="BD9" s="476">
        <f t="shared" si="19"/>
        <v>13714.892600000001</v>
      </c>
      <c r="BE9" s="477">
        <v>13360.689200000001</v>
      </c>
      <c r="BF9" s="478">
        <f t="shared" si="20"/>
        <v>-0.87390429581285267</v>
      </c>
      <c r="BG9" s="477">
        <v>354.20339999999999</v>
      </c>
      <c r="BH9" s="478">
        <f t="shared" si="21"/>
        <v>27.770200538130293</v>
      </c>
      <c r="BI9" s="479">
        <f t="shared" si="22"/>
        <v>13006.4858</v>
      </c>
      <c r="BJ9" s="77">
        <v>2596.15</v>
      </c>
      <c r="BK9" s="77">
        <v>3270.75</v>
      </c>
      <c r="BL9" s="77">
        <v>141.46</v>
      </c>
      <c r="BM9" s="77">
        <v>56.84</v>
      </c>
      <c r="BN9" s="77">
        <v>3072.8</v>
      </c>
      <c r="BO9" s="77">
        <v>4078.26</v>
      </c>
      <c r="BP9" s="77">
        <v>142.69</v>
      </c>
      <c r="BQ9" s="77">
        <v>65.900000000000006</v>
      </c>
      <c r="BR9" s="77"/>
      <c r="BS9" s="334">
        <v>13478.4782</v>
      </c>
      <c r="BT9" s="334">
        <v>277.21910000000003</v>
      </c>
      <c r="BU9" s="456" t="s">
        <v>171</v>
      </c>
      <c r="BV9" s="334">
        <v>25800.011299999998</v>
      </c>
      <c r="BW9" s="334">
        <v>20324.847000000002</v>
      </c>
      <c r="BX9" s="334">
        <v>5475.1642000000002</v>
      </c>
      <c r="BY9" s="334">
        <v>14849.682699999999</v>
      </c>
      <c r="BZ9" s="334">
        <v>21703.692500000001</v>
      </c>
      <c r="CA9" s="334">
        <v>16734.167700000002</v>
      </c>
      <c r="CB9" s="334">
        <v>4969.5246999999999</v>
      </c>
      <c r="CC9" s="334">
        <v>11764.643</v>
      </c>
      <c r="CD9" s="334">
        <v>21703.692500000001</v>
      </c>
      <c r="CE9" s="334">
        <v>16734.167700000002</v>
      </c>
      <c r="CF9" s="334">
        <v>4969.5246999999999</v>
      </c>
      <c r="CG9" s="334">
        <v>11764.643</v>
      </c>
      <c r="CH9" s="334">
        <v>20236.459500000001</v>
      </c>
      <c r="CI9" s="334">
        <v>15473.3851</v>
      </c>
      <c r="CJ9" s="334">
        <v>4763.0743000000002</v>
      </c>
      <c r="CK9" s="334">
        <v>10710.310799999999</v>
      </c>
      <c r="CL9" s="472" t="s">
        <v>325</v>
      </c>
      <c r="CM9" s="472" t="s">
        <v>326</v>
      </c>
      <c r="CN9" s="472" t="s">
        <v>327</v>
      </c>
      <c r="CO9" s="472" t="s">
        <v>328</v>
      </c>
    </row>
    <row r="10" spans="1:93" ht="34.5" customHeight="1" x14ac:dyDescent="0.5">
      <c r="A10" s="257" t="s">
        <v>154</v>
      </c>
      <c r="B10" s="247">
        <v>113.04</v>
      </c>
      <c r="C10" s="233">
        <v>1512.99</v>
      </c>
      <c r="D10" s="247">
        <v>87.82</v>
      </c>
      <c r="E10" s="233">
        <v>385.09</v>
      </c>
      <c r="F10" s="234">
        <v>125.41</v>
      </c>
      <c r="G10" s="234">
        <v>281.98</v>
      </c>
      <c r="H10" s="234">
        <f>F10-G10</f>
        <v>-156.57000000000002</v>
      </c>
      <c r="I10" s="235">
        <v>2.36</v>
      </c>
      <c r="J10" s="235">
        <v>177.62</v>
      </c>
      <c r="K10" s="235">
        <f>I10-J10</f>
        <v>-175.26</v>
      </c>
      <c r="L10" s="235">
        <v>68.02</v>
      </c>
      <c r="M10" s="235">
        <v>114.86</v>
      </c>
      <c r="N10" s="235">
        <f>L10-M10</f>
        <v>-46.84</v>
      </c>
      <c r="O10" s="236">
        <v>2.34</v>
      </c>
      <c r="P10" s="237">
        <f>(O10-L10)*100/L10</f>
        <v>-96.559835342546307</v>
      </c>
      <c r="Q10" s="236">
        <v>1.37</v>
      </c>
      <c r="R10" s="237">
        <f>(Q10-M10)*100/M10</f>
        <v>-98.807243600905451</v>
      </c>
      <c r="S10" s="237">
        <f>O10-Q10</f>
        <v>0.96999999999999975</v>
      </c>
      <c r="T10" s="237">
        <v>2.0499999999999998</v>
      </c>
      <c r="U10" s="238">
        <v>1.07</v>
      </c>
      <c r="V10" s="237">
        <f>T10-U10</f>
        <v>0.97999999999999976</v>
      </c>
      <c r="W10" s="239">
        <v>19.829999999999998</v>
      </c>
      <c r="X10" s="240">
        <v>21.82</v>
      </c>
      <c r="Y10" s="237">
        <f>W10-X10</f>
        <v>-1.990000000000002</v>
      </c>
      <c r="Z10" s="239">
        <v>47.36</v>
      </c>
      <c r="AA10" s="240">
        <v>27.34</v>
      </c>
      <c r="AB10" s="241">
        <f>SUM(Z10-AA10)</f>
        <v>20.02</v>
      </c>
      <c r="AC10" s="241">
        <f>AD10+AE10</f>
        <v>188.47</v>
      </c>
      <c r="AD10" s="239">
        <v>125.45</v>
      </c>
      <c r="AE10" s="240">
        <v>63.02</v>
      </c>
      <c r="AF10" s="241">
        <f>SUM(AD10-AE10)</f>
        <v>62.43</v>
      </c>
      <c r="AG10" s="241">
        <f>AH10+AJ10</f>
        <v>125.33</v>
      </c>
      <c r="AH10" s="239">
        <v>96.36</v>
      </c>
      <c r="AI10" s="241">
        <f>(AH10-AD10)*100/AD10</f>
        <v>-23.188521323236351</v>
      </c>
      <c r="AJ10" s="240">
        <v>28.97</v>
      </c>
      <c r="AK10" s="242">
        <f>(AJ10-AE10)*100/AE10</f>
        <v>-54.03046651856554</v>
      </c>
      <c r="AL10" s="241">
        <f>+AH10-AJ10+0.01</f>
        <v>67.400000000000006</v>
      </c>
      <c r="AM10" s="241">
        <f>AN10+AO10</f>
        <v>122.83</v>
      </c>
      <c r="AN10" s="239">
        <v>94.57</v>
      </c>
      <c r="AO10" s="240">
        <v>28.26</v>
      </c>
      <c r="AP10" s="241">
        <f>+AN10-AO10</f>
        <v>66.309999999999988</v>
      </c>
      <c r="AQ10" s="243">
        <f>AR10+AS10</f>
        <v>200.60559999999998</v>
      </c>
      <c r="AR10" s="244">
        <v>105.94459999999999</v>
      </c>
      <c r="AS10" s="244">
        <v>94.661000000000001</v>
      </c>
      <c r="AT10" s="245" t="e">
        <f>(AS10-BM10)*100/BM10</f>
        <v>#DIV/0!</v>
      </c>
      <c r="AU10" s="246">
        <f>+AR10-AS10</f>
        <v>11.283599999999993</v>
      </c>
      <c r="AV10" s="335">
        <f>AW10+AX10</f>
        <v>485.5059</v>
      </c>
      <c r="AW10" s="337">
        <v>197.3201</v>
      </c>
      <c r="AX10" s="337">
        <v>288.18579999999997</v>
      </c>
      <c r="AY10" s="338">
        <f>AW10-AX10</f>
        <v>-90.865699999999975</v>
      </c>
      <c r="AZ10" s="335">
        <f t="shared" si="18"/>
        <v>967.12570000000005</v>
      </c>
      <c r="BA10" s="400">
        <v>214.25839999999999</v>
      </c>
      <c r="BB10" s="400">
        <v>752.8673</v>
      </c>
      <c r="BC10" s="338">
        <f>BA10-BB10</f>
        <v>-538.60889999999995</v>
      </c>
      <c r="BD10" s="476">
        <f>BE10+BG10+0.01</f>
        <v>1393.3963999999999</v>
      </c>
      <c r="BE10" s="477">
        <v>260.25940000000003</v>
      </c>
      <c r="BF10" s="478">
        <f t="shared" si="20"/>
        <v>32.664453378475869</v>
      </c>
      <c r="BG10" s="477">
        <v>1133.127</v>
      </c>
      <c r="BH10" s="478">
        <f t="shared" si="21"/>
        <v>69.022070048141273</v>
      </c>
      <c r="BI10" s="479">
        <f t="shared" si="22"/>
        <v>-872.86759999999992</v>
      </c>
      <c r="BJ10" s="77">
        <v>1.36</v>
      </c>
      <c r="BK10" s="77">
        <v>0.93</v>
      </c>
      <c r="BL10" s="77">
        <v>1.32</v>
      </c>
      <c r="BM10" s="77">
        <v>0</v>
      </c>
      <c r="BN10" s="77">
        <v>1.36</v>
      </c>
      <c r="BO10" s="77">
        <v>0.93</v>
      </c>
      <c r="BP10" s="77">
        <v>1.37</v>
      </c>
      <c r="BQ10" s="77">
        <v>0</v>
      </c>
      <c r="BR10" s="77"/>
      <c r="BS10" s="334">
        <v>196.17869999999999</v>
      </c>
      <c r="BT10" s="334">
        <v>670.40179999999998</v>
      </c>
      <c r="BU10" s="456" t="s">
        <v>172</v>
      </c>
      <c r="BV10" s="334">
        <v>12896.373</v>
      </c>
      <c r="BW10" s="334">
        <v>12724.050300000001</v>
      </c>
      <c r="BX10" s="334">
        <v>172.32259999999999</v>
      </c>
      <c r="BY10" s="334">
        <v>12551.727699999999</v>
      </c>
      <c r="BZ10" s="334">
        <v>15125.4694</v>
      </c>
      <c r="CA10" s="334">
        <v>14833.851000000001</v>
      </c>
      <c r="CB10" s="334">
        <v>291.61840000000001</v>
      </c>
      <c r="CC10" s="334">
        <v>14542.232599999999</v>
      </c>
      <c r="CD10" s="334">
        <v>15125.4694</v>
      </c>
      <c r="CE10" s="334">
        <v>14833.851000000001</v>
      </c>
      <c r="CF10" s="334">
        <v>291.61840000000001</v>
      </c>
      <c r="CG10" s="334">
        <v>14542.232599999999</v>
      </c>
      <c r="CH10" s="334">
        <v>15154.840899999999</v>
      </c>
      <c r="CI10" s="334">
        <v>14770.186799999999</v>
      </c>
      <c r="CJ10" s="334">
        <v>384.654</v>
      </c>
      <c r="CK10" s="334">
        <v>14385.5327</v>
      </c>
      <c r="CL10" s="472" t="s">
        <v>329</v>
      </c>
      <c r="CM10" s="472" t="s">
        <v>330</v>
      </c>
      <c r="CN10" s="472" t="s">
        <v>331</v>
      </c>
      <c r="CO10" s="472" t="s">
        <v>297</v>
      </c>
    </row>
    <row r="11" spans="1:93" ht="34.5" customHeight="1" x14ac:dyDescent="0.5">
      <c r="A11" s="232" t="s">
        <v>155</v>
      </c>
      <c r="B11" s="247">
        <v>144.74</v>
      </c>
      <c r="C11" s="247">
        <v>418.56</v>
      </c>
      <c r="D11" s="247">
        <v>783.39</v>
      </c>
      <c r="E11" s="247">
        <v>431.41</v>
      </c>
      <c r="F11" s="234">
        <v>402.42</v>
      </c>
      <c r="G11" s="234">
        <v>217.23</v>
      </c>
      <c r="H11" s="234">
        <f t="shared" si="0"/>
        <v>185.19000000000003</v>
      </c>
      <c r="I11" s="235">
        <v>551.69000000000005</v>
      </c>
      <c r="J11" s="235">
        <v>58.66</v>
      </c>
      <c r="K11" s="235">
        <f t="shared" si="1"/>
        <v>493.03000000000009</v>
      </c>
      <c r="L11" s="235">
        <v>799.18</v>
      </c>
      <c r="M11" s="235">
        <v>40.369999999999997</v>
      </c>
      <c r="N11" s="235">
        <f t="shared" si="15"/>
        <v>758.81</v>
      </c>
      <c r="O11" s="236">
        <v>201.21</v>
      </c>
      <c r="P11" s="237">
        <f t="shared" si="2"/>
        <v>-74.822943517105031</v>
      </c>
      <c r="Q11" s="236">
        <v>17.3</v>
      </c>
      <c r="R11" s="237">
        <f t="shared" si="3"/>
        <v>-57.146395838493923</v>
      </c>
      <c r="S11" s="237">
        <f t="shared" si="16"/>
        <v>183.91</v>
      </c>
      <c r="T11" s="237">
        <v>163.59</v>
      </c>
      <c r="U11" s="238">
        <v>221.04</v>
      </c>
      <c r="V11" s="237">
        <f t="shared" si="17"/>
        <v>-57.449999999999989</v>
      </c>
      <c r="W11" s="239">
        <v>251.65</v>
      </c>
      <c r="X11" s="240">
        <v>47.26</v>
      </c>
      <c r="Y11" s="237">
        <f t="shared" si="4"/>
        <v>204.39000000000001</v>
      </c>
      <c r="Z11" s="239">
        <v>143.57</v>
      </c>
      <c r="AA11" s="240">
        <v>48.92</v>
      </c>
      <c r="AB11" s="241">
        <f t="shared" si="5"/>
        <v>94.649999999999991</v>
      </c>
      <c r="AC11" s="241">
        <f t="shared" si="6"/>
        <v>318.16999999999996</v>
      </c>
      <c r="AD11" s="239">
        <v>142.75</v>
      </c>
      <c r="AE11" s="240">
        <v>175.42</v>
      </c>
      <c r="AF11" s="241">
        <f>SUM(AD11-AE11)+0.01</f>
        <v>-32.659999999999989</v>
      </c>
      <c r="AG11" s="241">
        <f>AH11+AJ11</f>
        <v>939.24</v>
      </c>
      <c r="AH11" s="239">
        <v>428.71</v>
      </c>
      <c r="AI11" s="241">
        <f t="shared" si="7"/>
        <v>200.32224168126092</v>
      </c>
      <c r="AJ11" s="240">
        <v>510.53</v>
      </c>
      <c r="AK11" s="242">
        <f t="shared" si="8"/>
        <v>191.03294949264622</v>
      </c>
      <c r="AL11" s="241">
        <f>+AH11-AJ11</f>
        <v>-81.819999999999993</v>
      </c>
      <c r="AM11" s="241">
        <f t="shared" si="9"/>
        <v>1562.92</v>
      </c>
      <c r="AN11" s="239">
        <v>855.86</v>
      </c>
      <c r="AO11" s="240">
        <v>707.06</v>
      </c>
      <c r="AP11" s="241">
        <f>+AN11-AO11</f>
        <v>148.80000000000007</v>
      </c>
      <c r="AQ11" s="243">
        <f t="shared" si="10"/>
        <v>1218.0398</v>
      </c>
      <c r="AR11" s="244">
        <v>541.39970000000005</v>
      </c>
      <c r="AS11" s="244">
        <v>676.64009999999996</v>
      </c>
      <c r="AT11" s="245">
        <f t="shared" si="11"/>
        <v>596.2750565960074</v>
      </c>
      <c r="AU11" s="246">
        <f>+AR11-AS11</f>
        <v>-135.24039999999991</v>
      </c>
      <c r="AV11" s="335">
        <f t="shared" si="12"/>
        <v>1183.9173000000001</v>
      </c>
      <c r="AW11" s="337">
        <v>638.30939999999998</v>
      </c>
      <c r="AX11" s="337">
        <v>545.60789999999997</v>
      </c>
      <c r="AY11" s="338">
        <f t="shared" si="13"/>
        <v>92.70150000000001</v>
      </c>
      <c r="AZ11" s="335">
        <f t="shared" si="18"/>
        <v>1744.3231000000001</v>
      </c>
      <c r="BA11" s="400">
        <v>874.00789999999995</v>
      </c>
      <c r="BB11" s="400">
        <v>870.3152</v>
      </c>
      <c r="BC11" s="338">
        <f t="shared" si="14"/>
        <v>3.6926999999999452</v>
      </c>
      <c r="BD11" s="476">
        <f t="shared" si="19"/>
        <v>1017.7654</v>
      </c>
      <c r="BE11" s="477">
        <v>562.05039999999997</v>
      </c>
      <c r="BF11" s="478">
        <f t="shared" si="20"/>
        <v>-30.499973228814007</v>
      </c>
      <c r="BG11" s="477">
        <v>455.71499999999997</v>
      </c>
      <c r="BH11" s="478">
        <f t="shared" si="21"/>
        <v>-43.656815650352904</v>
      </c>
      <c r="BI11" s="479">
        <f t="shared" si="22"/>
        <v>106.33539999999999</v>
      </c>
      <c r="BJ11" s="77">
        <v>112.74</v>
      </c>
      <c r="BK11" s="77">
        <v>63.79</v>
      </c>
      <c r="BL11" s="77">
        <v>10.37</v>
      </c>
      <c r="BM11" s="77">
        <v>97.18</v>
      </c>
      <c r="BN11" s="77">
        <v>123.26</v>
      </c>
      <c r="BO11" s="77">
        <v>76.48</v>
      </c>
      <c r="BP11" s="77">
        <v>10.91</v>
      </c>
      <c r="BQ11" s="77">
        <v>136.80000000000001</v>
      </c>
      <c r="BR11" s="77"/>
      <c r="BS11" s="334">
        <v>808.70529999999997</v>
      </c>
      <c r="BT11" s="334">
        <v>808.82010000000002</v>
      </c>
      <c r="BU11" s="456" t="s">
        <v>173</v>
      </c>
      <c r="BV11" s="334">
        <v>485.5059</v>
      </c>
      <c r="BW11" s="334">
        <v>197.3201</v>
      </c>
      <c r="BX11" s="334">
        <v>288.18579999999997</v>
      </c>
      <c r="BY11" s="334">
        <v>-90.865700000000004</v>
      </c>
      <c r="BZ11" s="334">
        <v>967.12570000000005</v>
      </c>
      <c r="CA11" s="334">
        <v>214.25839999999999</v>
      </c>
      <c r="CB11" s="334">
        <v>752.8673</v>
      </c>
      <c r="CC11" s="334">
        <v>-538.60879999999997</v>
      </c>
      <c r="CD11" s="334">
        <v>967.12570000000005</v>
      </c>
      <c r="CE11" s="334">
        <v>214.25839999999999</v>
      </c>
      <c r="CF11" s="334">
        <v>752.8673</v>
      </c>
      <c r="CG11" s="334">
        <v>-538.60879999999997</v>
      </c>
      <c r="CH11" s="334">
        <v>1602.4765</v>
      </c>
      <c r="CI11" s="334">
        <v>288.73070000000001</v>
      </c>
      <c r="CJ11" s="334">
        <v>1313.7456999999999</v>
      </c>
      <c r="CK11" s="334">
        <v>-1025.0150000000001</v>
      </c>
      <c r="CL11" s="472" t="s">
        <v>332</v>
      </c>
      <c r="CM11" s="472" t="s">
        <v>333</v>
      </c>
      <c r="CN11" s="472" t="s">
        <v>298</v>
      </c>
      <c r="CO11" s="472" t="s">
        <v>334</v>
      </c>
    </row>
    <row r="12" spans="1:93" s="9" customFormat="1" ht="34.5" customHeight="1" x14ac:dyDescent="0.5">
      <c r="A12" s="258" t="s">
        <v>5</v>
      </c>
      <c r="B12" s="259">
        <f t="shared" ref="B12:G12" si="23">SUM(B11:B11)</f>
        <v>144.74</v>
      </c>
      <c r="C12" s="259">
        <f t="shared" si="23"/>
        <v>418.56</v>
      </c>
      <c r="D12" s="259">
        <f t="shared" si="23"/>
        <v>783.39</v>
      </c>
      <c r="E12" s="259">
        <f t="shared" si="23"/>
        <v>431.41</v>
      </c>
      <c r="F12" s="260">
        <f t="shared" si="23"/>
        <v>402.42</v>
      </c>
      <c r="G12" s="260">
        <f t="shared" si="23"/>
        <v>217.23</v>
      </c>
      <c r="H12" s="260">
        <f t="shared" si="0"/>
        <v>185.19000000000003</v>
      </c>
      <c r="I12" s="261">
        <f>SUM(I6:I11)</f>
        <v>20748.669999999998</v>
      </c>
      <c r="J12" s="261">
        <f>SUM(J6:J11)</f>
        <v>75183.140000000014</v>
      </c>
      <c r="K12" s="261">
        <f>SUM(K6:K11)</f>
        <v>-54434.470000000016</v>
      </c>
      <c r="L12" s="261">
        <f>SUM(L8:L11)</f>
        <v>16769.399999999998</v>
      </c>
      <c r="M12" s="261">
        <f>SUM(M8:M11)</f>
        <v>2948.77</v>
      </c>
      <c r="N12" s="261">
        <f t="shared" si="15"/>
        <v>13820.629999999997</v>
      </c>
      <c r="O12" s="262">
        <f>SUM(O6:O11)</f>
        <v>42602.59</v>
      </c>
      <c r="P12" s="262">
        <f>SUM(P6:P11)</f>
        <v>18.099315427013451</v>
      </c>
      <c r="Q12" s="262">
        <f>SUM(Q6:Q11)</f>
        <v>92161.17</v>
      </c>
      <c r="R12" s="263">
        <f>SUM(R8:R11)</f>
        <v>-167.6093335478395</v>
      </c>
      <c r="S12" s="262">
        <f t="shared" si="16"/>
        <v>-49558.58</v>
      </c>
      <c r="T12" s="262">
        <f>SUM(T6:T11)</f>
        <v>50843.839999999997</v>
      </c>
      <c r="U12" s="264">
        <f>SUM(U6:U11)</f>
        <v>87014.8</v>
      </c>
      <c r="V12" s="264">
        <f t="shared" si="17"/>
        <v>-36170.960000000006</v>
      </c>
      <c r="W12" s="262">
        <f>SUM(W6:W11)</f>
        <v>60597.23</v>
      </c>
      <c r="X12" s="262">
        <f>SUM(X6:X11)</f>
        <v>103776</v>
      </c>
      <c r="Y12" s="262">
        <f t="shared" si="4"/>
        <v>-43178.77</v>
      </c>
      <c r="Z12" s="262">
        <f>SUM(Z6:Z11)+0.01</f>
        <v>69947.040000000008</v>
      </c>
      <c r="AA12" s="262">
        <f>SUM(AA6:AA11)</f>
        <v>110495.87</v>
      </c>
      <c r="AB12" s="265">
        <f t="shared" si="5"/>
        <v>-40548.829999999987</v>
      </c>
      <c r="AC12" s="266">
        <f t="shared" si="6"/>
        <v>196857.03000000003</v>
      </c>
      <c r="AD12" s="267">
        <f>SUM(AD6:AD11)</f>
        <v>79447.199999999997</v>
      </c>
      <c r="AE12" s="267">
        <f>SUM(AE6:AE11)</f>
        <v>117409.83000000002</v>
      </c>
      <c r="AF12" s="266">
        <f>SUM(AD12-AE12)</f>
        <v>-37962.630000000019</v>
      </c>
      <c r="AG12" s="268">
        <f>AH12+AJ12</f>
        <v>215709.22</v>
      </c>
      <c r="AH12" s="269">
        <f>SUM(AH6:AH11)+0.01</f>
        <v>94006.540000000008</v>
      </c>
      <c r="AI12" s="268">
        <f t="shared" si="7"/>
        <v>18.325806321682844</v>
      </c>
      <c r="AJ12" s="269">
        <v>121702.68</v>
      </c>
      <c r="AK12" s="270">
        <f t="shared" si="8"/>
        <v>3.6562952182112656</v>
      </c>
      <c r="AL12" s="269">
        <f>AH12-AJ12</f>
        <v>-27696.139999999985</v>
      </c>
      <c r="AM12" s="268">
        <f t="shared" si="9"/>
        <v>217964.64</v>
      </c>
      <c r="AN12" s="271">
        <f>SUM(AN6:AN11)</f>
        <v>100819.30000000002</v>
      </c>
      <c r="AO12" s="271">
        <f>SUM(AO6:AO11)</f>
        <v>117145.34000000001</v>
      </c>
      <c r="AP12" s="269">
        <f>AN12-AO12</f>
        <v>-16326.039999999994</v>
      </c>
      <c r="AQ12" s="272">
        <f t="shared" si="10"/>
        <v>187905.2868</v>
      </c>
      <c r="AR12" s="215">
        <f>SUM(AR6:AR11)</f>
        <v>109267.16589999999</v>
      </c>
      <c r="AS12" s="273">
        <f>SUM(AS6:AS11)</f>
        <v>78638.120899999994</v>
      </c>
      <c r="AT12" s="274">
        <f>(AS12-BM12)*100/BM12</f>
        <v>146.00358471825754</v>
      </c>
      <c r="AU12" s="275">
        <f>AR12-AS12</f>
        <v>30629.044999999998</v>
      </c>
      <c r="AV12" s="323">
        <f>AW12+AX12</f>
        <v>184331.01180000001</v>
      </c>
      <c r="AW12" s="215">
        <f>SUM(AW6:AW11)</f>
        <v>108966.1793</v>
      </c>
      <c r="AX12" s="215">
        <f>SUM(AX6:AX11)</f>
        <v>75364.832500000004</v>
      </c>
      <c r="AY12" s="324">
        <f>AW12-AX12</f>
        <v>33601.346799999999</v>
      </c>
      <c r="AZ12" s="325">
        <f>SUM(AZ6:AZ11)</f>
        <v>193328.5722</v>
      </c>
      <c r="BA12" s="326">
        <f>SUM(BA6:BA11)</f>
        <v>105213.5105</v>
      </c>
      <c r="BB12" s="326">
        <f>SUM(BB6:BB11)</f>
        <v>88115.061699999991</v>
      </c>
      <c r="BC12" s="436">
        <f>BA12-BB12</f>
        <v>17098.448800000013</v>
      </c>
      <c r="BD12" s="481">
        <f t="shared" si="19"/>
        <v>180737.18409999995</v>
      </c>
      <c r="BE12" s="482">
        <f>SUM(BE6:BE11)</f>
        <v>93778.108899999992</v>
      </c>
      <c r="BF12" s="482">
        <f t="shared" si="20"/>
        <v>-2.8767925272489867</v>
      </c>
      <c r="BG12" s="482">
        <f>SUM(BG6:BG11)</f>
        <v>86959.075199999977</v>
      </c>
      <c r="BH12" s="482">
        <f t="shared" si="21"/>
        <v>8.3182293129397422</v>
      </c>
      <c r="BI12" s="483">
        <f t="shared" si="22"/>
        <v>6819.0337000000145</v>
      </c>
      <c r="BJ12" s="437">
        <f t="shared" ref="BJ12:BQ12" si="24">SUM(BJ6:BJ11)</f>
        <v>16379.01</v>
      </c>
      <c r="BK12" s="75">
        <f t="shared" si="24"/>
        <v>23355.370000000003</v>
      </c>
      <c r="BL12" s="75">
        <f t="shared" si="24"/>
        <v>35472.1</v>
      </c>
      <c r="BM12" s="75">
        <f t="shared" si="24"/>
        <v>31966.249999999996</v>
      </c>
      <c r="BN12" s="75">
        <f t="shared" si="24"/>
        <v>19598.37</v>
      </c>
      <c r="BO12" s="75">
        <f t="shared" si="24"/>
        <v>28337.88</v>
      </c>
      <c r="BP12" s="75">
        <f t="shared" si="24"/>
        <v>44870.840000000011</v>
      </c>
      <c r="BQ12" s="75">
        <f t="shared" si="24"/>
        <v>40319.310000000005</v>
      </c>
      <c r="BR12" s="57"/>
      <c r="BS12" s="326">
        <f>SUM(BS6:BS11)</f>
        <v>96555.819500000012</v>
      </c>
      <c r="BT12" s="326">
        <f>SUM(BT6:BT11)</f>
        <v>80281.108500000017</v>
      </c>
      <c r="BU12" s="456" t="s">
        <v>174</v>
      </c>
      <c r="BV12" s="334">
        <v>1183.9173000000001</v>
      </c>
      <c r="BW12" s="334">
        <v>638.30939999999998</v>
      </c>
      <c r="BX12" s="334">
        <v>545.60789999999997</v>
      </c>
      <c r="BY12" s="334">
        <v>92.701400000000007</v>
      </c>
      <c r="BZ12" s="334">
        <v>1744.3232</v>
      </c>
      <c r="CA12" s="334">
        <v>874.00789999999995</v>
      </c>
      <c r="CB12" s="334">
        <v>870.3152</v>
      </c>
      <c r="CC12" s="334">
        <v>3.6926999999999999</v>
      </c>
      <c r="CD12" s="334">
        <v>1744.3232</v>
      </c>
      <c r="CE12" s="334">
        <v>874.00789999999995</v>
      </c>
      <c r="CF12" s="334">
        <v>870.3152</v>
      </c>
      <c r="CG12" s="334">
        <v>3.6926999999999999</v>
      </c>
      <c r="CH12" s="334">
        <v>1132.9393</v>
      </c>
      <c r="CI12" s="334">
        <v>604.7749</v>
      </c>
      <c r="CJ12" s="334">
        <v>528.1644</v>
      </c>
      <c r="CK12" s="334">
        <v>76.610500000000002</v>
      </c>
      <c r="CL12" s="472" t="s">
        <v>335</v>
      </c>
      <c r="CM12" s="472" t="s">
        <v>336</v>
      </c>
      <c r="CN12" s="472" t="s">
        <v>337</v>
      </c>
      <c r="CO12" s="472" t="s">
        <v>338</v>
      </c>
    </row>
    <row r="13" spans="1:93" ht="20.25" customHeight="1" x14ac:dyDescent="0.5">
      <c r="A13" s="19" t="s">
        <v>64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4"/>
      <c r="M13" s="14"/>
      <c r="N13" s="14"/>
      <c r="O13" s="14"/>
      <c r="P13" s="14"/>
      <c r="Q13" s="1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310"/>
      <c r="BE13" s="310"/>
      <c r="BF13" s="310"/>
      <c r="BG13" s="311"/>
      <c r="BH13" s="310"/>
      <c r="BI13" s="135" t="s">
        <v>89</v>
      </c>
      <c r="BJ13" s="57"/>
      <c r="BK13" s="57"/>
      <c r="BL13" s="57"/>
      <c r="BM13" s="57"/>
      <c r="BN13" s="57"/>
      <c r="BO13" s="57"/>
      <c r="BP13" s="57"/>
      <c r="BQ13" s="57"/>
      <c r="BR13" s="66"/>
      <c r="BS13" s="66"/>
      <c r="BT13" s="66"/>
      <c r="BU13" s="470"/>
      <c r="BV13" s="457" t="s">
        <v>175</v>
      </c>
      <c r="BW13" s="457" t="s">
        <v>176</v>
      </c>
      <c r="BX13" s="457" t="s">
        <v>177</v>
      </c>
      <c r="BY13" s="457" t="s">
        <v>178</v>
      </c>
      <c r="BZ13" s="457" t="s">
        <v>179</v>
      </c>
      <c r="CA13" s="457" t="s">
        <v>180</v>
      </c>
      <c r="CB13" s="457" t="s">
        <v>181</v>
      </c>
      <c r="CC13" s="457" t="s">
        <v>182</v>
      </c>
      <c r="CD13" s="457" t="s">
        <v>179</v>
      </c>
      <c r="CE13" s="457" t="s">
        <v>180</v>
      </c>
      <c r="CF13" s="457" t="s">
        <v>181</v>
      </c>
      <c r="CG13" s="457" t="s">
        <v>182</v>
      </c>
      <c r="CH13" s="457" t="s">
        <v>309</v>
      </c>
      <c r="CI13" s="457" t="s">
        <v>310</v>
      </c>
      <c r="CJ13" s="457" t="s">
        <v>311</v>
      </c>
      <c r="CK13" s="457" t="s">
        <v>312</v>
      </c>
      <c r="CL13" s="470" t="s">
        <v>313</v>
      </c>
      <c r="CM13" s="470" t="s">
        <v>314</v>
      </c>
      <c r="CN13" s="470"/>
      <c r="CO13" s="470"/>
    </row>
    <row r="14" spans="1:93" s="13" customFormat="1" ht="18.75" customHeight="1" x14ac:dyDescent="0.4">
      <c r="A14" s="150" t="s">
        <v>148</v>
      </c>
      <c r="B14" s="151"/>
      <c r="C14" s="150" t="s">
        <v>91</v>
      </c>
      <c r="D14" s="151"/>
      <c r="E14" s="150" t="s">
        <v>91</v>
      </c>
      <c r="F14" s="151"/>
      <c r="G14" s="150" t="s">
        <v>91</v>
      </c>
      <c r="H14" s="151"/>
      <c r="I14" s="150" t="s">
        <v>91</v>
      </c>
      <c r="J14" s="151"/>
      <c r="K14" s="150" t="s">
        <v>91</v>
      </c>
      <c r="L14" s="151"/>
      <c r="M14" s="150" t="s">
        <v>91</v>
      </c>
      <c r="N14" s="151"/>
      <c r="O14" s="150" t="s">
        <v>91</v>
      </c>
      <c r="P14" s="151"/>
      <c r="Q14" s="150" t="s">
        <v>91</v>
      </c>
      <c r="R14" s="151"/>
      <c r="S14" s="150" t="s">
        <v>91</v>
      </c>
      <c r="T14" s="151"/>
      <c r="U14" s="150" t="s">
        <v>91</v>
      </c>
      <c r="V14" s="151"/>
      <c r="W14" s="150" t="s">
        <v>91</v>
      </c>
      <c r="X14" s="151"/>
      <c r="Y14" s="150" t="s">
        <v>91</v>
      </c>
      <c r="Z14" s="151"/>
      <c r="AA14" s="150" t="s">
        <v>91</v>
      </c>
      <c r="AB14" s="151"/>
      <c r="AC14" s="150" t="s">
        <v>91</v>
      </c>
      <c r="AD14" s="151"/>
      <c r="AE14" s="150" t="s">
        <v>91</v>
      </c>
      <c r="AF14" s="151"/>
      <c r="AG14" s="150" t="s">
        <v>91</v>
      </c>
      <c r="AH14" s="151"/>
      <c r="AI14" s="150" t="s">
        <v>91</v>
      </c>
      <c r="AJ14" s="151"/>
      <c r="AK14" s="150" t="s">
        <v>91</v>
      </c>
      <c r="AL14" s="151"/>
      <c r="AM14" s="150" t="s">
        <v>91</v>
      </c>
      <c r="AN14" s="151"/>
      <c r="AO14" s="150" t="s">
        <v>91</v>
      </c>
      <c r="AP14" s="151"/>
      <c r="AQ14" s="150"/>
      <c r="AR14" s="151"/>
      <c r="AS14" s="151"/>
      <c r="AT14" s="150"/>
      <c r="AU14" s="151"/>
      <c r="AV14" s="150"/>
      <c r="AW14" s="151"/>
      <c r="AX14" s="150"/>
      <c r="AY14" s="151"/>
      <c r="AZ14" s="151"/>
      <c r="BA14" s="151"/>
      <c r="BB14" s="151"/>
      <c r="BC14" s="151"/>
      <c r="BD14" s="312"/>
      <c r="BE14" s="313"/>
      <c r="BF14" s="312"/>
      <c r="BG14" s="313"/>
      <c r="BH14" s="312"/>
      <c r="BI14" s="14" t="s">
        <v>62</v>
      </c>
      <c r="BJ14" s="150"/>
      <c r="BK14" s="151"/>
      <c r="BL14" s="150"/>
      <c r="BM14" s="151"/>
      <c r="BN14" s="150"/>
      <c r="BO14" s="151"/>
      <c r="BP14" s="150"/>
      <c r="BQ14" s="151"/>
      <c r="BR14" s="149"/>
      <c r="BS14" s="149"/>
      <c r="BT14" s="149"/>
      <c r="BU14" s="110"/>
      <c r="BV14" s="110"/>
      <c r="BW14" s="110"/>
      <c r="BX14" s="36"/>
      <c r="BY14" s="36"/>
      <c r="CB14" s="14"/>
      <c r="CC14" s="14"/>
      <c r="CD14" s="47" t="s">
        <v>6</v>
      </c>
    </row>
    <row r="15" spans="1:93" s="13" customFormat="1" ht="18.75" customHeight="1" x14ac:dyDescent="0.4">
      <c r="A15" s="153" t="s">
        <v>145</v>
      </c>
      <c r="B15" s="151"/>
      <c r="C15" s="153" t="s">
        <v>92</v>
      </c>
      <c r="D15" s="151"/>
      <c r="E15" s="153" t="s">
        <v>92</v>
      </c>
      <c r="F15" s="151"/>
      <c r="G15" s="153" t="s">
        <v>92</v>
      </c>
      <c r="H15" s="151"/>
      <c r="I15" s="153" t="s">
        <v>92</v>
      </c>
      <c r="J15" s="151"/>
      <c r="K15" s="153" t="s">
        <v>92</v>
      </c>
      <c r="L15" s="151"/>
      <c r="M15" s="153" t="s">
        <v>92</v>
      </c>
      <c r="N15" s="151"/>
      <c r="O15" s="153" t="s">
        <v>92</v>
      </c>
      <c r="P15" s="151"/>
      <c r="Q15" s="153" t="s">
        <v>92</v>
      </c>
      <c r="R15" s="151"/>
      <c r="S15" s="153" t="s">
        <v>92</v>
      </c>
      <c r="T15" s="151"/>
      <c r="U15" s="153" t="s">
        <v>92</v>
      </c>
      <c r="V15" s="151"/>
      <c r="W15" s="153" t="s">
        <v>92</v>
      </c>
      <c r="X15" s="151"/>
      <c r="Y15" s="153" t="s">
        <v>92</v>
      </c>
      <c r="Z15" s="151"/>
      <c r="AA15" s="153" t="s">
        <v>92</v>
      </c>
      <c r="AB15" s="151"/>
      <c r="AC15" s="153" t="s">
        <v>92</v>
      </c>
      <c r="AD15" s="151"/>
      <c r="AE15" s="153" t="s">
        <v>92</v>
      </c>
      <c r="AF15" s="151"/>
      <c r="AG15" s="153" t="s">
        <v>92</v>
      </c>
      <c r="AH15" s="151"/>
      <c r="AI15" s="153" t="s">
        <v>92</v>
      </c>
      <c r="AJ15" s="151"/>
      <c r="AK15" s="153" t="s">
        <v>92</v>
      </c>
      <c r="AL15" s="151"/>
      <c r="AM15" s="153" t="s">
        <v>92</v>
      </c>
      <c r="AN15" s="151"/>
      <c r="AO15" s="153" t="s">
        <v>92</v>
      </c>
      <c r="AP15" s="151"/>
      <c r="AQ15" s="153"/>
      <c r="AR15" s="151"/>
      <c r="AS15" s="151"/>
      <c r="AT15" s="153"/>
      <c r="AU15" s="151"/>
      <c r="AV15" s="153"/>
      <c r="AW15" s="151"/>
      <c r="AX15" s="153"/>
      <c r="AY15" s="151"/>
      <c r="AZ15" s="151"/>
      <c r="BA15" s="151"/>
      <c r="BB15" s="151"/>
      <c r="BC15" s="151"/>
      <c r="BD15" s="314"/>
      <c r="BE15" s="313"/>
      <c r="BF15" s="314"/>
      <c r="BG15" s="313"/>
      <c r="BH15" s="314"/>
      <c r="BI15" s="14" t="s">
        <v>6</v>
      </c>
      <c r="BJ15" s="153"/>
      <c r="BK15" s="151"/>
      <c r="BL15" s="153"/>
      <c r="BM15" s="151"/>
      <c r="BN15" s="153"/>
      <c r="BO15" s="151"/>
      <c r="BP15" s="153"/>
      <c r="BQ15" s="151"/>
      <c r="BR15" s="36"/>
      <c r="BS15" s="36"/>
      <c r="BT15" s="36"/>
      <c r="CB15" s="14"/>
      <c r="CC15" s="14"/>
      <c r="CD15" s="47"/>
    </row>
    <row r="16" spans="1:93" s="13" customFormat="1" ht="18.75" customHeight="1" x14ac:dyDescent="0.4">
      <c r="A16" s="150" t="s">
        <v>146</v>
      </c>
      <c r="B16" s="153"/>
      <c r="C16" s="150" t="s">
        <v>93</v>
      </c>
      <c r="D16" s="153"/>
      <c r="E16" s="150" t="s">
        <v>93</v>
      </c>
      <c r="F16" s="153"/>
      <c r="G16" s="150" t="s">
        <v>93</v>
      </c>
      <c r="H16" s="153"/>
      <c r="I16" s="150" t="s">
        <v>93</v>
      </c>
      <c r="J16" s="153"/>
      <c r="K16" s="150" t="s">
        <v>93</v>
      </c>
      <c r="L16" s="153"/>
      <c r="M16" s="150" t="s">
        <v>93</v>
      </c>
      <c r="N16" s="153"/>
      <c r="O16" s="150" t="s">
        <v>93</v>
      </c>
      <c r="P16" s="153"/>
      <c r="Q16" s="150" t="s">
        <v>93</v>
      </c>
      <c r="R16" s="153"/>
      <c r="S16" s="150" t="s">
        <v>93</v>
      </c>
      <c r="T16" s="153"/>
      <c r="U16" s="150" t="s">
        <v>93</v>
      </c>
      <c r="V16" s="153"/>
      <c r="W16" s="150" t="s">
        <v>93</v>
      </c>
      <c r="X16" s="153"/>
      <c r="Y16" s="150" t="s">
        <v>93</v>
      </c>
      <c r="Z16" s="153"/>
      <c r="AA16" s="150" t="s">
        <v>93</v>
      </c>
      <c r="AB16" s="153"/>
      <c r="AC16" s="150" t="s">
        <v>93</v>
      </c>
      <c r="AD16" s="153"/>
      <c r="AE16" s="150" t="s">
        <v>93</v>
      </c>
      <c r="AF16" s="153"/>
      <c r="AG16" s="150" t="s">
        <v>93</v>
      </c>
      <c r="AH16" s="153"/>
      <c r="AI16" s="150" t="s">
        <v>93</v>
      </c>
      <c r="AJ16" s="153"/>
      <c r="AK16" s="150" t="s">
        <v>93</v>
      </c>
      <c r="AL16" s="153"/>
      <c r="AM16" s="150" t="s">
        <v>93</v>
      </c>
      <c r="AN16" s="153"/>
      <c r="AO16" s="150" t="s">
        <v>93</v>
      </c>
      <c r="AP16" s="153"/>
      <c r="AQ16" s="150"/>
      <c r="AR16" s="153"/>
      <c r="AS16" s="153"/>
      <c r="AT16" s="150"/>
      <c r="AU16" s="153"/>
      <c r="AV16" s="150"/>
      <c r="AW16" s="153"/>
      <c r="AX16" s="150"/>
      <c r="AY16" s="153"/>
      <c r="AZ16" s="153"/>
      <c r="BA16" s="153"/>
      <c r="BB16" s="153"/>
      <c r="BC16" s="153"/>
      <c r="BD16" s="312"/>
      <c r="BE16" s="314"/>
      <c r="BF16" s="312"/>
      <c r="BG16" s="314"/>
      <c r="BH16" s="312"/>
      <c r="BI16" s="315"/>
      <c r="BJ16" s="150"/>
      <c r="BK16" s="153"/>
      <c r="BL16" s="150"/>
      <c r="BM16" s="153"/>
      <c r="BN16" s="150"/>
      <c r="BO16" s="153"/>
      <c r="BP16" s="150"/>
      <c r="BQ16" s="153"/>
      <c r="BZ16" s="36"/>
      <c r="CB16" s="38"/>
      <c r="CD16" s="14"/>
    </row>
    <row r="17" spans="1:1" ht="18.75" customHeight="1" x14ac:dyDescent="0.5">
      <c r="A17" s="4" t="s">
        <v>149</v>
      </c>
    </row>
    <row r="18" spans="1:1" ht="18.75" customHeight="1" x14ac:dyDescent="0.5">
      <c r="A18" s="412" t="s">
        <v>162</v>
      </c>
    </row>
  </sheetData>
  <mergeCells count="39">
    <mergeCell ref="BU2:CJ2"/>
    <mergeCell ref="A1:BI1"/>
    <mergeCell ref="A4:A5"/>
    <mergeCell ref="B4:C4"/>
    <mergeCell ref="D4:E4"/>
    <mergeCell ref="F4:H4"/>
    <mergeCell ref="I4:K4"/>
    <mergeCell ref="Z4:AB4"/>
    <mergeCell ref="L4:N4"/>
    <mergeCell ref="O4:S4"/>
    <mergeCell ref="T4:V4"/>
    <mergeCell ref="AV4:AY4"/>
    <mergeCell ref="A2:BI2"/>
    <mergeCell ref="AC4:AF4"/>
    <mergeCell ref="AG4:AL4"/>
    <mergeCell ref="BD4:BI4"/>
    <mergeCell ref="CL5:CL6"/>
    <mergeCell ref="CM5:CM6"/>
    <mergeCell ref="BU4:BU6"/>
    <mergeCell ref="BV4:BY4"/>
    <mergeCell ref="BZ4:CC4"/>
    <mergeCell ref="CD4:CK4"/>
    <mergeCell ref="CH5:CK5"/>
    <mergeCell ref="CN5:CN6"/>
    <mergeCell ref="CO5:CO6"/>
    <mergeCell ref="AM4:AP4"/>
    <mergeCell ref="AZ4:BC4"/>
    <mergeCell ref="CL4:CM4"/>
    <mergeCell ref="CN4:CO4"/>
    <mergeCell ref="BV5:BV6"/>
    <mergeCell ref="BW5:BW6"/>
    <mergeCell ref="BX5:BX6"/>
    <mergeCell ref="BY5:BY6"/>
    <mergeCell ref="BZ5:BZ6"/>
    <mergeCell ref="CA5:CA6"/>
    <mergeCell ref="CB5:CB6"/>
    <mergeCell ref="CC5:CC6"/>
    <mergeCell ref="CD5:CG5"/>
    <mergeCell ref="AQ4:AU4"/>
  </mergeCells>
  <phoneticPr fontId="19" type="noConversion"/>
  <pageMargins left="0.3" right="0" top="0.75" bottom="0.75" header="0.3" footer="0.3"/>
  <pageSetup scale="95" orientation="portrait" horizontalDpi="4294967295" verticalDpi="4294967295" r:id="rId1"/>
  <headerFooter>
    <oddHeader>&amp;C&amp;"AngsanaUPC,Regular"&amp;16- 22 -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7"/>
  <sheetViews>
    <sheetView zoomScale="130" zoomScaleNormal="130" workbookViewId="0">
      <selection activeCell="Z4" sqref="Z4:AE6"/>
    </sheetView>
  </sheetViews>
  <sheetFormatPr defaultColWidth="9.125" defaultRowHeight="25.5" customHeight="1" x14ac:dyDescent="0.5"/>
  <cols>
    <col min="1" max="1" width="14" style="6" customWidth="1"/>
    <col min="2" max="2" width="6.375" style="6" hidden="1" customWidth="1"/>
    <col min="3" max="4" width="6.125" style="6" hidden="1" customWidth="1"/>
    <col min="5" max="5" width="1.375" style="6" hidden="1" customWidth="1"/>
    <col min="6" max="6" width="5.25" style="6" hidden="1" customWidth="1"/>
    <col min="7" max="8" width="6.125" style="6" hidden="1" customWidth="1"/>
    <col min="9" max="9" width="6.25" style="6" hidden="1" customWidth="1"/>
    <col min="10" max="10" width="5.875" style="6" hidden="1" customWidth="1"/>
    <col min="11" max="13" width="6.25" style="6" hidden="1" customWidth="1"/>
    <col min="14" max="14" width="5.25" style="6" hidden="1" customWidth="1"/>
    <col min="15" max="15" width="5.875" style="6" hidden="1" customWidth="1"/>
    <col min="16" max="16" width="5.625" style="6" hidden="1" customWidth="1"/>
    <col min="17" max="17" width="6" style="6" hidden="1" customWidth="1"/>
    <col min="18" max="20" width="5.5" style="6" customWidth="1"/>
    <col min="21" max="23" width="6.375" style="6" customWidth="1"/>
    <col min="24" max="24" width="6" style="6" customWidth="1"/>
    <col min="25" max="25" width="6.375" style="6" customWidth="1"/>
    <col min="26" max="26" width="6.375" style="515" customWidth="1"/>
    <col min="27" max="27" width="6.125" style="515" customWidth="1"/>
    <col min="28" max="28" width="4.625" style="515" customWidth="1"/>
    <col min="29" max="29" width="6.25" style="515" customWidth="1"/>
    <col min="30" max="30" width="4.25" style="515" customWidth="1"/>
    <col min="31" max="31" width="6" style="515" customWidth="1"/>
    <col min="32" max="34" width="0" style="6" hidden="1" customWidth="1"/>
    <col min="35" max="35" width="2.75" style="6" customWidth="1"/>
    <col min="36" max="36" width="2.125" style="6" customWidth="1"/>
    <col min="37" max="37" width="9.125" style="6" bestFit="1" customWidth="1"/>
    <col min="38" max="38" width="10.125" style="6" bestFit="1" customWidth="1"/>
    <col min="39" max="39" width="11.375" style="6" customWidth="1"/>
    <col min="40" max="40" width="11.625" style="6" customWidth="1"/>
    <col min="41" max="16384" width="9.125" style="6"/>
  </cols>
  <sheetData>
    <row r="1" spans="1:60" ht="16.5" customHeight="1" x14ac:dyDescent="0.5">
      <c r="A1" s="591" t="s">
        <v>124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</row>
    <row r="2" spans="1:60" s="318" customFormat="1" ht="17.25" customHeight="1" x14ac:dyDescent="0.2">
      <c r="A2" s="592" t="s">
        <v>69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M2" s="571" t="s">
        <v>339</v>
      </c>
      <c r="AN2" s="571"/>
      <c r="AO2" s="571"/>
      <c r="AP2" s="571"/>
      <c r="AQ2" s="571"/>
      <c r="AR2" s="571"/>
      <c r="AS2" s="571"/>
      <c r="AT2" s="571"/>
      <c r="AU2" s="571"/>
      <c r="AV2" s="571"/>
      <c r="AW2" s="571"/>
      <c r="AX2" s="571"/>
      <c r="AY2" s="571"/>
      <c r="AZ2" s="571"/>
      <c r="BA2"/>
      <c r="BB2"/>
      <c r="BC2"/>
      <c r="BD2"/>
      <c r="BE2"/>
      <c r="BF2"/>
      <c r="BG2"/>
      <c r="BH2"/>
    </row>
    <row r="3" spans="1:60" s="318" customFormat="1" ht="17.25" customHeight="1" x14ac:dyDescent="0.2">
      <c r="A3" s="592" t="s">
        <v>399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60" ht="15.75" customHeight="1" x14ac:dyDescent="0.55000000000000004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71"/>
      <c r="AA4" s="471"/>
      <c r="AB4" s="471"/>
      <c r="AC4" s="471"/>
      <c r="AD4" s="111"/>
      <c r="AE4" s="164" t="s">
        <v>46</v>
      </c>
      <c r="AM4" s="561" t="s">
        <v>57</v>
      </c>
      <c r="AN4" s="561"/>
      <c r="AO4" s="561">
        <v>2560</v>
      </c>
      <c r="AP4" s="561"/>
      <c r="AQ4" s="561"/>
      <c r="AR4" s="561"/>
      <c r="AS4" s="561">
        <v>2561</v>
      </c>
      <c r="AT4" s="561"/>
      <c r="AU4" s="561"/>
      <c r="AV4" s="561"/>
      <c r="AW4" s="561" t="s">
        <v>306</v>
      </c>
      <c r="AX4" s="561"/>
      <c r="AY4" s="561"/>
      <c r="AZ4" s="561"/>
      <c r="BA4" s="561"/>
      <c r="BB4" s="561"/>
      <c r="BC4" s="561"/>
      <c r="BD4" s="561"/>
      <c r="BE4" s="561" t="s">
        <v>305</v>
      </c>
      <c r="BF4" s="561"/>
      <c r="BG4" s="561" t="s">
        <v>316</v>
      </c>
      <c r="BH4" s="561"/>
    </row>
    <row r="5" spans="1:60" s="7" customFormat="1" ht="16.5" customHeight="1" x14ac:dyDescent="0.5">
      <c r="A5" s="576" t="s">
        <v>57</v>
      </c>
      <c r="B5" s="593">
        <v>2556</v>
      </c>
      <c r="C5" s="594"/>
      <c r="D5" s="594"/>
      <c r="E5" s="595"/>
      <c r="F5" s="593">
        <v>2557</v>
      </c>
      <c r="G5" s="594"/>
      <c r="H5" s="594"/>
      <c r="I5" s="595"/>
      <c r="J5" s="553">
        <v>2558</v>
      </c>
      <c r="K5" s="554"/>
      <c r="L5" s="554"/>
      <c r="M5" s="555"/>
      <c r="N5" s="553">
        <v>2559</v>
      </c>
      <c r="O5" s="554"/>
      <c r="P5" s="554"/>
      <c r="Q5" s="555"/>
      <c r="R5" s="553">
        <v>2560</v>
      </c>
      <c r="S5" s="554"/>
      <c r="T5" s="554"/>
      <c r="U5" s="555"/>
      <c r="V5" s="553">
        <v>2561</v>
      </c>
      <c r="W5" s="554"/>
      <c r="X5" s="554"/>
      <c r="Y5" s="555"/>
      <c r="Z5" s="553" t="s">
        <v>397</v>
      </c>
      <c r="AA5" s="554"/>
      <c r="AB5" s="554"/>
      <c r="AC5" s="554"/>
      <c r="AD5" s="554"/>
      <c r="AE5" s="555"/>
      <c r="AK5" s="587" t="s">
        <v>398</v>
      </c>
      <c r="AL5" s="588"/>
      <c r="AM5" s="561"/>
      <c r="AN5" s="561"/>
      <c r="AO5" s="561" t="s">
        <v>9</v>
      </c>
      <c r="AP5" s="561" t="s">
        <v>1</v>
      </c>
      <c r="AQ5" s="561" t="s">
        <v>2</v>
      </c>
      <c r="AR5" s="561" t="s">
        <v>3</v>
      </c>
      <c r="AS5" s="561" t="s">
        <v>9</v>
      </c>
      <c r="AT5" s="561" t="s">
        <v>1</v>
      </c>
      <c r="AU5" s="561" t="s">
        <v>2</v>
      </c>
      <c r="AV5" s="561" t="s">
        <v>3</v>
      </c>
      <c r="AW5" s="561">
        <v>2561</v>
      </c>
      <c r="AX5" s="561"/>
      <c r="AY5" s="561"/>
      <c r="AZ5" s="561"/>
      <c r="BA5" s="561">
        <v>2562</v>
      </c>
      <c r="BB5" s="561"/>
      <c r="BC5" s="561"/>
      <c r="BD5" s="561"/>
      <c r="BE5" s="561" t="s">
        <v>1</v>
      </c>
      <c r="BF5" s="561" t="s">
        <v>2</v>
      </c>
      <c r="BG5" s="561" t="s">
        <v>1</v>
      </c>
      <c r="BH5" s="561" t="s">
        <v>2</v>
      </c>
    </row>
    <row r="6" spans="1:60" s="8" customFormat="1" ht="16.5" customHeight="1" x14ac:dyDescent="0.2">
      <c r="A6" s="577"/>
      <c r="B6" s="458" t="s">
        <v>5</v>
      </c>
      <c r="C6" s="459" t="s">
        <v>1</v>
      </c>
      <c r="D6" s="459" t="s">
        <v>2</v>
      </c>
      <c r="E6" s="460" t="s">
        <v>3</v>
      </c>
      <c r="F6" s="459" t="s">
        <v>5</v>
      </c>
      <c r="G6" s="459" t="s">
        <v>1</v>
      </c>
      <c r="H6" s="459" t="s">
        <v>2</v>
      </c>
      <c r="I6" s="460" t="s">
        <v>3</v>
      </c>
      <c r="J6" s="459" t="s">
        <v>5</v>
      </c>
      <c r="K6" s="459" t="s">
        <v>1</v>
      </c>
      <c r="L6" s="459" t="s">
        <v>2</v>
      </c>
      <c r="M6" s="460" t="s">
        <v>3</v>
      </c>
      <c r="N6" s="459" t="s">
        <v>5</v>
      </c>
      <c r="O6" s="459" t="s">
        <v>1</v>
      </c>
      <c r="P6" s="459" t="s">
        <v>2</v>
      </c>
      <c r="Q6" s="460" t="s">
        <v>3</v>
      </c>
      <c r="R6" s="328" t="s">
        <v>5</v>
      </c>
      <c r="S6" s="330" t="s">
        <v>1</v>
      </c>
      <c r="T6" s="330" t="s">
        <v>2</v>
      </c>
      <c r="U6" s="329" t="s">
        <v>3</v>
      </c>
      <c r="V6" s="328" t="s">
        <v>5</v>
      </c>
      <c r="W6" s="330" t="s">
        <v>1</v>
      </c>
      <c r="X6" s="330" t="s">
        <v>2</v>
      </c>
      <c r="Y6" s="329" t="s">
        <v>3</v>
      </c>
      <c r="Z6" s="328" t="s">
        <v>5</v>
      </c>
      <c r="AA6" s="330" t="s">
        <v>1</v>
      </c>
      <c r="AB6" s="331" t="s">
        <v>82</v>
      </c>
      <c r="AC6" s="330" t="s">
        <v>2</v>
      </c>
      <c r="AD6" s="331" t="s">
        <v>82</v>
      </c>
      <c r="AE6" s="329" t="s">
        <v>3</v>
      </c>
      <c r="AK6" s="330" t="s">
        <v>1</v>
      </c>
      <c r="AL6" s="330" t="s">
        <v>2</v>
      </c>
      <c r="AM6" s="561"/>
      <c r="AN6" s="561"/>
      <c r="AO6" s="561"/>
      <c r="AP6" s="561"/>
      <c r="AQ6" s="561"/>
      <c r="AR6" s="561"/>
      <c r="AS6" s="561"/>
      <c r="AT6" s="561"/>
      <c r="AU6" s="561"/>
      <c r="AV6" s="561"/>
      <c r="AW6" s="469" t="s">
        <v>9</v>
      </c>
      <c r="AX6" s="469" t="s">
        <v>1</v>
      </c>
      <c r="AY6" s="469" t="s">
        <v>2</v>
      </c>
      <c r="AZ6" s="469" t="s">
        <v>3</v>
      </c>
      <c r="BA6" s="469" t="s">
        <v>9</v>
      </c>
      <c r="BB6" s="469" t="s">
        <v>1</v>
      </c>
      <c r="BC6" s="469" t="s">
        <v>2</v>
      </c>
      <c r="BD6" s="469" t="s">
        <v>3</v>
      </c>
      <c r="BE6" s="561"/>
      <c r="BF6" s="561"/>
      <c r="BG6" s="561"/>
      <c r="BH6" s="561"/>
    </row>
    <row r="7" spans="1:60" s="8" customFormat="1" ht="14.25" customHeight="1" x14ac:dyDescent="0.2">
      <c r="A7" s="599" t="s">
        <v>115</v>
      </c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1"/>
      <c r="W7" s="601"/>
      <c r="X7" s="601"/>
      <c r="Y7" s="601"/>
      <c r="Z7" s="601"/>
      <c r="AA7" s="601"/>
      <c r="AB7" s="601"/>
      <c r="AC7" s="601"/>
      <c r="AD7" s="601"/>
      <c r="AE7" s="602"/>
      <c r="AF7" s="155"/>
      <c r="AG7" s="155"/>
      <c r="AH7" s="155"/>
      <c r="AI7" s="155"/>
      <c r="AJ7" s="155"/>
      <c r="AM7" s="590" t="s">
        <v>183</v>
      </c>
      <c r="AN7" s="590"/>
      <c r="AO7" s="590"/>
      <c r="AP7" s="590"/>
      <c r="AQ7" s="590"/>
      <c r="AR7" s="590"/>
      <c r="AS7" s="590"/>
      <c r="AT7" s="590"/>
      <c r="AU7" s="590"/>
      <c r="AV7" s="590"/>
      <c r="AW7" s="590"/>
      <c r="AX7" s="590"/>
      <c r="AY7" s="590"/>
      <c r="AZ7" s="590"/>
      <c r="BA7" s="590"/>
      <c r="BB7" s="590"/>
      <c r="BC7" s="590"/>
      <c r="BD7" s="590"/>
      <c r="BE7" s="590"/>
      <c r="BF7" s="590"/>
      <c r="BG7" s="590"/>
      <c r="BH7" s="590"/>
    </row>
    <row r="8" spans="1:60" s="8" customFormat="1" ht="21" customHeight="1" x14ac:dyDescent="0.2">
      <c r="A8" s="190" t="s">
        <v>100</v>
      </c>
      <c r="B8" s="191">
        <f>C8+D8</f>
        <v>46308.939999999995</v>
      </c>
      <c r="C8" s="192">
        <v>43667.56</v>
      </c>
      <c r="D8" s="193">
        <v>2641.38</v>
      </c>
      <c r="E8" s="193">
        <f>C8-D8</f>
        <v>41026.18</v>
      </c>
      <c r="F8" s="194">
        <f>G8+H8</f>
        <v>62522.04</v>
      </c>
      <c r="G8" s="194">
        <v>59839.24</v>
      </c>
      <c r="H8" s="194">
        <v>2682.8</v>
      </c>
      <c r="I8" s="194">
        <f>G8-H8</f>
        <v>57156.439999999995</v>
      </c>
      <c r="J8" s="194">
        <f>K8+L8</f>
        <v>69060.59</v>
      </c>
      <c r="K8" s="194">
        <v>68997</v>
      </c>
      <c r="L8" s="194">
        <v>63.59</v>
      </c>
      <c r="M8" s="219">
        <f>K8-L8</f>
        <v>68933.41</v>
      </c>
      <c r="N8" s="222">
        <f>O8+P8</f>
        <v>80619.622999999992</v>
      </c>
      <c r="O8" s="195">
        <v>80552.533899999995</v>
      </c>
      <c r="P8" s="195">
        <v>67.089100000000002</v>
      </c>
      <c r="Q8" s="223">
        <f>O8-P8</f>
        <v>80485.444799999997</v>
      </c>
      <c r="R8" s="351">
        <f>S8+T8</f>
        <v>74662.435800000007</v>
      </c>
      <c r="S8" s="336">
        <v>74578.090500000006</v>
      </c>
      <c r="T8" s="336">
        <v>84.345299999999995</v>
      </c>
      <c r="U8" s="345">
        <f>S8-T8</f>
        <v>74493.745200000005</v>
      </c>
      <c r="V8" s="404">
        <f>W8+X8</f>
        <v>72011.714800000002</v>
      </c>
      <c r="W8" s="407">
        <v>71936.784</v>
      </c>
      <c r="X8" s="407">
        <v>74.930800000000005</v>
      </c>
      <c r="Y8" s="410">
        <f>W8-X8</f>
        <v>71861.853199999998</v>
      </c>
      <c r="Z8" s="484">
        <f>AA8+AC8</f>
        <v>64621.610099999998</v>
      </c>
      <c r="AA8" s="477">
        <v>64608.323400000001</v>
      </c>
      <c r="AB8" s="485">
        <f>(AA8-AK8)*100/AK8</f>
        <v>-2.7419374549067199</v>
      </c>
      <c r="AC8" s="477">
        <v>13.2867</v>
      </c>
      <c r="AD8" s="485">
        <f>(AC8-AL8)*100/AL8</f>
        <v>-79.05699991488315</v>
      </c>
      <c r="AE8" s="486">
        <f>AA8-AC8</f>
        <v>64595.036700000004</v>
      </c>
      <c r="AF8" s="8" t="s">
        <v>38</v>
      </c>
      <c r="AG8" s="8" t="s">
        <v>39</v>
      </c>
      <c r="AK8" s="334">
        <v>66429.786600000007</v>
      </c>
      <c r="AL8" s="334">
        <v>63.4422</v>
      </c>
      <c r="AM8"/>
      <c r="AN8" s="456" t="s">
        <v>184</v>
      </c>
      <c r="AO8" s="334">
        <v>74662.435800000007</v>
      </c>
      <c r="AP8" s="334">
        <v>74578.090500000006</v>
      </c>
      <c r="AQ8" s="334">
        <v>84.345299999999995</v>
      </c>
      <c r="AR8" s="334">
        <v>74493.745200000005</v>
      </c>
      <c r="AS8" s="334">
        <v>72011.714900000006</v>
      </c>
      <c r="AT8" s="334">
        <v>71936.784</v>
      </c>
      <c r="AU8" s="334">
        <v>74.930800000000005</v>
      </c>
      <c r="AV8" s="334">
        <v>71861.853099999993</v>
      </c>
      <c r="AW8" s="334">
        <v>72011.714900000006</v>
      </c>
      <c r="AX8" s="334">
        <v>71936.784</v>
      </c>
      <c r="AY8" s="334">
        <v>74.930800000000005</v>
      </c>
      <c r="AZ8" s="334">
        <v>71861.853099999993</v>
      </c>
      <c r="BA8" s="334">
        <v>70477.751999999993</v>
      </c>
      <c r="BB8" s="334">
        <v>70464.465200000006</v>
      </c>
      <c r="BC8" s="334">
        <v>13.2867</v>
      </c>
      <c r="BD8" s="334">
        <v>70451.178400000004</v>
      </c>
      <c r="BE8" s="472" t="s">
        <v>317</v>
      </c>
      <c r="BF8" s="472" t="s">
        <v>340</v>
      </c>
      <c r="BG8" s="472" t="s">
        <v>319</v>
      </c>
      <c r="BH8" s="472" t="s">
        <v>232</v>
      </c>
    </row>
    <row r="9" spans="1:60" s="8" customFormat="1" ht="15" customHeight="1" x14ac:dyDescent="0.2">
      <c r="A9" s="307" t="s">
        <v>158</v>
      </c>
      <c r="B9" s="191"/>
      <c r="C9" s="192"/>
      <c r="D9" s="193"/>
      <c r="E9" s="193"/>
      <c r="F9" s="603">
        <f>G9+H9</f>
        <v>91.09</v>
      </c>
      <c r="G9" s="603">
        <v>0</v>
      </c>
      <c r="H9" s="603">
        <v>91.09</v>
      </c>
      <c r="I9" s="603">
        <f>G9-H9</f>
        <v>-91.09</v>
      </c>
      <c r="J9" s="603">
        <f>K9+L9</f>
        <v>807.86</v>
      </c>
      <c r="K9" s="603">
        <v>0</v>
      </c>
      <c r="L9" s="603">
        <v>807.86</v>
      </c>
      <c r="M9" s="616">
        <f>K9-L9</f>
        <v>-807.86</v>
      </c>
      <c r="N9" s="618">
        <f>O9+P9</f>
        <v>839.82</v>
      </c>
      <c r="O9" s="608">
        <v>0</v>
      </c>
      <c r="P9" s="608">
        <v>839.82</v>
      </c>
      <c r="Q9" s="610">
        <f>O9-P9</f>
        <v>-839.82</v>
      </c>
      <c r="R9" s="612">
        <f>S9+T9</f>
        <v>1638.4347</v>
      </c>
      <c r="S9" s="614">
        <v>0</v>
      </c>
      <c r="T9" s="614">
        <v>1638.4347</v>
      </c>
      <c r="U9" s="605">
        <f>S9-T9</f>
        <v>-1638.4347</v>
      </c>
      <c r="V9" s="620">
        <f>W9+X9</f>
        <v>2195.2579000000001</v>
      </c>
      <c r="W9" s="589">
        <v>0</v>
      </c>
      <c r="X9" s="589">
        <v>2195.2579000000001</v>
      </c>
      <c r="Y9" s="621">
        <f>W9-X9</f>
        <v>-2195.2579000000001</v>
      </c>
      <c r="Z9" s="607">
        <f>AA9+AC9</f>
        <v>6050.8386</v>
      </c>
      <c r="AA9" s="597">
        <v>0</v>
      </c>
      <c r="AB9" s="598" t="s">
        <v>70</v>
      </c>
      <c r="AC9" s="597">
        <v>6050.8386</v>
      </c>
      <c r="AD9" s="653">
        <f>(AC9-AL9)*100/AL9</f>
        <v>205.12518080573753</v>
      </c>
      <c r="AE9" s="596">
        <f>AA9-AC9</f>
        <v>-6050.8386</v>
      </c>
      <c r="AK9" s="589">
        <v>0</v>
      </c>
      <c r="AL9" s="589">
        <v>1983.0676000000001</v>
      </c>
      <c r="AM9"/>
      <c r="AN9" s="456" t="s">
        <v>185</v>
      </c>
      <c r="AO9" s="334">
        <v>1638.4347</v>
      </c>
      <c r="AP9" s="334">
        <v>0</v>
      </c>
      <c r="AQ9" s="334">
        <v>1638.4347</v>
      </c>
      <c r="AR9" s="334">
        <v>-1638.4347</v>
      </c>
      <c r="AS9" s="334">
        <v>2195.2579000000001</v>
      </c>
      <c r="AT9" s="334">
        <v>0</v>
      </c>
      <c r="AU9" s="334">
        <v>2195.2579000000001</v>
      </c>
      <c r="AV9" s="334">
        <v>-2195.2579000000001</v>
      </c>
      <c r="AW9" s="334">
        <v>2195.2579000000001</v>
      </c>
      <c r="AX9" s="334">
        <v>0</v>
      </c>
      <c r="AY9" s="334">
        <v>2195.2579000000001</v>
      </c>
      <c r="AZ9" s="334">
        <v>-2195.2579000000001</v>
      </c>
      <c r="BA9" s="334">
        <v>6247.8371999999999</v>
      </c>
      <c r="BB9" s="334">
        <v>0</v>
      </c>
      <c r="BC9" s="334">
        <v>6247.8371999999999</v>
      </c>
      <c r="BD9" s="334">
        <v>-6247.8371999999999</v>
      </c>
      <c r="BE9" s="472" t="s">
        <v>70</v>
      </c>
      <c r="BF9" s="472" t="s">
        <v>341</v>
      </c>
      <c r="BG9" s="472" t="s">
        <v>70</v>
      </c>
      <c r="BH9" s="472" t="s">
        <v>342</v>
      </c>
    </row>
    <row r="10" spans="1:60" s="8" customFormat="1" ht="15" customHeight="1" x14ac:dyDescent="0.2">
      <c r="A10" s="434" t="s">
        <v>102</v>
      </c>
      <c r="B10" s="191"/>
      <c r="C10" s="192"/>
      <c r="D10" s="193"/>
      <c r="E10" s="193"/>
      <c r="F10" s="604"/>
      <c r="G10" s="604"/>
      <c r="H10" s="604"/>
      <c r="I10" s="604"/>
      <c r="J10" s="604"/>
      <c r="K10" s="604"/>
      <c r="L10" s="604"/>
      <c r="M10" s="617"/>
      <c r="N10" s="619"/>
      <c r="O10" s="609"/>
      <c r="P10" s="609"/>
      <c r="Q10" s="611"/>
      <c r="R10" s="613"/>
      <c r="S10" s="615"/>
      <c r="T10" s="615"/>
      <c r="U10" s="606"/>
      <c r="V10" s="620"/>
      <c r="W10" s="589"/>
      <c r="X10" s="589"/>
      <c r="Y10" s="621"/>
      <c r="Z10" s="607"/>
      <c r="AA10" s="597"/>
      <c r="AB10" s="598"/>
      <c r="AC10" s="597"/>
      <c r="AD10" s="653"/>
      <c r="AE10" s="596"/>
      <c r="AK10" s="589"/>
      <c r="AL10" s="589"/>
      <c r="AM10"/>
      <c r="AN10" s="456" t="s">
        <v>186</v>
      </c>
      <c r="AO10" s="334">
        <v>2328.2629000000002</v>
      </c>
      <c r="AP10" s="334">
        <v>0</v>
      </c>
      <c r="AQ10" s="334">
        <v>2328.2629000000002</v>
      </c>
      <c r="AR10" s="334">
        <v>-2328.2629000000002</v>
      </c>
      <c r="AS10" s="334">
        <v>3027.1170999999999</v>
      </c>
      <c r="AT10" s="334">
        <v>0</v>
      </c>
      <c r="AU10" s="334">
        <v>3027.1170999999999</v>
      </c>
      <c r="AV10" s="334">
        <v>-3027.1170999999999</v>
      </c>
      <c r="AW10" s="334">
        <v>3027.1170999999999</v>
      </c>
      <c r="AX10" s="334">
        <v>0</v>
      </c>
      <c r="AY10" s="334">
        <v>3027.1170999999999</v>
      </c>
      <c r="AZ10" s="334">
        <v>-3027.1170999999999</v>
      </c>
      <c r="BA10" s="334">
        <v>2295.4132</v>
      </c>
      <c r="BB10" s="334">
        <v>0</v>
      </c>
      <c r="BC10" s="334">
        <v>2295.4132</v>
      </c>
      <c r="BD10" s="334">
        <v>-2295.4132</v>
      </c>
      <c r="BE10" s="472" t="s">
        <v>70</v>
      </c>
      <c r="BF10" s="472" t="s">
        <v>343</v>
      </c>
      <c r="BG10" s="472" t="s">
        <v>70</v>
      </c>
      <c r="BH10" s="472" t="s">
        <v>302</v>
      </c>
    </row>
    <row r="11" spans="1:60" s="8" customFormat="1" ht="15" customHeight="1" x14ac:dyDescent="0.2">
      <c r="A11" s="196" t="s">
        <v>159</v>
      </c>
      <c r="B11" s="191"/>
      <c r="C11" s="192"/>
      <c r="D11" s="193"/>
      <c r="E11" s="193"/>
      <c r="F11" s="603">
        <f>G11+H11</f>
        <v>475.26</v>
      </c>
      <c r="G11" s="603">
        <v>0</v>
      </c>
      <c r="H11" s="603">
        <v>475.26</v>
      </c>
      <c r="I11" s="603">
        <f>G11-H11</f>
        <v>-475.26</v>
      </c>
      <c r="J11" s="603">
        <f>K11+L11</f>
        <v>1683.97</v>
      </c>
      <c r="K11" s="603">
        <v>0</v>
      </c>
      <c r="L11" s="603">
        <v>1683.97</v>
      </c>
      <c r="M11" s="616">
        <f>K11-L11</f>
        <v>-1683.97</v>
      </c>
      <c r="N11" s="618">
        <f t="shared" ref="N11:N15" si="0">O11+P11</f>
        <v>2437.37</v>
      </c>
      <c r="O11" s="608">
        <v>0</v>
      </c>
      <c r="P11" s="608">
        <v>2437.37</v>
      </c>
      <c r="Q11" s="610">
        <f>O11-P11</f>
        <v>-2437.37</v>
      </c>
      <c r="R11" s="612">
        <f t="shared" ref="R11:R15" si="1">S11+T11</f>
        <v>2328.2629000000002</v>
      </c>
      <c r="S11" s="614">
        <v>0</v>
      </c>
      <c r="T11" s="614">
        <v>2328.2629000000002</v>
      </c>
      <c r="U11" s="605">
        <f>S11-T11</f>
        <v>-2328.2629000000002</v>
      </c>
      <c r="V11" s="620">
        <f t="shared" ref="V11:V15" si="2">W11+X11</f>
        <v>3027.1170999999999</v>
      </c>
      <c r="W11" s="589">
        <v>0</v>
      </c>
      <c r="X11" s="589">
        <v>3027.1170999999999</v>
      </c>
      <c r="Y11" s="621">
        <f t="shared" ref="Y11:Y15" si="3">W11-X11</f>
        <v>-3027.1170999999999</v>
      </c>
      <c r="Z11" s="607">
        <f>AA11+AC11</f>
        <v>2058.0477999999998</v>
      </c>
      <c r="AA11" s="597">
        <v>0</v>
      </c>
      <c r="AB11" s="598" t="s">
        <v>70</v>
      </c>
      <c r="AC11" s="597">
        <v>2058.0477999999998</v>
      </c>
      <c r="AD11" s="597">
        <f>(AC11-AL11)*100/AL11</f>
        <v>-28.081109484916855</v>
      </c>
      <c r="AE11" s="596">
        <f t="shared" ref="AE11:AE15" si="4">AA11-AC11</f>
        <v>-2058.0477999999998</v>
      </c>
      <c r="AK11" s="589">
        <v>0</v>
      </c>
      <c r="AL11" s="589">
        <v>2861.6233999999999</v>
      </c>
      <c r="AM11"/>
      <c r="AN11" s="456" t="s">
        <v>187</v>
      </c>
      <c r="AO11" s="334">
        <v>887.45140000000004</v>
      </c>
      <c r="AP11" s="334">
        <v>0</v>
      </c>
      <c r="AQ11" s="334">
        <v>887.45140000000004</v>
      </c>
      <c r="AR11" s="334">
        <v>-887.45140000000004</v>
      </c>
      <c r="AS11" s="334">
        <v>729.25469999999996</v>
      </c>
      <c r="AT11" s="334">
        <v>0</v>
      </c>
      <c r="AU11" s="334">
        <v>729.25469999999996</v>
      </c>
      <c r="AV11" s="334">
        <v>-729.25469999999996</v>
      </c>
      <c r="AW11" s="334">
        <v>729.25469999999996</v>
      </c>
      <c r="AX11" s="334">
        <v>0</v>
      </c>
      <c r="AY11" s="334">
        <v>729.25469999999996</v>
      </c>
      <c r="AZ11" s="334">
        <v>-729.25469999999996</v>
      </c>
      <c r="BA11" s="334">
        <v>583.12599999999998</v>
      </c>
      <c r="BB11" s="334">
        <v>0</v>
      </c>
      <c r="BC11" s="334">
        <v>583.12599999999998</v>
      </c>
      <c r="BD11" s="334">
        <v>-583.12599999999998</v>
      </c>
      <c r="BE11" s="472" t="s">
        <v>70</v>
      </c>
      <c r="BF11" s="472" t="s">
        <v>344</v>
      </c>
      <c r="BG11" s="472" t="s">
        <v>70</v>
      </c>
      <c r="BH11" s="472" t="s">
        <v>345</v>
      </c>
    </row>
    <row r="12" spans="1:60" s="8" customFormat="1" ht="15" customHeight="1" x14ac:dyDescent="0.2">
      <c r="A12" s="197" t="s">
        <v>101</v>
      </c>
      <c r="B12" s="191"/>
      <c r="C12" s="192"/>
      <c r="D12" s="193"/>
      <c r="E12" s="193"/>
      <c r="F12" s="604"/>
      <c r="G12" s="604"/>
      <c r="H12" s="604"/>
      <c r="I12" s="604"/>
      <c r="J12" s="604"/>
      <c r="K12" s="604"/>
      <c r="L12" s="604"/>
      <c r="M12" s="617"/>
      <c r="N12" s="619"/>
      <c r="O12" s="609"/>
      <c r="P12" s="609"/>
      <c r="Q12" s="611"/>
      <c r="R12" s="613"/>
      <c r="S12" s="615"/>
      <c r="T12" s="615"/>
      <c r="U12" s="606"/>
      <c r="V12" s="620"/>
      <c r="W12" s="589"/>
      <c r="X12" s="589"/>
      <c r="Y12" s="621"/>
      <c r="Z12" s="607"/>
      <c r="AA12" s="597"/>
      <c r="AB12" s="598"/>
      <c r="AC12" s="597"/>
      <c r="AD12" s="597"/>
      <c r="AE12" s="596"/>
      <c r="AK12" s="589"/>
      <c r="AL12" s="589"/>
      <c r="AM12"/>
      <c r="AN12" s="456" t="s">
        <v>188</v>
      </c>
      <c r="AO12" s="334">
        <v>0.91049999999999998</v>
      </c>
      <c r="AP12" s="334">
        <v>0</v>
      </c>
      <c r="AQ12" s="334">
        <v>0.91049999999999998</v>
      </c>
      <c r="AR12" s="334">
        <v>-0.91049999999999998</v>
      </c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472" t="s">
        <v>70</v>
      </c>
      <c r="BF12" s="472" t="s">
        <v>70</v>
      </c>
      <c r="BG12" s="472" t="s">
        <v>70</v>
      </c>
      <c r="BH12" s="472" t="s">
        <v>70</v>
      </c>
    </row>
    <row r="13" spans="1:60" s="8" customFormat="1" ht="15" customHeight="1" x14ac:dyDescent="0.2">
      <c r="A13" s="196" t="s">
        <v>103</v>
      </c>
      <c r="B13" s="191"/>
      <c r="C13" s="192"/>
      <c r="D13" s="193"/>
      <c r="E13" s="193"/>
      <c r="F13" s="603">
        <f>G13+H13</f>
        <v>442.17</v>
      </c>
      <c r="G13" s="603">
        <v>0</v>
      </c>
      <c r="H13" s="603">
        <v>442.17</v>
      </c>
      <c r="I13" s="603">
        <f>G13-H13</f>
        <v>-442.17</v>
      </c>
      <c r="J13" s="603">
        <f>K13+L13</f>
        <v>703.65</v>
      </c>
      <c r="K13" s="603">
        <v>0</v>
      </c>
      <c r="L13" s="603">
        <v>703.65</v>
      </c>
      <c r="M13" s="616">
        <f>K13-L13</f>
        <v>-703.65</v>
      </c>
      <c r="N13" s="618">
        <f t="shared" si="0"/>
        <v>643.46</v>
      </c>
      <c r="O13" s="608">
        <v>0</v>
      </c>
      <c r="P13" s="608">
        <v>643.46</v>
      </c>
      <c r="Q13" s="610">
        <f>O13-P13</f>
        <v>-643.46</v>
      </c>
      <c r="R13" s="612">
        <f>S13+T13</f>
        <v>887.45140000000004</v>
      </c>
      <c r="S13" s="614">
        <v>0</v>
      </c>
      <c r="T13" s="614">
        <v>887.45140000000004</v>
      </c>
      <c r="U13" s="605">
        <f>S13-T13</f>
        <v>-887.45140000000004</v>
      </c>
      <c r="V13" s="620">
        <f t="shared" si="2"/>
        <v>729.25469999999996</v>
      </c>
      <c r="W13" s="589">
        <v>0</v>
      </c>
      <c r="X13" s="589">
        <v>729.25469999999996</v>
      </c>
      <c r="Y13" s="621">
        <f t="shared" si="3"/>
        <v>-729.25469999999996</v>
      </c>
      <c r="Z13" s="607">
        <f>AA13+AC13</f>
        <v>532.12329999999997</v>
      </c>
      <c r="AA13" s="597">
        <v>0</v>
      </c>
      <c r="AB13" s="598" t="s">
        <v>70</v>
      </c>
      <c r="AC13" s="597">
        <v>532.12329999999997</v>
      </c>
      <c r="AD13" s="597">
        <f>(AC13-AL13)*100/AL13</f>
        <v>-22.947426555286828</v>
      </c>
      <c r="AE13" s="596">
        <f t="shared" si="4"/>
        <v>-532.12329999999997</v>
      </c>
      <c r="AK13" s="589">
        <v>0</v>
      </c>
      <c r="AL13" s="589">
        <v>690.59770000000003</v>
      </c>
      <c r="AM13"/>
      <c r="AN13" s="470"/>
      <c r="AO13" s="457" t="s">
        <v>189</v>
      </c>
      <c r="AP13" s="457" t="s">
        <v>190</v>
      </c>
      <c r="AQ13" s="457" t="s">
        <v>191</v>
      </c>
      <c r="AR13" s="457" t="s">
        <v>192</v>
      </c>
      <c r="AS13" s="457" t="s">
        <v>193</v>
      </c>
      <c r="AT13" s="457" t="s">
        <v>194</v>
      </c>
      <c r="AU13" s="457" t="s">
        <v>195</v>
      </c>
      <c r="AV13" s="457" t="s">
        <v>196</v>
      </c>
      <c r="AW13" s="457" t="s">
        <v>193</v>
      </c>
      <c r="AX13" s="457" t="s">
        <v>194</v>
      </c>
      <c r="AY13" s="457" t="s">
        <v>195</v>
      </c>
      <c r="AZ13" s="457" t="s">
        <v>196</v>
      </c>
      <c r="BA13" s="457" t="s">
        <v>346</v>
      </c>
      <c r="BB13" s="457" t="s">
        <v>347</v>
      </c>
      <c r="BC13" s="457" t="s">
        <v>348</v>
      </c>
      <c r="BD13" s="457" t="s">
        <v>349</v>
      </c>
      <c r="BE13" s="470" t="s">
        <v>317</v>
      </c>
      <c r="BF13" s="470" t="s">
        <v>318</v>
      </c>
      <c r="BG13" s="470" t="s">
        <v>319</v>
      </c>
      <c r="BH13" s="470" t="s">
        <v>320</v>
      </c>
    </row>
    <row r="14" spans="1:60" s="8" customFormat="1" ht="15" customHeight="1" x14ac:dyDescent="0.2">
      <c r="A14" s="197" t="s">
        <v>104</v>
      </c>
      <c r="B14" s="191"/>
      <c r="C14" s="192"/>
      <c r="D14" s="193"/>
      <c r="E14" s="193"/>
      <c r="F14" s="604"/>
      <c r="G14" s="604"/>
      <c r="H14" s="604"/>
      <c r="I14" s="604"/>
      <c r="J14" s="604"/>
      <c r="K14" s="604"/>
      <c r="L14" s="604"/>
      <c r="M14" s="617"/>
      <c r="N14" s="619"/>
      <c r="O14" s="609"/>
      <c r="P14" s="609"/>
      <c r="Q14" s="611"/>
      <c r="R14" s="613"/>
      <c r="S14" s="615"/>
      <c r="T14" s="615"/>
      <c r="U14" s="606"/>
      <c r="V14" s="620"/>
      <c r="W14" s="589"/>
      <c r="X14" s="589"/>
      <c r="Y14" s="621"/>
      <c r="Z14" s="607"/>
      <c r="AA14" s="597"/>
      <c r="AB14" s="598"/>
      <c r="AC14" s="597"/>
      <c r="AD14" s="597"/>
      <c r="AE14" s="596"/>
      <c r="AK14" s="589"/>
      <c r="AL14" s="589"/>
      <c r="AM14" s="590" t="s">
        <v>197</v>
      </c>
      <c r="AN14" s="590"/>
      <c r="AO14" s="590"/>
      <c r="AP14" s="590"/>
      <c r="AQ14" s="590"/>
      <c r="AR14" s="590"/>
      <c r="AS14" s="590"/>
      <c r="AT14" s="590"/>
      <c r="AU14" s="590"/>
      <c r="AV14" s="590"/>
      <c r="AW14" s="590"/>
      <c r="AX14" s="590"/>
      <c r="AY14" s="590"/>
      <c r="AZ14" s="590"/>
      <c r="BA14" s="590"/>
      <c r="BB14" s="590"/>
      <c r="BC14" s="590"/>
      <c r="BD14" s="590"/>
      <c r="BE14" s="590"/>
      <c r="BF14" s="590"/>
      <c r="BG14" s="590"/>
      <c r="BH14" s="590"/>
    </row>
    <row r="15" spans="1:60" s="8" customFormat="1" ht="15" customHeight="1" x14ac:dyDescent="0.2">
      <c r="A15" s="309" t="s">
        <v>105</v>
      </c>
      <c r="B15" s="191"/>
      <c r="C15" s="192"/>
      <c r="D15" s="193"/>
      <c r="E15" s="193"/>
      <c r="F15" s="603">
        <f>G15+H15</f>
        <v>52.47</v>
      </c>
      <c r="G15" s="603">
        <v>0</v>
      </c>
      <c r="H15" s="603">
        <v>52.47</v>
      </c>
      <c r="I15" s="603">
        <f>G15-H15</f>
        <v>-52.47</v>
      </c>
      <c r="J15" s="603">
        <f>K15+L15</f>
        <v>0</v>
      </c>
      <c r="K15" s="603">
        <v>0</v>
      </c>
      <c r="L15" s="603">
        <v>0</v>
      </c>
      <c r="M15" s="616">
        <f>K15-L15</f>
        <v>0</v>
      </c>
      <c r="N15" s="618">
        <f t="shared" si="0"/>
        <v>0</v>
      </c>
      <c r="O15" s="608">
        <v>0</v>
      </c>
      <c r="P15" s="608">
        <v>0</v>
      </c>
      <c r="Q15" s="610">
        <f>O15-P15</f>
        <v>0</v>
      </c>
      <c r="R15" s="612">
        <f t="shared" si="1"/>
        <v>0.91049999999999998</v>
      </c>
      <c r="S15" s="614">
        <v>0</v>
      </c>
      <c r="T15" s="614">
        <v>0.91049999999999998</v>
      </c>
      <c r="U15" s="605">
        <f>S15-T15</f>
        <v>-0.91049999999999998</v>
      </c>
      <c r="V15" s="620">
        <f t="shared" si="2"/>
        <v>0</v>
      </c>
      <c r="W15" s="589">
        <v>0</v>
      </c>
      <c r="X15" s="589">
        <v>0</v>
      </c>
      <c r="Y15" s="621">
        <f t="shared" si="3"/>
        <v>0</v>
      </c>
      <c r="Z15" s="607">
        <f>AA15+AC15</f>
        <v>0</v>
      </c>
      <c r="AA15" s="597">
        <v>0</v>
      </c>
      <c r="AB15" s="598" t="s">
        <v>70</v>
      </c>
      <c r="AC15" s="597">
        <v>0</v>
      </c>
      <c r="AD15" s="598" t="s">
        <v>70</v>
      </c>
      <c r="AE15" s="596">
        <f t="shared" si="4"/>
        <v>0</v>
      </c>
      <c r="AK15" s="589">
        <v>0</v>
      </c>
      <c r="AL15" s="589">
        <v>0</v>
      </c>
      <c r="AM15"/>
      <c r="AN15" s="456" t="s">
        <v>198</v>
      </c>
      <c r="AO15" s="334">
        <v>64155.127200000003</v>
      </c>
      <c r="AP15" s="334">
        <v>503.56200000000001</v>
      </c>
      <c r="AQ15" s="334">
        <v>63651.565199999997</v>
      </c>
      <c r="AR15" s="334">
        <v>-63148.003199999999</v>
      </c>
      <c r="AS15" s="334">
        <v>75504.484500000006</v>
      </c>
      <c r="AT15" s="334">
        <v>620.44150000000002</v>
      </c>
      <c r="AU15" s="334">
        <v>74884.0429</v>
      </c>
      <c r="AV15" s="334">
        <v>-74263.601299999995</v>
      </c>
      <c r="AW15" s="334">
        <v>75504.484500000006</v>
      </c>
      <c r="AX15" s="334">
        <v>620.44150000000002</v>
      </c>
      <c r="AY15" s="334">
        <v>74884.0429</v>
      </c>
      <c r="AZ15" s="334">
        <v>-74263.601299999995</v>
      </c>
      <c r="BA15" s="334">
        <v>78125.400899999993</v>
      </c>
      <c r="BB15" s="334">
        <v>930.76239999999996</v>
      </c>
      <c r="BC15" s="334">
        <v>77194.638399999996</v>
      </c>
      <c r="BD15" s="334">
        <v>-76263.875899999999</v>
      </c>
      <c r="BE15" s="472" t="s">
        <v>321</v>
      </c>
      <c r="BF15" s="472" t="s">
        <v>350</v>
      </c>
      <c r="BG15" s="472" t="s">
        <v>323</v>
      </c>
      <c r="BH15" s="472" t="s">
        <v>351</v>
      </c>
    </row>
    <row r="16" spans="1:60" s="8" customFormat="1" ht="15" customHeight="1" x14ac:dyDescent="0.2">
      <c r="A16" s="435" t="s">
        <v>111</v>
      </c>
      <c r="B16" s="191"/>
      <c r="C16" s="192"/>
      <c r="D16" s="193"/>
      <c r="E16" s="193"/>
      <c r="F16" s="604"/>
      <c r="G16" s="604"/>
      <c r="H16" s="604"/>
      <c r="I16" s="604"/>
      <c r="J16" s="604"/>
      <c r="K16" s="604"/>
      <c r="L16" s="604"/>
      <c r="M16" s="617"/>
      <c r="N16" s="619"/>
      <c r="O16" s="609"/>
      <c r="P16" s="609"/>
      <c r="Q16" s="611"/>
      <c r="R16" s="613"/>
      <c r="S16" s="615"/>
      <c r="T16" s="615"/>
      <c r="U16" s="606"/>
      <c r="V16" s="620"/>
      <c r="W16" s="589"/>
      <c r="X16" s="589"/>
      <c r="Y16" s="621"/>
      <c r="Z16" s="607"/>
      <c r="AA16" s="597"/>
      <c r="AB16" s="598"/>
      <c r="AC16" s="597"/>
      <c r="AD16" s="598"/>
      <c r="AE16" s="596"/>
      <c r="AK16" s="589"/>
      <c r="AL16" s="589"/>
      <c r="AM16"/>
      <c r="AN16" s="456" t="s">
        <v>199</v>
      </c>
      <c r="AO16" s="334">
        <v>292.58170000000001</v>
      </c>
      <c r="AP16" s="334">
        <v>0</v>
      </c>
      <c r="AQ16" s="334">
        <v>292.58170000000001</v>
      </c>
      <c r="AR16" s="334">
        <v>-292.58170000000001</v>
      </c>
      <c r="AS16" s="334">
        <v>320.13260000000002</v>
      </c>
      <c r="AT16" s="334">
        <v>0</v>
      </c>
      <c r="AU16" s="334">
        <v>320.13260000000002</v>
      </c>
      <c r="AV16" s="334">
        <v>-320.13260000000002</v>
      </c>
      <c r="AW16" s="334">
        <v>320.13260000000002</v>
      </c>
      <c r="AX16" s="334">
        <v>0</v>
      </c>
      <c r="AY16" s="334">
        <v>320.13260000000002</v>
      </c>
      <c r="AZ16" s="334">
        <v>-320.13260000000002</v>
      </c>
      <c r="BA16" s="334">
        <v>546.44380000000001</v>
      </c>
      <c r="BB16" s="334">
        <v>0</v>
      </c>
      <c r="BC16" s="334">
        <v>546.44380000000001</v>
      </c>
      <c r="BD16" s="334">
        <v>-546.44380000000001</v>
      </c>
      <c r="BE16" s="472" t="s">
        <v>70</v>
      </c>
      <c r="BF16" s="472" t="s">
        <v>352</v>
      </c>
      <c r="BG16" s="472" t="s">
        <v>70</v>
      </c>
      <c r="BH16" s="472" t="s">
        <v>353</v>
      </c>
    </row>
    <row r="17" spans="1:60" s="8" customFormat="1" ht="14.25" customHeight="1" x14ac:dyDescent="0.2">
      <c r="A17" s="198" t="s">
        <v>5</v>
      </c>
      <c r="B17" s="199"/>
      <c r="C17" s="200"/>
      <c r="D17" s="201"/>
      <c r="E17" s="201"/>
      <c r="F17" s="202"/>
      <c r="G17" s="202"/>
      <c r="H17" s="202"/>
      <c r="I17" s="202"/>
      <c r="J17" s="202"/>
      <c r="K17" s="202"/>
      <c r="L17" s="202"/>
      <c r="M17" s="220"/>
      <c r="N17" s="224">
        <f t="shared" ref="N17:AA17" si="5">SUM(N8:N16)</f>
        <v>84540.273000000001</v>
      </c>
      <c r="O17" s="199">
        <f t="shared" si="5"/>
        <v>80552.533899999995</v>
      </c>
      <c r="P17" s="199">
        <f t="shared" si="5"/>
        <v>3987.7390999999998</v>
      </c>
      <c r="Q17" s="203">
        <f t="shared" si="5"/>
        <v>76564.794799999989</v>
      </c>
      <c r="R17" s="221">
        <f t="shared" si="5"/>
        <v>79517.49530000001</v>
      </c>
      <c r="S17" s="199">
        <f t="shared" si="5"/>
        <v>74578.090500000006</v>
      </c>
      <c r="T17" s="199">
        <f t="shared" si="5"/>
        <v>4939.4048000000003</v>
      </c>
      <c r="U17" s="225">
        <f t="shared" si="5"/>
        <v>69638.685700000002</v>
      </c>
      <c r="V17" s="405">
        <f t="shared" si="5"/>
        <v>77963.344500000007</v>
      </c>
      <c r="W17" s="401">
        <f t="shared" si="5"/>
        <v>71936.784</v>
      </c>
      <c r="X17" s="401">
        <f t="shared" si="5"/>
        <v>6026.5604999999996</v>
      </c>
      <c r="Y17" s="406">
        <f t="shared" si="5"/>
        <v>65910.223499999993</v>
      </c>
      <c r="Z17" s="487">
        <f t="shared" ref="Z17" si="6">SUM(Z8:Z16)</f>
        <v>73262.6198</v>
      </c>
      <c r="AA17" s="488">
        <f t="shared" si="5"/>
        <v>64608.323400000001</v>
      </c>
      <c r="AB17" s="489">
        <f>(AA17-AK17)*100/AK17</f>
        <v>-2.7419374549067199</v>
      </c>
      <c r="AC17" s="488">
        <f>SUM(AC8:AC16)</f>
        <v>8654.2963999999993</v>
      </c>
      <c r="AD17" s="490">
        <f>(AC17-AL17)*100/AL17</f>
        <v>54.576037937454693</v>
      </c>
      <c r="AE17" s="491">
        <f>SUM(AE8:AE16)</f>
        <v>55954.027000000002</v>
      </c>
      <c r="AK17" s="401">
        <f t="shared" ref="AK17:AL17" si="7">SUM(AK8:AK16)</f>
        <v>66429.786600000007</v>
      </c>
      <c r="AL17" s="401">
        <f t="shared" si="7"/>
        <v>5598.7309000000005</v>
      </c>
      <c r="AM17"/>
      <c r="AN17" s="470"/>
      <c r="AO17" s="457" t="s">
        <v>200</v>
      </c>
      <c r="AP17" s="457" t="s">
        <v>201</v>
      </c>
      <c r="AQ17" s="457" t="s">
        <v>202</v>
      </c>
      <c r="AR17" s="457" t="s">
        <v>203</v>
      </c>
      <c r="AS17" s="457" t="s">
        <v>204</v>
      </c>
      <c r="AT17" s="457" t="s">
        <v>205</v>
      </c>
      <c r="AU17" s="457" t="s">
        <v>206</v>
      </c>
      <c r="AV17" s="457" t="s">
        <v>207</v>
      </c>
      <c r="AW17" s="457" t="s">
        <v>204</v>
      </c>
      <c r="AX17" s="457" t="s">
        <v>205</v>
      </c>
      <c r="AY17" s="457" t="s">
        <v>206</v>
      </c>
      <c r="AZ17" s="457" t="s">
        <v>207</v>
      </c>
      <c r="BA17" s="457" t="s">
        <v>354</v>
      </c>
      <c r="BB17" s="457" t="s">
        <v>355</v>
      </c>
      <c r="BC17" s="457" t="s">
        <v>356</v>
      </c>
      <c r="BD17" s="457" t="s">
        <v>357</v>
      </c>
      <c r="BE17" s="470" t="s">
        <v>321</v>
      </c>
      <c r="BF17" s="470" t="s">
        <v>322</v>
      </c>
      <c r="BG17" s="470" t="s">
        <v>323</v>
      </c>
      <c r="BH17" s="470" t="s">
        <v>324</v>
      </c>
    </row>
    <row r="18" spans="1:60" s="8" customFormat="1" ht="16.5" customHeight="1" x14ac:dyDescent="0.2">
      <c r="A18" s="637" t="s">
        <v>116</v>
      </c>
      <c r="B18" s="638"/>
      <c r="C18" s="638"/>
      <c r="D18" s="638"/>
      <c r="E18" s="638"/>
      <c r="F18" s="638"/>
      <c r="G18" s="638"/>
      <c r="H18" s="638"/>
      <c r="I18" s="638"/>
      <c r="J18" s="638"/>
      <c r="K18" s="638"/>
      <c r="L18" s="638"/>
      <c r="M18" s="638"/>
      <c r="N18" s="638"/>
      <c r="O18" s="638"/>
      <c r="P18" s="638"/>
      <c r="Q18" s="638"/>
      <c r="R18" s="638"/>
      <c r="S18" s="638"/>
      <c r="T18" s="638"/>
      <c r="U18" s="638"/>
      <c r="V18" s="638"/>
      <c r="W18" s="638"/>
      <c r="X18" s="638"/>
      <c r="Y18" s="638"/>
      <c r="Z18" s="639"/>
      <c r="AA18" s="639"/>
      <c r="AB18" s="639"/>
      <c r="AC18" s="639"/>
      <c r="AD18" s="639"/>
      <c r="AE18" s="640"/>
      <c r="AM18" s="590" t="s">
        <v>208</v>
      </c>
      <c r="AN18" s="590"/>
      <c r="AO18" s="590"/>
      <c r="AP18" s="590"/>
      <c r="AQ18" s="590"/>
      <c r="AR18" s="590"/>
      <c r="AS18" s="590"/>
      <c r="AT18" s="590"/>
      <c r="AU18" s="590"/>
      <c r="AV18" s="590"/>
      <c r="AW18" s="590"/>
      <c r="AX18" s="590"/>
      <c r="AY18" s="590"/>
      <c r="AZ18" s="590"/>
      <c r="BA18" s="590"/>
      <c r="BB18" s="590"/>
      <c r="BC18" s="590"/>
      <c r="BD18" s="590"/>
      <c r="BE18" s="590"/>
      <c r="BF18" s="590"/>
      <c r="BG18" s="590"/>
      <c r="BH18" s="590"/>
    </row>
    <row r="19" spans="1:60" ht="21" customHeight="1" x14ac:dyDescent="0.5">
      <c r="A19" s="282" t="s">
        <v>106</v>
      </c>
      <c r="B19" s="191">
        <f>C19+D19</f>
        <v>114647.29</v>
      </c>
      <c r="C19" s="204">
        <v>1658.01</v>
      </c>
      <c r="D19" s="205">
        <v>112989.28</v>
      </c>
      <c r="E19" s="191">
        <f>C19-D19-0.01</f>
        <v>-111331.28</v>
      </c>
      <c r="F19" s="206">
        <f>G19+H19</f>
        <v>116553.77</v>
      </c>
      <c r="G19" s="207">
        <v>1431.44</v>
      </c>
      <c r="H19" s="208">
        <v>115122.33</v>
      </c>
      <c r="I19" s="206">
        <f>G19-H19</f>
        <v>-113690.89</v>
      </c>
      <c r="J19" s="206">
        <f>K19+L19</f>
        <v>112457.77</v>
      </c>
      <c r="K19" s="209">
        <v>1123.4100000000001</v>
      </c>
      <c r="L19" s="210">
        <v>111334.36</v>
      </c>
      <c r="M19" s="226">
        <f>K19-L19</f>
        <v>-110210.95</v>
      </c>
      <c r="N19" s="228">
        <f>O19+P19</f>
        <v>70053.64</v>
      </c>
      <c r="O19" s="210">
        <v>694.46</v>
      </c>
      <c r="P19" s="210">
        <v>69359.179999999993</v>
      </c>
      <c r="Q19" s="227">
        <f>O19-P19</f>
        <v>-68664.719999999987</v>
      </c>
      <c r="R19" s="351">
        <f>S19+T19</f>
        <v>64155.127199999995</v>
      </c>
      <c r="S19" s="337">
        <v>503.56200000000001</v>
      </c>
      <c r="T19" s="337">
        <v>63651.565199999997</v>
      </c>
      <c r="U19" s="346">
        <f>S19-T19</f>
        <v>-63148.003199999999</v>
      </c>
      <c r="V19" s="404">
        <f>W19+X19</f>
        <v>75504.484400000001</v>
      </c>
      <c r="W19" s="407">
        <v>620.44150000000002</v>
      </c>
      <c r="X19" s="407">
        <v>74884.0429</v>
      </c>
      <c r="Y19" s="410">
        <f>W19-X19</f>
        <v>-74263.6014</v>
      </c>
      <c r="Z19" s="492">
        <f>AA19+AC19</f>
        <v>72488.551600000006</v>
      </c>
      <c r="AA19" s="477">
        <v>796.62760000000003</v>
      </c>
      <c r="AB19" s="485">
        <f>(AA19-AK19)*100/AK19</f>
        <v>39.812970213638273</v>
      </c>
      <c r="AC19" s="477">
        <v>71691.923999999999</v>
      </c>
      <c r="AD19" s="485">
        <f>(AC19-AL19)*100/AL19</f>
        <v>5.1159778677056513</v>
      </c>
      <c r="AE19" s="493">
        <f>AA19-AC19</f>
        <v>-70895.296399999992</v>
      </c>
      <c r="AF19" s="342" t="e">
        <f>(#REF!-#REF!)*100/#REF!</f>
        <v>#REF!</v>
      </c>
      <c r="AG19" s="7">
        <v>702.67</v>
      </c>
      <c r="AH19" s="7" t="e">
        <f>+(AG19-AF19)/AF19*100</f>
        <v>#REF!</v>
      </c>
      <c r="AI19" s="7"/>
      <c r="AJ19" s="7"/>
      <c r="AK19" s="334">
        <v>569.78089999999997</v>
      </c>
      <c r="AL19" s="334">
        <v>68202.689499999993</v>
      </c>
      <c r="AM19"/>
      <c r="AN19" s="456" t="s">
        <v>209</v>
      </c>
      <c r="AO19" s="334">
        <v>25800.011299999998</v>
      </c>
      <c r="AP19" s="334">
        <v>20324.847000000002</v>
      </c>
      <c r="AQ19" s="334">
        <v>5475.1642000000002</v>
      </c>
      <c r="AR19" s="334">
        <v>14849.682699999999</v>
      </c>
      <c r="AS19" s="334">
        <v>21703.692500000001</v>
      </c>
      <c r="AT19" s="334">
        <v>16734.167700000002</v>
      </c>
      <c r="AU19" s="334">
        <v>4969.5246999999999</v>
      </c>
      <c r="AV19" s="334">
        <v>11764.643</v>
      </c>
      <c r="AW19" s="334">
        <v>21703.692500000001</v>
      </c>
      <c r="AX19" s="334">
        <v>16734.167700000002</v>
      </c>
      <c r="AY19" s="334">
        <v>4969.5246999999999</v>
      </c>
      <c r="AZ19" s="334">
        <v>11764.643</v>
      </c>
      <c r="BA19" s="334">
        <v>20236.459500000001</v>
      </c>
      <c r="BB19" s="334">
        <v>15473.3851</v>
      </c>
      <c r="BC19" s="334">
        <v>4763.0743000000002</v>
      </c>
      <c r="BD19" s="334">
        <v>10710.310799999999</v>
      </c>
      <c r="BE19" s="472" t="s">
        <v>325</v>
      </c>
      <c r="BF19" s="472" t="s">
        <v>326</v>
      </c>
      <c r="BG19" s="472" t="s">
        <v>327</v>
      </c>
      <c r="BH19" s="472" t="s">
        <v>328</v>
      </c>
    </row>
    <row r="20" spans="1:60" ht="15" customHeight="1" x14ac:dyDescent="0.5">
      <c r="A20" s="283" t="s">
        <v>107</v>
      </c>
      <c r="B20" s="191"/>
      <c r="C20" s="192"/>
      <c r="D20" s="193"/>
      <c r="E20" s="193"/>
      <c r="F20" s="603">
        <f>G20+H20</f>
        <v>13.48</v>
      </c>
      <c r="G20" s="603">
        <v>0</v>
      </c>
      <c r="H20" s="603">
        <v>13.48</v>
      </c>
      <c r="I20" s="603">
        <f>G20-H20</f>
        <v>-13.48</v>
      </c>
      <c r="J20" s="603">
        <f>K20+L20</f>
        <v>74.209999999999994</v>
      </c>
      <c r="K20" s="603">
        <v>0</v>
      </c>
      <c r="L20" s="603">
        <v>74.209999999999994</v>
      </c>
      <c r="M20" s="616">
        <f>K20-L20</f>
        <v>-74.209999999999994</v>
      </c>
      <c r="N20" s="630">
        <f>O20+P20</f>
        <v>216.83</v>
      </c>
      <c r="O20" s="608">
        <v>0</v>
      </c>
      <c r="P20" s="608">
        <v>216.83</v>
      </c>
      <c r="Q20" s="610">
        <f>O20-P20</f>
        <v>-216.83</v>
      </c>
      <c r="R20" s="626">
        <f t="shared" ref="R20" si="8">S20+T20</f>
        <v>292.58170000000001</v>
      </c>
      <c r="S20" s="628">
        <v>0</v>
      </c>
      <c r="T20" s="628">
        <v>292.58170000000001</v>
      </c>
      <c r="U20" s="624">
        <f t="shared" ref="U20" si="9">S20-T20</f>
        <v>-292.58170000000001</v>
      </c>
      <c r="V20" s="620">
        <f t="shared" ref="V20" si="10">W20+X20</f>
        <v>320.13260000000002</v>
      </c>
      <c r="W20" s="589">
        <v>0</v>
      </c>
      <c r="X20" s="589">
        <v>320.13260000000002</v>
      </c>
      <c r="Y20" s="621">
        <f t="shared" ref="Y20" si="11">W20-X20</f>
        <v>-320.13260000000002</v>
      </c>
      <c r="Z20" s="649">
        <f>AA20+AC20</f>
        <v>472.6574</v>
      </c>
      <c r="AA20" s="597">
        <v>0</v>
      </c>
      <c r="AB20" s="598" t="s">
        <v>70</v>
      </c>
      <c r="AC20" s="597">
        <v>472.6574</v>
      </c>
      <c r="AD20" s="652">
        <f>(AC20-AL20)*100/AL20</f>
        <v>79.983100550203133</v>
      </c>
      <c r="AE20" s="596">
        <f>AA20-AC20</f>
        <v>-472.6574</v>
      </c>
      <c r="AF20" s="342"/>
      <c r="AG20" s="7"/>
      <c r="AH20" s="7"/>
      <c r="AI20" s="7"/>
      <c r="AJ20" s="7"/>
      <c r="AK20" s="589">
        <v>0</v>
      </c>
      <c r="AL20" s="589">
        <v>262.6121</v>
      </c>
      <c r="AM20"/>
      <c r="AN20" s="470"/>
      <c r="AO20" s="457" t="s">
        <v>210</v>
      </c>
      <c r="AP20" s="457" t="s">
        <v>211</v>
      </c>
      <c r="AQ20" s="457" t="s">
        <v>212</v>
      </c>
      <c r="AR20" s="457" t="s">
        <v>213</v>
      </c>
      <c r="AS20" s="457" t="s">
        <v>214</v>
      </c>
      <c r="AT20" s="457" t="s">
        <v>215</v>
      </c>
      <c r="AU20" s="457" t="s">
        <v>216</v>
      </c>
      <c r="AV20" s="457" t="s">
        <v>217</v>
      </c>
      <c r="AW20" s="457" t="s">
        <v>214</v>
      </c>
      <c r="AX20" s="457" t="s">
        <v>215</v>
      </c>
      <c r="AY20" s="457" t="s">
        <v>216</v>
      </c>
      <c r="AZ20" s="457" t="s">
        <v>217</v>
      </c>
      <c r="BA20" s="457" t="s">
        <v>358</v>
      </c>
      <c r="BB20" s="457" t="s">
        <v>359</v>
      </c>
      <c r="BC20" s="457" t="s">
        <v>360</v>
      </c>
      <c r="BD20" s="457" t="s">
        <v>361</v>
      </c>
      <c r="BE20" s="470" t="s">
        <v>325</v>
      </c>
      <c r="BF20" s="470" t="s">
        <v>326</v>
      </c>
      <c r="BG20" s="470" t="s">
        <v>327</v>
      </c>
      <c r="BH20" s="470" t="s">
        <v>328</v>
      </c>
    </row>
    <row r="21" spans="1:60" ht="15" customHeight="1" x14ac:dyDescent="0.5">
      <c r="A21" s="284" t="s">
        <v>108</v>
      </c>
      <c r="B21" s="191"/>
      <c r="C21" s="192"/>
      <c r="D21" s="193"/>
      <c r="E21" s="193"/>
      <c r="F21" s="604"/>
      <c r="G21" s="604"/>
      <c r="H21" s="604"/>
      <c r="I21" s="604"/>
      <c r="J21" s="604"/>
      <c r="K21" s="604"/>
      <c r="L21" s="604"/>
      <c r="M21" s="617"/>
      <c r="N21" s="631"/>
      <c r="O21" s="609"/>
      <c r="P21" s="609"/>
      <c r="Q21" s="611"/>
      <c r="R21" s="627"/>
      <c r="S21" s="629"/>
      <c r="T21" s="629"/>
      <c r="U21" s="625"/>
      <c r="V21" s="620"/>
      <c r="W21" s="589"/>
      <c r="X21" s="589"/>
      <c r="Y21" s="621"/>
      <c r="Z21" s="649"/>
      <c r="AA21" s="597"/>
      <c r="AB21" s="598"/>
      <c r="AC21" s="597"/>
      <c r="AD21" s="652"/>
      <c r="AE21" s="596"/>
      <c r="AF21" s="342" t="e">
        <f>(#REF!-#REF!)*100/#REF!</f>
        <v>#REF!</v>
      </c>
      <c r="AG21" s="7">
        <v>702.67</v>
      </c>
      <c r="AH21" s="7" t="e">
        <f>+(AG21-AF21)/AF21*100</f>
        <v>#REF!</v>
      </c>
      <c r="AI21" s="7"/>
      <c r="AJ21" s="7"/>
      <c r="AK21" s="589"/>
      <c r="AL21" s="589"/>
      <c r="AM21" s="590" t="s">
        <v>218</v>
      </c>
      <c r="AN21" s="590"/>
      <c r="AO21" s="590"/>
      <c r="AP21" s="590"/>
      <c r="AQ21" s="590"/>
      <c r="AR21" s="590"/>
      <c r="AS21" s="590"/>
      <c r="AT21" s="590"/>
      <c r="AU21" s="590"/>
      <c r="AV21" s="590"/>
      <c r="AW21" s="590"/>
      <c r="AX21" s="590"/>
      <c r="AY21" s="590"/>
      <c r="AZ21" s="590"/>
      <c r="BA21" s="590"/>
      <c r="BB21" s="590"/>
      <c r="BC21" s="590"/>
      <c r="BD21" s="590"/>
      <c r="BE21" s="590"/>
      <c r="BF21" s="590"/>
      <c r="BG21" s="590"/>
      <c r="BH21" s="590"/>
    </row>
    <row r="22" spans="1:60" ht="14.25" customHeight="1" x14ac:dyDescent="0.5">
      <c r="A22" s="285" t="s">
        <v>5</v>
      </c>
      <c r="B22" s="286"/>
      <c r="C22" s="287"/>
      <c r="D22" s="288"/>
      <c r="E22" s="288"/>
      <c r="F22" s="289"/>
      <c r="G22" s="289"/>
      <c r="H22" s="289"/>
      <c r="I22" s="289"/>
      <c r="J22" s="289"/>
      <c r="K22" s="289"/>
      <c r="L22" s="289"/>
      <c r="M22" s="290"/>
      <c r="N22" s="291">
        <f>SUM(N19:N21)</f>
        <v>70270.47</v>
      </c>
      <c r="O22" s="286">
        <f t="shared" ref="O22:AA22" si="12">SUM(O19:O21)</f>
        <v>694.46</v>
      </c>
      <c r="P22" s="286">
        <f t="shared" si="12"/>
        <v>69576.009999999995</v>
      </c>
      <c r="Q22" s="292">
        <f t="shared" si="12"/>
        <v>-68881.549999999988</v>
      </c>
      <c r="R22" s="293">
        <f t="shared" si="12"/>
        <v>64447.708899999998</v>
      </c>
      <c r="S22" s="286">
        <f>SUM(S19:S20)</f>
        <v>503.56200000000001</v>
      </c>
      <c r="T22" s="286">
        <f>SUM(T19:T20)</f>
        <v>63944.1469</v>
      </c>
      <c r="U22" s="294">
        <f t="shared" si="12"/>
        <v>-63440.584900000002</v>
      </c>
      <c r="V22" s="405">
        <f t="shared" ref="V22" si="13">SUM(V19:V21)</f>
        <v>75824.616999999998</v>
      </c>
      <c r="W22" s="401">
        <f t="shared" ref="W22:Y22" si="14">SUM(W19:W21)</f>
        <v>620.44150000000002</v>
      </c>
      <c r="X22" s="401">
        <f t="shared" si="14"/>
        <v>75204.175499999998</v>
      </c>
      <c r="Y22" s="406">
        <f t="shared" si="14"/>
        <v>-74583.733999999997</v>
      </c>
      <c r="Z22" s="494">
        <f t="shared" si="12"/>
        <v>72961.209000000003</v>
      </c>
      <c r="AA22" s="488">
        <f t="shared" si="12"/>
        <v>796.62760000000003</v>
      </c>
      <c r="AB22" s="489">
        <f>(AA22-AK22)*100/AK22</f>
        <v>39.812970213638273</v>
      </c>
      <c r="AC22" s="488">
        <f>SUM(AC19:AC21)</f>
        <v>72164.581399999995</v>
      </c>
      <c r="AD22" s="490">
        <f>(AC22-AL22)*100/AL22</f>
        <v>5.4031454087686432</v>
      </c>
      <c r="AE22" s="495">
        <f>SUM(AE19:AE21)</f>
        <v>-71367.953799999988</v>
      </c>
      <c r="AF22" s="342"/>
      <c r="AG22" s="7"/>
      <c r="AH22" s="7"/>
      <c r="AI22" s="7"/>
      <c r="AJ22" s="7"/>
      <c r="AK22" s="401">
        <f t="shared" ref="AK22:AL22" si="15">SUM(AK19:AK21)</f>
        <v>569.78089999999997</v>
      </c>
      <c r="AL22" s="401">
        <f t="shared" si="15"/>
        <v>68465.301599999992</v>
      </c>
      <c r="AM22"/>
      <c r="AN22" s="456" t="s">
        <v>219</v>
      </c>
      <c r="AO22" s="334">
        <v>8232.2042999999994</v>
      </c>
      <c r="AP22" s="334">
        <v>8059.9929000000002</v>
      </c>
      <c r="AQ22" s="334">
        <v>172.2114</v>
      </c>
      <c r="AR22" s="334">
        <v>7887.7813999999998</v>
      </c>
      <c r="AS22" s="334">
        <v>10484.721799999999</v>
      </c>
      <c r="AT22" s="334">
        <v>10193.1034</v>
      </c>
      <c r="AU22" s="334">
        <v>291.61840000000001</v>
      </c>
      <c r="AV22" s="334">
        <v>9901.4850000000006</v>
      </c>
      <c r="AW22" s="334">
        <v>10484.721799999999</v>
      </c>
      <c r="AX22" s="334">
        <v>10193.1034</v>
      </c>
      <c r="AY22" s="334">
        <v>291.61840000000001</v>
      </c>
      <c r="AZ22" s="334">
        <v>9901.4850000000006</v>
      </c>
      <c r="BA22" s="334">
        <v>12051.0517</v>
      </c>
      <c r="BB22" s="334">
        <v>11666.3976</v>
      </c>
      <c r="BC22" s="334">
        <v>384.654</v>
      </c>
      <c r="BD22" s="334">
        <v>11281.7435</v>
      </c>
      <c r="BE22" s="472" t="s">
        <v>362</v>
      </c>
      <c r="BF22" s="472" t="s">
        <v>330</v>
      </c>
      <c r="BG22" s="472" t="s">
        <v>363</v>
      </c>
      <c r="BH22" s="472" t="s">
        <v>297</v>
      </c>
    </row>
    <row r="23" spans="1:60" ht="14.25" customHeight="1" x14ac:dyDescent="0.5">
      <c r="A23" s="641" t="s">
        <v>109</v>
      </c>
      <c r="B23" s="642"/>
      <c r="C23" s="642"/>
      <c r="D23" s="642"/>
      <c r="E23" s="642"/>
      <c r="F23" s="642"/>
      <c r="G23" s="642"/>
      <c r="H23" s="642"/>
      <c r="I23" s="642"/>
      <c r="J23" s="642"/>
      <c r="K23" s="642"/>
      <c r="L23" s="642"/>
      <c r="M23" s="642"/>
      <c r="N23" s="642"/>
      <c r="O23" s="642"/>
      <c r="P23" s="642"/>
      <c r="Q23" s="642"/>
      <c r="R23" s="642"/>
      <c r="S23" s="642"/>
      <c r="T23" s="642"/>
      <c r="U23" s="642"/>
      <c r="V23" s="642"/>
      <c r="W23" s="642"/>
      <c r="X23" s="642"/>
      <c r="Y23" s="642"/>
      <c r="Z23" s="643"/>
      <c r="AA23" s="643"/>
      <c r="AB23" s="643"/>
      <c r="AC23" s="643"/>
      <c r="AD23" s="643"/>
      <c r="AE23" s="644"/>
      <c r="AF23" s="112"/>
      <c r="AG23" s="7"/>
      <c r="AH23" s="7"/>
      <c r="AI23" s="7"/>
      <c r="AJ23" s="7"/>
      <c r="AM23"/>
      <c r="AN23" s="470"/>
      <c r="AO23" s="457" t="s">
        <v>220</v>
      </c>
      <c r="AP23" s="457" t="s">
        <v>221</v>
      </c>
      <c r="AQ23" s="457" t="s">
        <v>222</v>
      </c>
      <c r="AR23" s="457" t="s">
        <v>223</v>
      </c>
      <c r="AS23" s="457" t="s">
        <v>224</v>
      </c>
      <c r="AT23" s="457" t="s">
        <v>225</v>
      </c>
      <c r="AU23" s="457" t="s">
        <v>226</v>
      </c>
      <c r="AV23" s="457" t="s">
        <v>227</v>
      </c>
      <c r="AW23" s="457" t="s">
        <v>224</v>
      </c>
      <c r="AX23" s="457" t="s">
        <v>225</v>
      </c>
      <c r="AY23" s="457" t="s">
        <v>226</v>
      </c>
      <c r="AZ23" s="457" t="s">
        <v>227</v>
      </c>
      <c r="BA23" s="457" t="s">
        <v>364</v>
      </c>
      <c r="BB23" s="457" t="s">
        <v>365</v>
      </c>
      <c r="BC23" s="457" t="s">
        <v>366</v>
      </c>
      <c r="BD23" s="457" t="s">
        <v>367</v>
      </c>
      <c r="BE23" s="470" t="s">
        <v>362</v>
      </c>
      <c r="BF23" s="470" t="s">
        <v>330</v>
      </c>
      <c r="BG23" s="470" t="s">
        <v>363</v>
      </c>
      <c r="BH23" s="470" t="s">
        <v>297</v>
      </c>
    </row>
    <row r="24" spans="1:60" ht="21" customHeight="1" x14ac:dyDescent="0.5">
      <c r="A24" s="190" t="s">
        <v>166</v>
      </c>
      <c r="B24" s="193">
        <f>C24+D24</f>
        <v>21953.47</v>
      </c>
      <c r="C24" s="191">
        <v>20618.34</v>
      </c>
      <c r="D24" s="211">
        <v>1335.13</v>
      </c>
      <c r="E24" s="211">
        <f>C24-D24</f>
        <v>19283.21</v>
      </c>
      <c r="F24" s="194">
        <f>G24+H24-0.01</f>
        <v>19998.8</v>
      </c>
      <c r="G24" s="194">
        <v>18495.48</v>
      </c>
      <c r="H24" s="194">
        <v>1503.33</v>
      </c>
      <c r="I24" s="194">
        <f>G24-H24</f>
        <v>16992.150000000001</v>
      </c>
      <c r="J24" s="194">
        <f>K24+L24</f>
        <v>18531.27</v>
      </c>
      <c r="K24" s="194">
        <v>16934.72</v>
      </c>
      <c r="L24" s="194">
        <v>1596.55</v>
      </c>
      <c r="M24" s="219">
        <f>K24-L24</f>
        <v>15338.170000000002</v>
      </c>
      <c r="N24" s="228">
        <f>O24+P24</f>
        <v>19516.879999999997</v>
      </c>
      <c r="O24" s="206">
        <v>15395.48</v>
      </c>
      <c r="P24" s="206">
        <v>4121.3999999999996</v>
      </c>
      <c r="Q24" s="229">
        <f>O24-P24</f>
        <v>11274.08</v>
      </c>
      <c r="R24" s="340">
        <f>S24+T24</f>
        <v>25800.011200000001</v>
      </c>
      <c r="S24" s="347">
        <v>20324.847000000002</v>
      </c>
      <c r="T24" s="347">
        <v>5475.1642000000002</v>
      </c>
      <c r="U24" s="344">
        <f>S24-T24</f>
        <v>14849.682800000002</v>
      </c>
      <c r="V24" s="404">
        <f>W24+X24</f>
        <v>21703.6924</v>
      </c>
      <c r="W24" s="407">
        <v>16734.167700000002</v>
      </c>
      <c r="X24" s="407">
        <v>4969.5246999999999</v>
      </c>
      <c r="Y24" s="410">
        <f>W24-X24</f>
        <v>11764.643000000002</v>
      </c>
      <c r="Z24" s="492">
        <f>AA24+AC24</f>
        <v>18387.310700000002</v>
      </c>
      <c r="AA24" s="477">
        <v>14190.1589</v>
      </c>
      <c r="AB24" s="485">
        <f>(AA24-AK24)*100/AK24</f>
        <v>-5.8564144746815607</v>
      </c>
      <c r="AC24" s="477">
        <v>4197.1517999999996</v>
      </c>
      <c r="AD24" s="485">
        <f>(AC24-AL24)*100/AL24</f>
        <v>-5.9068519595719522</v>
      </c>
      <c r="AE24" s="496">
        <f>AA24-AC24</f>
        <v>9993.0071000000007</v>
      </c>
      <c r="AF24" s="342" t="e">
        <f>(#REF!-#REF!)*100/#REF!</f>
        <v>#REF!</v>
      </c>
      <c r="AG24" s="7">
        <v>51.69</v>
      </c>
      <c r="AH24" s="7" t="e">
        <f>+(AG24-AF24)/AF24*100</f>
        <v>#REF!</v>
      </c>
      <c r="AI24" s="7"/>
      <c r="AJ24" s="7"/>
      <c r="AK24" s="334">
        <v>15072.889800000001</v>
      </c>
      <c r="AL24" s="334">
        <v>4460.6349</v>
      </c>
      <c r="AM24" s="590" t="s">
        <v>228</v>
      </c>
      <c r="AN24" s="590"/>
      <c r="AO24" s="590"/>
      <c r="AP24" s="590"/>
      <c r="AQ24" s="590"/>
      <c r="AR24" s="590"/>
      <c r="AS24" s="590"/>
      <c r="AT24" s="590"/>
      <c r="AU24" s="590"/>
      <c r="AV24" s="590"/>
      <c r="AW24" s="590"/>
      <c r="AX24" s="590"/>
      <c r="AY24" s="590"/>
      <c r="AZ24" s="590"/>
      <c r="BA24" s="590"/>
      <c r="BB24" s="590"/>
      <c r="BC24" s="590"/>
      <c r="BD24" s="590"/>
      <c r="BE24" s="590"/>
      <c r="BF24" s="590"/>
      <c r="BG24" s="590"/>
      <c r="BH24" s="590"/>
    </row>
    <row r="25" spans="1:60" ht="15" hidden="1" customHeight="1" x14ac:dyDescent="0.5">
      <c r="A25" s="307" t="s">
        <v>110</v>
      </c>
      <c r="B25" s="191"/>
      <c r="C25" s="192"/>
      <c r="D25" s="193"/>
      <c r="E25" s="193"/>
      <c r="F25" s="603">
        <f>G25+H25</f>
        <v>0.74</v>
      </c>
      <c r="G25" s="603">
        <v>0</v>
      </c>
      <c r="H25" s="603">
        <v>0.74</v>
      </c>
      <c r="I25" s="603">
        <f>G25-H25</f>
        <v>-0.74</v>
      </c>
      <c r="J25" s="603">
        <f>K25+L25</f>
        <v>0.56000000000000005</v>
      </c>
      <c r="K25" s="603">
        <v>0</v>
      </c>
      <c r="L25" s="603">
        <v>0.56000000000000005</v>
      </c>
      <c r="M25" s="616">
        <f>K25-L25</f>
        <v>-0.56000000000000005</v>
      </c>
      <c r="N25" s="650">
        <f>O25+P25</f>
        <v>7.03</v>
      </c>
      <c r="O25" s="608">
        <v>0</v>
      </c>
      <c r="P25" s="608">
        <v>7.03</v>
      </c>
      <c r="Q25" s="610">
        <f>O25-P25</f>
        <v>-7.03</v>
      </c>
      <c r="R25" s="622">
        <f>S25+T25</f>
        <v>0</v>
      </c>
      <c r="S25" s="645">
        <v>0</v>
      </c>
      <c r="T25" s="645">
        <v>0</v>
      </c>
      <c r="U25" s="647">
        <f>S25-T25</f>
        <v>0</v>
      </c>
      <c r="V25" s="620">
        <f t="shared" ref="V25" si="16">W25+X25</f>
        <v>0</v>
      </c>
      <c r="W25" s="589">
        <v>0</v>
      </c>
      <c r="X25" s="589">
        <v>0</v>
      </c>
      <c r="Y25" s="621">
        <f t="shared" ref="Y25" si="17">W25-X25</f>
        <v>0</v>
      </c>
      <c r="Z25" s="649">
        <f>AA25+AC25</f>
        <v>0</v>
      </c>
      <c r="AA25" s="597">
        <v>0</v>
      </c>
      <c r="AB25" s="598" t="s">
        <v>70</v>
      </c>
      <c r="AC25" s="597">
        <v>0</v>
      </c>
      <c r="AD25" s="598" t="s">
        <v>70</v>
      </c>
      <c r="AE25" s="596">
        <f>AA25-AC25</f>
        <v>0</v>
      </c>
      <c r="AF25" s="342"/>
      <c r="AG25" s="7"/>
      <c r="AH25" s="7"/>
      <c r="AI25" s="7"/>
      <c r="AJ25" s="7"/>
      <c r="AK25" s="589">
        <v>0</v>
      </c>
      <c r="AL25" s="589">
        <v>0</v>
      </c>
      <c r="AM25"/>
      <c r="AN25" s="456" t="s">
        <v>229</v>
      </c>
      <c r="AO25" s="334">
        <v>242.40430000000001</v>
      </c>
      <c r="AP25" s="334">
        <v>242.40430000000001</v>
      </c>
      <c r="AQ25" s="334">
        <v>0</v>
      </c>
      <c r="AR25" s="334">
        <v>242.40430000000001</v>
      </c>
      <c r="AS25" s="334">
        <v>1850.2008000000001</v>
      </c>
      <c r="AT25" s="334">
        <v>1850.2008000000001</v>
      </c>
      <c r="AU25" s="334">
        <v>0</v>
      </c>
      <c r="AV25" s="334">
        <v>1850.2008000000001</v>
      </c>
      <c r="AW25" s="334">
        <v>1850.2008000000001</v>
      </c>
      <c r="AX25" s="334">
        <v>1850.2008000000001</v>
      </c>
      <c r="AY25" s="334">
        <v>0</v>
      </c>
      <c r="AZ25" s="334">
        <v>1850.2008000000001</v>
      </c>
      <c r="BA25" s="334">
        <v>2048.4555999999998</v>
      </c>
      <c r="BB25" s="334">
        <v>2048.4555999999998</v>
      </c>
      <c r="BC25" s="334">
        <v>0</v>
      </c>
      <c r="BD25" s="334">
        <v>2048.4555999999998</v>
      </c>
      <c r="BE25" s="472" t="s">
        <v>301</v>
      </c>
      <c r="BF25" s="472" t="s">
        <v>70</v>
      </c>
      <c r="BG25" s="472" t="s">
        <v>368</v>
      </c>
      <c r="BH25" s="472" t="s">
        <v>70</v>
      </c>
    </row>
    <row r="26" spans="1:60" ht="15" hidden="1" customHeight="1" x14ac:dyDescent="0.5">
      <c r="A26" s="308" t="s">
        <v>123</v>
      </c>
      <c r="B26" s="191"/>
      <c r="C26" s="192"/>
      <c r="D26" s="193"/>
      <c r="E26" s="193"/>
      <c r="F26" s="604"/>
      <c r="G26" s="604"/>
      <c r="H26" s="604"/>
      <c r="I26" s="604"/>
      <c r="J26" s="604"/>
      <c r="K26" s="604"/>
      <c r="L26" s="604"/>
      <c r="M26" s="617"/>
      <c r="N26" s="651"/>
      <c r="O26" s="609"/>
      <c r="P26" s="609"/>
      <c r="Q26" s="611"/>
      <c r="R26" s="623"/>
      <c r="S26" s="646"/>
      <c r="T26" s="646"/>
      <c r="U26" s="648"/>
      <c r="V26" s="620"/>
      <c r="W26" s="589"/>
      <c r="X26" s="589"/>
      <c r="Y26" s="621"/>
      <c r="Z26" s="649"/>
      <c r="AA26" s="597"/>
      <c r="AB26" s="598"/>
      <c r="AC26" s="597"/>
      <c r="AD26" s="598"/>
      <c r="AE26" s="596"/>
      <c r="AF26" s="342"/>
      <c r="AG26" s="7"/>
      <c r="AH26" s="7"/>
      <c r="AI26" s="7"/>
      <c r="AJ26" s="7"/>
      <c r="AK26" s="589"/>
      <c r="AL26" s="589"/>
      <c r="AM26"/>
      <c r="AN26" s="456" t="s">
        <v>230</v>
      </c>
      <c r="AO26" s="334">
        <v>1223.2982999999999</v>
      </c>
      <c r="AP26" s="334">
        <v>1223.2982999999999</v>
      </c>
      <c r="AQ26" s="334">
        <v>0</v>
      </c>
      <c r="AR26" s="334">
        <v>1223.2982999999999</v>
      </c>
      <c r="AS26" s="334">
        <v>2334.7076000000002</v>
      </c>
      <c r="AT26" s="334">
        <v>2334.7076000000002</v>
      </c>
      <c r="AU26" s="334">
        <v>0</v>
      </c>
      <c r="AV26" s="334">
        <v>2334.7076000000002</v>
      </c>
      <c r="AW26" s="334">
        <v>2334.7076000000002</v>
      </c>
      <c r="AX26" s="334">
        <v>2334.7076000000002</v>
      </c>
      <c r="AY26" s="334">
        <v>0</v>
      </c>
      <c r="AZ26" s="334">
        <v>2334.7076000000002</v>
      </c>
      <c r="BA26" s="334">
        <v>1046.1292000000001</v>
      </c>
      <c r="BB26" s="334">
        <v>1046.1292000000001</v>
      </c>
      <c r="BC26" s="334">
        <v>0</v>
      </c>
      <c r="BD26" s="334">
        <v>1046.1292000000001</v>
      </c>
      <c r="BE26" s="472" t="s">
        <v>369</v>
      </c>
      <c r="BF26" s="472" t="s">
        <v>70</v>
      </c>
      <c r="BG26" s="472" t="s">
        <v>370</v>
      </c>
      <c r="BH26" s="472" t="s">
        <v>70</v>
      </c>
    </row>
    <row r="27" spans="1:60" ht="14.25" customHeight="1" x14ac:dyDescent="0.5">
      <c r="A27" s="198" t="s">
        <v>5</v>
      </c>
      <c r="B27" s="199"/>
      <c r="C27" s="200"/>
      <c r="D27" s="201"/>
      <c r="E27" s="201"/>
      <c r="F27" s="202"/>
      <c r="G27" s="202"/>
      <c r="H27" s="202"/>
      <c r="I27" s="202"/>
      <c r="J27" s="202"/>
      <c r="K27" s="202"/>
      <c r="L27" s="202"/>
      <c r="M27" s="220"/>
      <c r="N27" s="224">
        <f>SUM(N24:N26)</f>
        <v>19523.909999999996</v>
      </c>
      <c r="O27" s="199">
        <f t="shared" ref="O27:AE27" si="18">SUM(O24:O26)</f>
        <v>15395.48</v>
      </c>
      <c r="P27" s="199">
        <f t="shared" si="18"/>
        <v>4128.4299999999994</v>
      </c>
      <c r="Q27" s="203">
        <f t="shared" si="18"/>
        <v>11267.05</v>
      </c>
      <c r="R27" s="221">
        <f t="shared" si="18"/>
        <v>25800.011200000001</v>
      </c>
      <c r="S27" s="199">
        <f t="shared" si="18"/>
        <v>20324.847000000002</v>
      </c>
      <c r="T27" s="199">
        <f t="shared" si="18"/>
        <v>5475.1642000000002</v>
      </c>
      <c r="U27" s="225">
        <f t="shared" si="18"/>
        <v>14849.682800000002</v>
      </c>
      <c r="V27" s="405">
        <f t="shared" ref="V27" si="19">SUM(V24:V26)</f>
        <v>21703.6924</v>
      </c>
      <c r="W27" s="401">
        <f t="shared" ref="W27:Y27" si="20">SUM(W24:W26)</f>
        <v>16734.167700000002</v>
      </c>
      <c r="X27" s="401">
        <f t="shared" si="20"/>
        <v>4969.5246999999999</v>
      </c>
      <c r="Y27" s="406">
        <f t="shared" si="20"/>
        <v>11764.643000000002</v>
      </c>
      <c r="Z27" s="494">
        <f t="shared" si="18"/>
        <v>18387.310700000002</v>
      </c>
      <c r="AA27" s="488">
        <f t="shared" si="18"/>
        <v>14190.1589</v>
      </c>
      <c r="AB27" s="490">
        <f>(AA27-AK27)*100/AK27</f>
        <v>-5.8564144746815607</v>
      </c>
      <c r="AC27" s="488">
        <f t="shared" si="18"/>
        <v>4197.1517999999996</v>
      </c>
      <c r="AD27" s="490">
        <f>(AC27-AL27)*100/AL27</f>
        <v>-5.9068519595719522</v>
      </c>
      <c r="AE27" s="497">
        <f t="shared" si="18"/>
        <v>9993.0071000000007</v>
      </c>
      <c r="AF27" s="342"/>
      <c r="AG27" s="7"/>
      <c r="AH27" s="7"/>
      <c r="AI27" s="7"/>
      <c r="AJ27" s="7"/>
      <c r="AK27" s="401">
        <f t="shared" ref="AK27:AL27" si="21">SUM(AK24:AK26)</f>
        <v>15072.889800000001</v>
      </c>
      <c r="AL27" s="401">
        <f t="shared" si="21"/>
        <v>4460.6349</v>
      </c>
      <c r="AM27"/>
      <c r="AN27" s="456" t="s">
        <v>231</v>
      </c>
      <c r="AO27" s="334">
        <v>3198.4659000000001</v>
      </c>
      <c r="AP27" s="334">
        <v>3198.3546999999999</v>
      </c>
      <c r="AQ27" s="334">
        <v>0.1111</v>
      </c>
      <c r="AR27" s="334">
        <v>3198.2435999999998</v>
      </c>
      <c r="AS27" s="334">
        <v>455.83909999999997</v>
      </c>
      <c r="AT27" s="334">
        <v>455.83909999999997</v>
      </c>
      <c r="AU27" s="334">
        <v>0</v>
      </c>
      <c r="AV27" s="334">
        <v>455.83909999999997</v>
      </c>
      <c r="AW27" s="334">
        <v>455.83909999999997</v>
      </c>
      <c r="AX27" s="334">
        <v>455.83909999999997</v>
      </c>
      <c r="AY27" s="334">
        <v>0</v>
      </c>
      <c r="AZ27" s="334">
        <v>455.83909999999997</v>
      </c>
      <c r="BA27" s="334">
        <v>9.2042000000000002</v>
      </c>
      <c r="BB27" s="334">
        <v>9.2042000000000002</v>
      </c>
      <c r="BC27" s="334">
        <v>0</v>
      </c>
      <c r="BD27" s="334">
        <v>9.2042000000000002</v>
      </c>
      <c r="BE27" s="472" t="s">
        <v>371</v>
      </c>
      <c r="BF27" s="472" t="s">
        <v>70</v>
      </c>
      <c r="BG27" s="472" t="s">
        <v>232</v>
      </c>
      <c r="BH27" s="472" t="s">
        <v>70</v>
      </c>
    </row>
    <row r="28" spans="1:60" ht="14.25" customHeight="1" x14ac:dyDescent="0.5">
      <c r="A28" s="637" t="s">
        <v>117</v>
      </c>
      <c r="B28" s="638"/>
      <c r="C28" s="638"/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638"/>
      <c r="S28" s="638"/>
      <c r="T28" s="638"/>
      <c r="U28" s="638"/>
      <c r="V28" s="638"/>
      <c r="W28" s="638"/>
      <c r="X28" s="638"/>
      <c r="Y28" s="638"/>
      <c r="Z28" s="639"/>
      <c r="AA28" s="639"/>
      <c r="AB28" s="639"/>
      <c r="AC28" s="639"/>
      <c r="AD28" s="639"/>
      <c r="AE28" s="640"/>
      <c r="AF28" s="112"/>
      <c r="AG28" s="7"/>
      <c r="AH28" s="7"/>
      <c r="AI28" s="7"/>
      <c r="AJ28" s="7"/>
      <c r="AM28"/>
      <c r="AN28" s="470"/>
      <c r="AO28" s="457" t="s">
        <v>233</v>
      </c>
      <c r="AP28" s="457" t="s">
        <v>234</v>
      </c>
      <c r="AQ28" s="457" t="s">
        <v>235</v>
      </c>
      <c r="AR28" s="457" t="s">
        <v>236</v>
      </c>
      <c r="AS28" s="457" t="s">
        <v>237</v>
      </c>
      <c r="AT28" s="457" t="s">
        <v>237</v>
      </c>
      <c r="AU28" s="457" t="s">
        <v>238</v>
      </c>
      <c r="AV28" s="457" t="s">
        <v>237</v>
      </c>
      <c r="AW28" s="457" t="s">
        <v>237</v>
      </c>
      <c r="AX28" s="457" t="s">
        <v>237</v>
      </c>
      <c r="AY28" s="457" t="s">
        <v>238</v>
      </c>
      <c r="AZ28" s="457" t="s">
        <v>237</v>
      </c>
      <c r="BA28" s="457" t="s">
        <v>372</v>
      </c>
      <c r="BB28" s="457" t="s">
        <v>372</v>
      </c>
      <c r="BC28" s="457" t="s">
        <v>238</v>
      </c>
      <c r="BD28" s="457" t="s">
        <v>372</v>
      </c>
      <c r="BE28" s="470" t="s">
        <v>373</v>
      </c>
      <c r="BF28" s="470" t="s">
        <v>70</v>
      </c>
      <c r="BG28" s="470" t="s">
        <v>374</v>
      </c>
      <c r="BH28" s="470" t="s">
        <v>238</v>
      </c>
    </row>
    <row r="29" spans="1:60" ht="21" customHeight="1" x14ac:dyDescent="0.5">
      <c r="A29" s="212" t="s">
        <v>74</v>
      </c>
      <c r="B29" s="193">
        <f>C29+D29</f>
        <v>11276.3</v>
      </c>
      <c r="C29" s="213">
        <v>11071.08</v>
      </c>
      <c r="D29" s="214">
        <v>205.22</v>
      </c>
      <c r="E29" s="211">
        <f>C29-D29</f>
        <v>10865.86</v>
      </c>
      <c r="F29" s="194">
        <f>G29+H29</f>
        <v>11453.66</v>
      </c>
      <c r="G29" s="209">
        <v>10921.74</v>
      </c>
      <c r="H29" s="209">
        <v>531.91999999999996</v>
      </c>
      <c r="I29" s="194">
        <f>G29-H29</f>
        <v>10389.82</v>
      </c>
      <c r="J29" s="194">
        <f>K29+L29</f>
        <v>9305.52</v>
      </c>
      <c r="K29" s="209">
        <v>9160.25</v>
      </c>
      <c r="L29" s="209">
        <v>145.27000000000001</v>
      </c>
      <c r="M29" s="219">
        <f>K29-L29</f>
        <v>9014.98</v>
      </c>
      <c r="N29" s="228">
        <f>O29+P29</f>
        <v>8905.6</v>
      </c>
      <c r="O29" s="210">
        <v>8732.7000000000007</v>
      </c>
      <c r="P29" s="210">
        <v>172.9</v>
      </c>
      <c r="Q29" s="229">
        <f>O29-P29</f>
        <v>8559.8000000000011</v>
      </c>
      <c r="R29" s="339">
        <f>S29+T29</f>
        <v>8232.2042999999994</v>
      </c>
      <c r="S29" s="337">
        <v>8059.9929000000002</v>
      </c>
      <c r="T29" s="337">
        <v>172.2114</v>
      </c>
      <c r="U29" s="345">
        <f>S29-T29</f>
        <v>7887.7815000000001</v>
      </c>
      <c r="V29" s="404">
        <f>W29+X29</f>
        <v>10484.721799999999</v>
      </c>
      <c r="W29" s="407">
        <v>10193.1034</v>
      </c>
      <c r="X29" s="407">
        <v>291.61840000000001</v>
      </c>
      <c r="Y29" s="410">
        <f>W29-X29</f>
        <v>9901.4850000000006</v>
      </c>
      <c r="Z29" s="492">
        <f>AA29+AC29</f>
        <v>10849.731400000001</v>
      </c>
      <c r="AA29" s="477">
        <v>10495.528</v>
      </c>
      <c r="AB29" s="485">
        <f>(AA29-AK29)*100/AK29</f>
        <v>14.511882931471943</v>
      </c>
      <c r="AC29" s="477">
        <v>354.20339999999999</v>
      </c>
      <c r="AD29" s="485">
        <f>(AC29-AL29)*100/AL29</f>
        <v>27.770200538130293</v>
      </c>
      <c r="AE29" s="486">
        <f>AA29-AC29</f>
        <v>10141.3246</v>
      </c>
      <c r="AF29" s="342" t="e">
        <f>(#REF!-#REF!)*100/#REF!</f>
        <v>#REF!</v>
      </c>
      <c r="AG29" s="7"/>
      <c r="AH29" s="7"/>
      <c r="AI29" s="7"/>
      <c r="AJ29" s="7"/>
      <c r="AK29" s="334">
        <v>9165.4488000000001</v>
      </c>
      <c r="AL29" s="334">
        <v>277.21910000000003</v>
      </c>
      <c r="AM29" s="590" t="s">
        <v>239</v>
      </c>
      <c r="AN29" s="590"/>
      <c r="AO29" s="590"/>
      <c r="AP29" s="590"/>
      <c r="AQ29" s="590"/>
      <c r="AR29" s="590"/>
      <c r="AS29" s="590"/>
      <c r="AT29" s="590"/>
      <c r="AU29" s="590"/>
      <c r="AV29" s="590"/>
      <c r="AW29" s="590"/>
      <c r="AX29" s="590"/>
      <c r="AY29" s="590"/>
      <c r="AZ29" s="590"/>
      <c r="BA29" s="590"/>
      <c r="BB29" s="590"/>
      <c r="BC29" s="590"/>
      <c r="BD29" s="590"/>
      <c r="BE29" s="590"/>
      <c r="BF29" s="590"/>
      <c r="BG29" s="590"/>
      <c r="BH29" s="590"/>
    </row>
    <row r="30" spans="1:60" ht="14.25" customHeight="1" x14ac:dyDescent="0.5">
      <c r="A30" s="637" t="s">
        <v>118</v>
      </c>
      <c r="B30" s="638"/>
      <c r="C30" s="638"/>
      <c r="D30" s="638"/>
      <c r="E30" s="638"/>
      <c r="F30" s="638"/>
      <c r="G30" s="638"/>
      <c r="H30" s="638"/>
      <c r="I30" s="638"/>
      <c r="J30" s="638"/>
      <c r="K30" s="638"/>
      <c r="L30" s="638"/>
      <c r="M30" s="638"/>
      <c r="N30" s="638"/>
      <c r="O30" s="638"/>
      <c r="P30" s="638"/>
      <c r="Q30" s="638"/>
      <c r="R30" s="638"/>
      <c r="S30" s="638"/>
      <c r="T30" s="638"/>
      <c r="U30" s="638"/>
      <c r="V30" s="638"/>
      <c r="W30" s="638"/>
      <c r="X30" s="638"/>
      <c r="Y30" s="638"/>
      <c r="Z30" s="639"/>
      <c r="AA30" s="639"/>
      <c r="AB30" s="639"/>
      <c r="AC30" s="639"/>
      <c r="AD30" s="639"/>
      <c r="AE30" s="640"/>
      <c r="AF30" s="112"/>
      <c r="AG30" s="7"/>
      <c r="AH30" s="7"/>
      <c r="AI30" s="7"/>
      <c r="AJ30" s="7"/>
      <c r="AM30"/>
      <c r="AN30" s="456" t="s">
        <v>240</v>
      </c>
      <c r="AO30" s="334">
        <v>485.5059</v>
      </c>
      <c r="AP30" s="334">
        <v>197.3201</v>
      </c>
      <c r="AQ30" s="334">
        <v>288.18579999999997</v>
      </c>
      <c r="AR30" s="334">
        <v>-90.865700000000004</v>
      </c>
      <c r="AS30" s="334">
        <v>967.12570000000005</v>
      </c>
      <c r="AT30" s="334">
        <v>214.25839999999999</v>
      </c>
      <c r="AU30" s="334">
        <v>752.8673</v>
      </c>
      <c r="AV30" s="334">
        <v>-538.60879999999997</v>
      </c>
      <c r="AW30" s="334">
        <v>967.12570000000005</v>
      </c>
      <c r="AX30" s="334">
        <v>214.25839999999999</v>
      </c>
      <c r="AY30" s="334">
        <v>752.8673</v>
      </c>
      <c r="AZ30" s="334">
        <v>-538.60879999999997</v>
      </c>
      <c r="BA30" s="334">
        <v>1602.4765</v>
      </c>
      <c r="BB30" s="334">
        <v>288.73070000000001</v>
      </c>
      <c r="BC30" s="334">
        <v>1313.7456999999999</v>
      </c>
      <c r="BD30" s="334">
        <v>-1025.0150000000001</v>
      </c>
      <c r="BE30" s="472" t="s">
        <v>332</v>
      </c>
      <c r="BF30" s="472" t="s">
        <v>333</v>
      </c>
      <c r="BG30" s="472" t="s">
        <v>298</v>
      </c>
      <c r="BH30" s="472" t="s">
        <v>334</v>
      </c>
    </row>
    <row r="31" spans="1:60" ht="14.25" customHeight="1" x14ac:dyDescent="0.5">
      <c r="A31" s="296" t="s">
        <v>156</v>
      </c>
      <c r="B31" s="211"/>
      <c r="C31" s="204"/>
      <c r="D31" s="204"/>
      <c r="E31" s="211"/>
      <c r="F31" s="194"/>
      <c r="G31" s="207"/>
      <c r="H31" s="207"/>
      <c r="I31" s="194"/>
      <c r="J31" s="194"/>
      <c r="K31" s="207"/>
      <c r="L31" s="207"/>
      <c r="M31" s="219"/>
      <c r="N31" s="228">
        <f>O31+P31</f>
        <v>0</v>
      </c>
      <c r="O31" s="208">
        <v>0</v>
      </c>
      <c r="P31" s="208">
        <v>0</v>
      </c>
      <c r="Q31" s="229">
        <f>O31-P31</f>
        <v>0</v>
      </c>
      <c r="R31" s="339">
        <f>S31+T31</f>
        <v>242.40430000000001</v>
      </c>
      <c r="S31" s="337">
        <v>242.40430000000001</v>
      </c>
      <c r="T31" s="337">
        <v>0</v>
      </c>
      <c r="U31" s="345">
        <f>S31-T31</f>
        <v>242.40430000000001</v>
      </c>
      <c r="V31" s="404">
        <f>W31+X31</f>
        <v>1850.2008000000001</v>
      </c>
      <c r="W31" s="407">
        <v>1850.2008000000001</v>
      </c>
      <c r="X31" s="407">
        <v>0</v>
      </c>
      <c r="Y31" s="410">
        <f>W31-X31</f>
        <v>1850.2008000000001</v>
      </c>
      <c r="Z31" s="492">
        <f>AA31+AC31</f>
        <v>1909.8647000000001</v>
      </c>
      <c r="AA31" s="477">
        <v>1909.8647000000001</v>
      </c>
      <c r="AB31" s="485">
        <f>(AA31-AK31)*100/AK31</f>
        <v>17.423291028852159</v>
      </c>
      <c r="AC31" s="498">
        <v>0</v>
      </c>
      <c r="AD31" s="499" t="s">
        <v>70</v>
      </c>
      <c r="AE31" s="496">
        <f>AA31-AC31</f>
        <v>1909.8647000000001</v>
      </c>
      <c r="AF31" s="342"/>
      <c r="AG31" s="7"/>
      <c r="AH31" s="7"/>
      <c r="AI31" s="7"/>
      <c r="AJ31" s="7"/>
      <c r="AK31" s="334">
        <v>1626.4785999999999</v>
      </c>
      <c r="AL31" s="407">
        <v>0</v>
      </c>
      <c r="AM31"/>
      <c r="AN31" s="470"/>
      <c r="AO31" s="457" t="s">
        <v>241</v>
      </c>
      <c r="AP31" s="457" t="s">
        <v>242</v>
      </c>
      <c r="AQ31" s="457" t="s">
        <v>243</v>
      </c>
      <c r="AR31" s="457" t="s">
        <v>244</v>
      </c>
      <c r="AS31" s="457" t="s">
        <v>245</v>
      </c>
      <c r="AT31" s="457" t="s">
        <v>246</v>
      </c>
      <c r="AU31" s="457" t="s">
        <v>247</v>
      </c>
      <c r="AV31" s="457" t="s">
        <v>248</v>
      </c>
      <c r="AW31" s="457" t="s">
        <v>245</v>
      </c>
      <c r="AX31" s="457" t="s">
        <v>246</v>
      </c>
      <c r="AY31" s="457" t="s">
        <v>247</v>
      </c>
      <c r="AZ31" s="457" t="s">
        <v>248</v>
      </c>
      <c r="BA31" s="457" t="s">
        <v>375</v>
      </c>
      <c r="BB31" s="457" t="s">
        <v>376</v>
      </c>
      <c r="BC31" s="457" t="s">
        <v>377</v>
      </c>
      <c r="BD31" s="457" t="s">
        <v>378</v>
      </c>
      <c r="BE31" s="470" t="s">
        <v>332</v>
      </c>
      <c r="BF31" s="470" t="s">
        <v>333</v>
      </c>
      <c r="BG31" s="470" t="s">
        <v>298</v>
      </c>
      <c r="BH31" s="470" t="s">
        <v>334</v>
      </c>
    </row>
    <row r="32" spans="1:60" ht="16.5" customHeight="1" x14ac:dyDescent="0.5">
      <c r="A32" s="296" t="s">
        <v>157</v>
      </c>
      <c r="B32" s="211"/>
      <c r="C32" s="204"/>
      <c r="D32" s="204"/>
      <c r="E32" s="211"/>
      <c r="F32" s="194"/>
      <c r="G32" s="207"/>
      <c r="H32" s="207"/>
      <c r="I32" s="194"/>
      <c r="J32" s="194"/>
      <c r="K32" s="207"/>
      <c r="L32" s="207"/>
      <c r="M32" s="219"/>
      <c r="N32" s="228">
        <f>O32+P32</f>
        <v>0</v>
      </c>
      <c r="O32" s="208">
        <v>0</v>
      </c>
      <c r="P32" s="208">
        <v>0</v>
      </c>
      <c r="Q32" s="229">
        <f>O32-P32</f>
        <v>0</v>
      </c>
      <c r="R32" s="339">
        <f>S32+T32</f>
        <v>1223.2982999999999</v>
      </c>
      <c r="S32" s="343">
        <v>1223.2982999999999</v>
      </c>
      <c r="T32" s="343">
        <v>0</v>
      </c>
      <c r="U32" s="352">
        <f>S32-T32</f>
        <v>1223.2982999999999</v>
      </c>
      <c r="V32" s="404">
        <f>W32+X32</f>
        <v>2334.7076000000002</v>
      </c>
      <c r="W32" s="407">
        <v>2334.7076000000002</v>
      </c>
      <c r="X32" s="407">
        <v>0</v>
      </c>
      <c r="Y32" s="410">
        <f t="shared" ref="Y32:Y33" si="22">W32-X32</f>
        <v>2334.7076000000002</v>
      </c>
      <c r="Z32" s="492">
        <f>AA32+AC32</f>
        <v>946.78489999999999</v>
      </c>
      <c r="AA32" s="477">
        <v>946.78489999999999</v>
      </c>
      <c r="AB32" s="485">
        <f t="shared" ref="AB32:AB34" si="23">(AA32-AK32)*100/AK32</f>
        <v>-57.569193165429901</v>
      </c>
      <c r="AC32" s="498">
        <v>0</v>
      </c>
      <c r="AD32" s="499" t="s">
        <v>70</v>
      </c>
      <c r="AE32" s="496">
        <f>AA32-AC32</f>
        <v>946.78489999999999</v>
      </c>
      <c r="AF32" s="342"/>
      <c r="AG32" s="7"/>
      <c r="AH32" s="7"/>
      <c r="AI32" s="7"/>
      <c r="AJ32" s="7"/>
      <c r="AK32" s="334">
        <v>2231.3620000000001</v>
      </c>
      <c r="AL32" s="407">
        <v>0</v>
      </c>
      <c r="AM32" s="590" t="s">
        <v>249</v>
      </c>
      <c r="AN32" s="590"/>
      <c r="AO32" s="590"/>
      <c r="AP32" s="590"/>
      <c r="AQ32" s="590"/>
      <c r="AR32" s="590"/>
      <c r="AS32" s="590"/>
      <c r="AT32" s="590"/>
      <c r="AU32" s="590"/>
      <c r="AV32" s="590"/>
      <c r="AW32" s="590"/>
      <c r="AX32" s="590"/>
      <c r="AY32" s="590"/>
      <c r="AZ32" s="590"/>
      <c r="BA32" s="590"/>
      <c r="BB32" s="590"/>
      <c r="BC32" s="590"/>
      <c r="BD32" s="590"/>
      <c r="BE32" s="590"/>
      <c r="BF32" s="590"/>
      <c r="BG32" s="590"/>
      <c r="BH32" s="590"/>
    </row>
    <row r="33" spans="1:60" ht="21" customHeight="1" x14ac:dyDescent="0.5">
      <c r="A33" s="296" t="s">
        <v>114</v>
      </c>
      <c r="B33" s="211">
        <f>C33+D33</f>
        <v>2164.3900000000003</v>
      </c>
      <c r="C33" s="204">
        <v>2164.0100000000002</v>
      </c>
      <c r="D33" s="204">
        <v>0.38</v>
      </c>
      <c r="E33" s="211">
        <f>C33-D33+0.01</f>
        <v>2163.6400000000003</v>
      </c>
      <c r="F33" s="194">
        <f>G33+H33</f>
        <v>2793.7400000000002</v>
      </c>
      <c r="G33" s="207">
        <v>2793.57</v>
      </c>
      <c r="H33" s="207">
        <v>0.17</v>
      </c>
      <c r="I33" s="194">
        <f>G33-H33-0.01</f>
        <v>2793.39</v>
      </c>
      <c r="J33" s="194">
        <f>K33+L33</f>
        <v>3653.49</v>
      </c>
      <c r="K33" s="207">
        <v>3653.49</v>
      </c>
      <c r="L33" s="207">
        <v>0</v>
      </c>
      <c r="M33" s="219">
        <f>K33-L33</f>
        <v>3653.49</v>
      </c>
      <c r="N33" s="228">
        <f>O33+P33</f>
        <v>3246.3850000000002</v>
      </c>
      <c r="O33" s="208">
        <v>3244.65</v>
      </c>
      <c r="P33" s="208">
        <v>1.7350000000000001</v>
      </c>
      <c r="Q33" s="229">
        <f>O33-P33</f>
        <v>3242.915</v>
      </c>
      <c r="R33" s="349">
        <f>S33+T33</f>
        <v>3198.4657999999999</v>
      </c>
      <c r="S33" s="350">
        <v>3198.3546999999999</v>
      </c>
      <c r="T33" s="350">
        <v>0.1111</v>
      </c>
      <c r="U33" s="352">
        <f>S33-T33</f>
        <v>3198.2435999999998</v>
      </c>
      <c r="V33" s="404">
        <f>W33+X33</f>
        <v>455.83909999999997</v>
      </c>
      <c r="W33" s="407">
        <v>455.83909999999997</v>
      </c>
      <c r="X33" s="407">
        <v>0</v>
      </c>
      <c r="Y33" s="410">
        <f t="shared" si="22"/>
        <v>455.83909999999997</v>
      </c>
      <c r="Z33" s="492">
        <f>AA33+AC33</f>
        <v>8.5114999999999998</v>
      </c>
      <c r="AA33" s="477">
        <v>8.5114999999999998</v>
      </c>
      <c r="AB33" s="485">
        <f t="shared" si="23"/>
        <v>-98.130116147435103</v>
      </c>
      <c r="AC33" s="498">
        <v>0</v>
      </c>
      <c r="AD33" s="499" t="s">
        <v>70</v>
      </c>
      <c r="AE33" s="496">
        <f>AA33-AC33</f>
        <v>8.5114999999999998</v>
      </c>
      <c r="AF33" s="342" t="e">
        <f>(#REF!-#REF!)*100/#REF!</f>
        <v>#REF!</v>
      </c>
      <c r="AG33" s="7">
        <v>0.4</v>
      </c>
      <c r="AH33" s="7" t="e">
        <f>+(AG33-AF33)/AF33*100</f>
        <v>#REF!</v>
      </c>
      <c r="AI33" s="7"/>
      <c r="AJ33" s="7"/>
      <c r="AK33" s="334">
        <v>455.18869999999998</v>
      </c>
      <c r="AL33" s="407">
        <v>0</v>
      </c>
      <c r="AM33"/>
      <c r="AN33" s="456" t="s">
        <v>250</v>
      </c>
      <c r="AO33" s="334">
        <v>760.04719999999998</v>
      </c>
      <c r="AP33" s="334">
        <v>299.06299999999999</v>
      </c>
      <c r="AQ33" s="334">
        <v>460.98419999999999</v>
      </c>
      <c r="AR33" s="334">
        <v>-161.9212</v>
      </c>
      <c r="AS33" s="334">
        <v>1129.943</v>
      </c>
      <c r="AT33" s="334">
        <v>333.61869999999999</v>
      </c>
      <c r="AU33" s="334">
        <v>796.32420000000002</v>
      </c>
      <c r="AV33" s="334">
        <v>-462.7054</v>
      </c>
      <c r="AW33" s="334">
        <v>1129.943</v>
      </c>
      <c r="AX33" s="334">
        <v>333.61869999999999</v>
      </c>
      <c r="AY33" s="334">
        <v>796.32420000000002</v>
      </c>
      <c r="AZ33" s="334">
        <v>-462.7054</v>
      </c>
      <c r="BA33" s="334">
        <v>604.09960000000001</v>
      </c>
      <c r="BB33" s="334">
        <v>169.9188</v>
      </c>
      <c r="BC33" s="334">
        <v>434.18079999999998</v>
      </c>
      <c r="BD33" s="334">
        <v>-264.262</v>
      </c>
      <c r="BE33" s="472" t="s">
        <v>379</v>
      </c>
      <c r="BF33" s="472" t="s">
        <v>380</v>
      </c>
      <c r="BG33" s="472" t="s">
        <v>299</v>
      </c>
      <c r="BH33" s="472" t="s">
        <v>381</v>
      </c>
    </row>
    <row r="34" spans="1:60" ht="14.25" customHeight="1" x14ac:dyDescent="0.5">
      <c r="A34" s="285" t="s">
        <v>5</v>
      </c>
      <c r="B34" s="286"/>
      <c r="C34" s="287"/>
      <c r="D34" s="288"/>
      <c r="E34" s="288"/>
      <c r="F34" s="289"/>
      <c r="G34" s="289"/>
      <c r="H34" s="289"/>
      <c r="I34" s="289"/>
      <c r="J34" s="289"/>
      <c r="K34" s="289"/>
      <c r="L34" s="289"/>
      <c r="M34" s="290"/>
      <c r="N34" s="291">
        <f>SUM(N32:N33)</f>
        <v>3246.3850000000002</v>
      </c>
      <c r="O34" s="291">
        <f>SUM(O32:O33)</f>
        <v>3244.65</v>
      </c>
      <c r="P34" s="291">
        <f>SUM(P32:P33)</f>
        <v>1.7350000000000001</v>
      </c>
      <c r="Q34" s="291">
        <f>SUM(Q32:Q33)</f>
        <v>3242.915</v>
      </c>
      <c r="R34" s="354">
        <f>SUM(R31:R33)</f>
        <v>4664.1683999999996</v>
      </c>
      <c r="S34" s="348">
        <f t="shared" ref="S34:U34" si="24">SUM(S31:S33)</f>
        <v>4664.0572999999995</v>
      </c>
      <c r="T34" s="348">
        <f t="shared" si="24"/>
        <v>0.1111</v>
      </c>
      <c r="U34" s="353">
        <f t="shared" si="24"/>
        <v>4663.9461999999994</v>
      </c>
      <c r="V34" s="405">
        <f>SUM(V31:V33)</f>
        <v>4640.7475000000004</v>
      </c>
      <c r="W34" s="401">
        <f t="shared" ref="W34" si="25">SUM(W31:W33)</f>
        <v>4640.7475000000004</v>
      </c>
      <c r="X34" s="401">
        <f t="shared" ref="X34" si="26">SUM(X31:X33)</f>
        <v>0</v>
      </c>
      <c r="Y34" s="406">
        <f t="shared" ref="Y34" si="27">SUM(Y31:Y33)</f>
        <v>4640.7475000000004</v>
      </c>
      <c r="Z34" s="494">
        <f>SUM(Z31:Z33)</f>
        <v>2865.1611000000003</v>
      </c>
      <c r="AA34" s="488">
        <f t="shared" ref="AA34" si="28">SUM(AA31:AA33)</f>
        <v>2865.1611000000003</v>
      </c>
      <c r="AB34" s="490">
        <f t="shared" si="23"/>
        <v>-33.569635151794579</v>
      </c>
      <c r="AC34" s="488">
        <f>SUM(AC31:AC33)</f>
        <v>0</v>
      </c>
      <c r="AD34" s="488" t="s">
        <v>70</v>
      </c>
      <c r="AE34" s="497">
        <f t="shared" ref="AE34" si="29">SUM(AE31:AE33)</f>
        <v>2865.1611000000003</v>
      </c>
      <c r="AF34" s="342"/>
      <c r="AG34" s="7"/>
      <c r="AH34" s="7"/>
      <c r="AI34" s="7"/>
      <c r="AJ34" s="7"/>
      <c r="AK34" s="401">
        <f t="shared" ref="AK34:AL34" si="30">SUM(AK31:AK33)</f>
        <v>4313.0293000000001</v>
      </c>
      <c r="AL34" s="401">
        <f t="shared" si="30"/>
        <v>0</v>
      </c>
      <c r="AM34"/>
      <c r="AN34" s="470"/>
      <c r="AO34" s="457" t="s">
        <v>251</v>
      </c>
      <c r="AP34" s="457" t="s">
        <v>252</v>
      </c>
      <c r="AQ34" s="457" t="s">
        <v>253</v>
      </c>
      <c r="AR34" s="457" t="s">
        <v>254</v>
      </c>
      <c r="AS34" s="457" t="s">
        <v>255</v>
      </c>
      <c r="AT34" s="457" t="s">
        <v>256</v>
      </c>
      <c r="AU34" s="457" t="s">
        <v>257</v>
      </c>
      <c r="AV34" s="457" t="s">
        <v>258</v>
      </c>
      <c r="AW34" s="457" t="s">
        <v>255</v>
      </c>
      <c r="AX34" s="457" t="s">
        <v>256</v>
      </c>
      <c r="AY34" s="457" t="s">
        <v>257</v>
      </c>
      <c r="AZ34" s="457" t="s">
        <v>258</v>
      </c>
      <c r="BA34" s="457" t="s">
        <v>382</v>
      </c>
      <c r="BB34" s="457" t="s">
        <v>383</v>
      </c>
      <c r="BC34" s="457" t="s">
        <v>384</v>
      </c>
      <c r="BD34" s="457" t="s">
        <v>385</v>
      </c>
      <c r="BE34" s="470" t="s">
        <v>379</v>
      </c>
      <c r="BF34" s="470" t="s">
        <v>380</v>
      </c>
      <c r="BG34" s="470" t="s">
        <v>299</v>
      </c>
      <c r="BH34" s="470" t="s">
        <v>381</v>
      </c>
    </row>
    <row r="35" spans="1:60" ht="14.25" customHeight="1" x14ac:dyDescent="0.5">
      <c r="A35" s="632" t="s">
        <v>151</v>
      </c>
      <c r="B35" s="633"/>
      <c r="C35" s="633"/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  <c r="S35" s="633"/>
      <c r="T35" s="633"/>
      <c r="U35" s="633"/>
      <c r="V35" s="633"/>
      <c r="W35" s="633"/>
      <c r="X35" s="633"/>
      <c r="Y35" s="633"/>
      <c r="Z35" s="633"/>
      <c r="AA35" s="633"/>
      <c r="AB35" s="633"/>
      <c r="AC35" s="633"/>
      <c r="AD35" s="633"/>
      <c r="AE35" s="636"/>
      <c r="AF35" s="130"/>
      <c r="AG35" s="130"/>
      <c r="AH35" s="130"/>
      <c r="AI35" s="113"/>
      <c r="AJ35" s="113"/>
      <c r="AM35" s="590" t="s">
        <v>259</v>
      </c>
      <c r="AN35" s="590"/>
      <c r="AO35" s="590"/>
      <c r="AP35" s="590"/>
      <c r="AQ35" s="590"/>
      <c r="AR35" s="590"/>
      <c r="AS35" s="590"/>
      <c r="AT35" s="590"/>
      <c r="AU35" s="590"/>
      <c r="AV35" s="590"/>
      <c r="AW35" s="590"/>
      <c r="AX35" s="590"/>
      <c r="AY35" s="590"/>
      <c r="AZ35" s="590"/>
      <c r="BA35" s="590"/>
      <c r="BB35" s="590"/>
      <c r="BC35" s="590"/>
      <c r="BD35" s="590"/>
      <c r="BE35" s="590"/>
      <c r="BF35" s="590"/>
      <c r="BG35" s="590"/>
      <c r="BH35" s="590"/>
    </row>
    <row r="36" spans="1:60" ht="14.25" customHeight="1" x14ac:dyDescent="0.5">
      <c r="A36" s="303" t="s">
        <v>77</v>
      </c>
      <c r="B36" s="298">
        <f>C36+D36</f>
        <v>188.47</v>
      </c>
      <c r="C36" s="299">
        <v>125.45</v>
      </c>
      <c r="D36" s="299">
        <v>63.02</v>
      </c>
      <c r="E36" s="298">
        <f>C36-D36</f>
        <v>62.43</v>
      </c>
      <c r="F36" s="295">
        <f>G36+H36</f>
        <v>125.33</v>
      </c>
      <c r="G36" s="300">
        <v>96.36</v>
      </c>
      <c r="H36" s="300">
        <v>28.97</v>
      </c>
      <c r="I36" s="295">
        <f>G36-H36+0.01</f>
        <v>67.400000000000006</v>
      </c>
      <c r="J36" s="295">
        <f>K36+L36</f>
        <v>122.83</v>
      </c>
      <c r="K36" s="300">
        <v>94.57</v>
      </c>
      <c r="L36" s="300">
        <v>28.26</v>
      </c>
      <c r="M36" s="301">
        <f>K36-L36</f>
        <v>66.309999999999988</v>
      </c>
      <c r="N36" s="222">
        <f>O36+P36</f>
        <v>200.6</v>
      </c>
      <c r="O36" s="302">
        <v>105.94</v>
      </c>
      <c r="P36" s="302">
        <v>94.66</v>
      </c>
      <c r="Q36" s="223">
        <f>O36-P36</f>
        <v>11.280000000000001</v>
      </c>
      <c r="R36" s="339">
        <f>S36+T36</f>
        <v>485.5059</v>
      </c>
      <c r="S36" s="337">
        <v>197.3201</v>
      </c>
      <c r="T36" s="337">
        <v>288.18579999999997</v>
      </c>
      <c r="U36" s="345">
        <f>S36-T36</f>
        <v>-90.865699999999975</v>
      </c>
      <c r="V36" s="404">
        <f>W36+X36</f>
        <v>967.12570000000005</v>
      </c>
      <c r="W36" s="407">
        <v>214.25839999999999</v>
      </c>
      <c r="X36" s="407">
        <v>752.8673</v>
      </c>
      <c r="Y36" s="455">
        <f t="shared" ref="Y36" si="31">W36-X36</f>
        <v>-538.60889999999995</v>
      </c>
      <c r="Z36" s="492">
        <f>AA36+AC36</f>
        <v>1393.3863999999999</v>
      </c>
      <c r="AA36" s="477">
        <v>260.25940000000003</v>
      </c>
      <c r="AB36" s="485">
        <f>(AA36-AK36)*100/AK36</f>
        <v>32.664453378475869</v>
      </c>
      <c r="AC36" s="477">
        <v>1133.127</v>
      </c>
      <c r="AD36" s="485">
        <f>(AC36-AL36)*100/AL36</f>
        <v>69.022070048141273</v>
      </c>
      <c r="AE36" s="496">
        <f>AA36-AC36</f>
        <v>-872.86759999999992</v>
      </c>
      <c r="AF36" s="464"/>
      <c r="AG36" s="463"/>
      <c r="AH36" s="465"/>
      <c r="AI36" s="461"/>
      <c r="AJ36" s="130"/>
      <c r="AK36" s="334">
        <v>196.17869999999999</v>
      </c>
      <c r="AL36" s="334">
        <v>670.40179999999998</v>
      </c>
      <c r="AM36"/>
      <c r="AN36" s="456" t="s">
        <v>260</v>
      </c>
      <c r="AO36" s="334">
        <v>423.87</v>
      </c>
      <c r="AP36" s="334">
        <v>339.24630000000002</v>
      </c>
      <c r="AQ36" s="334">
        <v>84.623599999999996</v>
      </c>
      <c r="AR36" s="334">
        <v>254.62270000000001</v>
      </c>
      <c r="AS36" s="334">
        <v>614.38019999999995</v>
      </c>
      <c r="AT36" s="334">
        <v>540.38919999999996</v>
      </c>
      <c r="AU36" s="334">
        <v>73.991</v>
      </c>
      <c r="AV36" s="334">
        <v>466.39819999999997</v>
      </c>
      <c r="AW36" s="334">
        <v>614.38019999999995</v>
      </c>
      <c r="AX36" s="334">
        <v>540.38919999999996</v>
      </c>
      <c r="AY36" s="334">
        <v>73.991</v>
      </c>
      <c r="AZ36" s="334">
        <v>466.39819999999997</v>
      </c>
      <c r="BA36" s="334">
        <v>528.83960000000002</v>
      </c>
      <c r="BB36" s="334">
        <v>434.85599999999999</v>
      </c>
      <c r="BC36" s="334">
        <v>93.983500000000006</v>
      </c>
      <c r="BD36" s="334">
        <v>340.8725</v>
      </c>
      <c r="BE36" s="472" t="s">
        <v>386</v>
      </c>
      <c r="BF36" s="472" t="s">
        <v>387</v>
      </c>
      <c r="BG36" s="472" t="s">
        <v>388</v>
      </c>
      <c r="BH36" s="472" t="s">
        <v>300</v>
      </c>
    </row>
    <row r="37" spans="1:60" ht="14.25" customHeight="1" x14ac:dyDescent="0.5">
      <c r="A37" s="641" t="s">
        <v>152</v>
      </c>
      <c r="B37" s="642"/>
      <c r="C37" s="642"/>
      <c r="D37" s="642"/>
      <c r="E37" s="642"/>
      <c r="F37" s="642"/>
      <c r="G37" s="642"/>
      <c r="H37" s="642"/>
      <c r="I37" s="642"/>
      <c r="J37" s="642"/>
      <c r="K37" s="642"/>
      <c r="L37" s="642"/>
      <c r="M37" s="642"/>
      <c r="N37" s="642"/>
      <c r="O37" s="642"/>
      <c r="P37" s="642"/>
      <c r="Q37" s="642"/>
      <c r="R37" s="642"/>
      <c r="S37" s="642"/>
      <c r="T37" s="642"/>
      <c r="U37" s="642"/>
      <c r="V37" s="642"/>
      <c r="W37" s="642"/>
      <c r="X37" s="642"/>
      <c r="Y37" s="642"/>
      <c r="Z37" s="643"/>
      <c r="AA37" s="643"/>
      <c r="AB37" s="643"/>
      <c r="AC37" s="643"/>
      <c r="AD37" s="643"/>
      <c r="AE37" s="644"/>
      <c r="AF37" s="462"/>
      <c r="AG37" s="7"/>
      <c r="AH37" s="7"/>
      <c r="AI37" s="7"/>
      <c r="AJ37" s="7"/>
      <c r="AM37"/>
      <c r="AN37" s="470"/>
      <c r="AO37" s="457" t="s">
        <v>261</v>
      </c>
      <c r="AP37" s="457" t="s">
        <v>262</v>
      </c>
      <c r="AQ37" s="457" t="s">
        <v>263</v>
      </c>
      <c r="AR37" s="457" t="s">
        <v>264</v>
      </c>
      <c r="AS37" s="457" t="s">
        <v>265</v>
      </c>
      <c r="AT37" s="457" t="s">
        <v>266</v>
      </c>
      <c r="AU37" s="457" t="s">
        <v>267</v>
      </c>
      <c r="AV37" s="457" t="s">
        <v>268</v>
      </c>
      <c r="AW37" s="457" t="s">
        <v>265</v>
      </c>
      <c r="AX37" s="457" t="s">
        <v>266</v>
      </c>
      <c r="AY37" s="457" t="s">
        <v>267</v>
      </c>
      <c r="AZ37" s="457" t="s">
        <v>268</v>
      </c>
      <c r="BA37" s="457" t="s">
        <v>389</v>
      </c>
      <c r="BB37" s="457" t="s">
        <v>390</v>
      </c>
      <c r="BC37" s="457" t="s">
        <v>391</v>
      </c>
      <c r="BD37" s="457" t="s">
        <v>392</v>
      </c>
      <c r="BE37" s="470" t="s">
        <v>386</v>
      </c>
      <c r="BF37" s="470" t="s">
        <v>387</v>
      </c>
      <c r="BG37" s="470" t="s">
        <v>388</v>
      </c>
      <c r="BH37" s="470" t="s">
        <v>300</v>
      </c>
    </row>
    <row r="38" spans="1:60" ht="21" customHeight="1" x14ac:dyDescent="0.5">
      <c r="A38" s="297" t="s">
        <v>75</v>
      </c>
      <c r="B38" s="298">
        <f>C38+D38</f>
        <v>200.6</v>
      </c>
      <c r="C38" s="299">
        <v>57.81</v>
      </c>
      <c r="D38" s="299">
        <v>142.79</v>
      </c>
      <c r="E38" s="298">
        <f>C38-D38</f>
        <v>-84.97999999999999</v>
      </c>
      <c r="F38" s="295">
        <f>G38+H38</f>
        <v>658.17000000000007</v>
      </c>
      <c r="G38" s="300">
        <v>298.07</v>
      </c>
      <c r="H38" s="300">
        <v>360.1</v>
      </c>
      <c r="I38" s="295">
        <f>G38-H38</f>
        <v>-62.03000000000003</v>
      </c>
      <c r="J38" s="295">
        <f>K38+L38</f>
        <v>1129.02</v>
      </c>
      <c r="K38" s="300">
        <v>584.91</v>
      </c>
      <c r="L38" s="300">
        <v>544.11</v>
      </c>
      <c r="M38" s="301">
        <f>K38-L38</f>
        <v>40.799999999999955</v>
      </c>
      <c r="N38" s="222">
        <f>O38+P38</f>
        <v>828.97</v>
      </c>
      <c r="O38" s="302">
        <v>362.11</v>
      </c>
      <c r="P38" s="302">
        <v>466.86</v>
      </c>
      <c r="Q38" s="223">
        <f>O38-P38</f>
        <v>-104.75</v>
      </c>
      <c r="R38" s="339">
        <f>S38+T38</f>
        <v>760.04719999999998</v>
      </c>
      <c r="S38" s="337">
        <v>299.06299999999999</v>
      </c>
      <c r="T38" s="337">
        <v>460.98419999999999</v>
      </c>
      <c r="U38" s="345">
        <f>S38-T38</f>
        <v>-161.9212</v>
      </c>
      <c r="V38" s="404">
        <f>W38+X38</f>
        <v>1129.9429</v>
      </c>
      <c r="W38" s="407">
        <v>333.61869999999999</v>
      </c>
      <c r="X38" s="407">
        <v>796.32420000000002</v>
      </c>
      <c r="Y38" s="410">
        <f t="shared" ref="Y38" si="32">W38-X38</f>
        <v>-462.70550000000003</v>
      </c>
      <c r="Z38" s="492">
        <f>AA38+AC38</f>
        <v>531.17399999999998</v>
      </c>
      <c r="AA38" s="477">
        <v>159.33029999999999</v>
      </c>
      <c r="AB38" s="485">
        <f>(AA38-AK38)*100/AK38</f>
        <v>-51.417719921075665</v>
      </c>
      <c r="AC38" s="477">
        <v>371.84370000000001</v>
      </c>
      <c r="AD38" s="485">
        <f>(AC38-AL38)*100/AL38</f>
        <v>-50.014289555047718</v>
      </c>
      <c r="AE38" s="496">
        <f>AA38-AC38</f>
        <v>-212.51340000000002</v>
      </c>
      <c r="AF38" s="342" t="e">
        <f>(#REF!-#REF!)*100/#REF!</f>
        <v>#REF!</v>
      </c>
      <c r="AG38" s="7">
        <v>0.93</v>
      </c>
      <c r="AH38" s="7" t="e">
        <f>+(AG38-AF38)/AF38*100</f>
        <v>#REF!</v>
      </c>
      <c r="AI38" s="7"/>
      <c r="AJ38" s="7"/>
      <c r="AK38" s="334">
        <v>327.9597</v>
      </c>
      <c r="AL38" s="334">
        <v>743.9</v>
      </c>
      <c r="AM38" s="586"/>
      <c r="AN38" s="586"/>
      <c r="AO38" s="457" t="s">
        <v>175</v>
      </c>
      <c r="AP38" s="457" t="s">
        <v>176</v>
      </c>
      <c r="AQ38" s="457" t="s">
        <v>177</v>
      </c>
      <c r="AR38" s="457" t="s">
        <v>178</v>
      </c>
      <c r="AS38" s="457" t="s">
        <v>179</v>
      </c>
      <c r="AT38" s="457" t="s">
        <v>180</v>
      </c>
      <c r="AU38" s="457" t="s">
        <v>181</v>
      </c>
      <c r="AV38" s="457" t="s">
        <v>182</v>
      </c>
      <c r="AW38" s="457" t="s">
        <v>179</v>
      </c>
      <c r="AX38" s="457" t="s">
        <v>180</v>
      </c>
      <c r="AY38" s="457" t="s">
        <v>181</v>
      </c>
      <c r="AZ38" s="457" t="s">
        <v>182</v>
      </c>
      <c r="BA38" s="457" t="s">
        <v>309</v>
      </c>
      <c r="BB38" s="457" t="s">
        <v>393</v>
      </c>
      <c r="BC38" s="457" t="s">
        <v>311</v>
      </c>
      <c r="BD38" s="457" t="s">
        <v>312</v>
      </c>
      <c r="BE38" s="470" t="s">
        <v>313</v>
      </c>
      <c r="BF38" s="470" t="s">
        <v>314</v>
      </c>
      <c r="BG38" s="470"/>
      <c r="BH38" s="470"/>
    </row>
    <row r="39" spans="1:60" ht="14.25" customHeight="1" x14ac:dyDescent="0.5">
      <c r="A39" s="632" t="s">
        <v>113</v>
      </c>
      <c r="B39" s="633"/>
      <c r="C39" s="633"/>
      <c r="D39" s="633"/>
      <c r="E39" s="633"/>
      <c r="F39" s="633"/>
      <c r="G39" s="633"/>
      <c r="H39" s="633"/>
      <c r="I39" s="633"/>
      <c r="J39" s="633"/>
      <c r="K39" s="633"/>
      <c r="L39" s="633"/>
      <c r="M39" s="633"/>
      <c r="N39" s="633"/>
      <c r="O39" s="633"/>
      <c r="P39" s="633"/>
      <c r="Q39" s="633"/>
      <c r="R39" s="633"/>
      <c r="S39" s="633"/>
      <c r="T39" s="633"/>
      <c r="U39" s="633"/>
      <c r="V39" s="633"/>
      <c r="W39" s="633"/>
      <c r="X39" s="633"/>
      <c r="Y39" s="633"/>
      <c r="Z39" s="634"/>
      <c r="AA39" s="634"/>
      <c r="AB39" s="634"/>
      <c r="AC39" s="634"/>
      <c r="AD39" s="634"/>
      <c r="AE39" s="635"/>
      <c r="AF39" s="112"/>
      <c r="AG39" s="7"/>
      <c r="AH39" s="7"/>
      <c r="AI39" s="7"/>
      <c r="AJ39" s="7"/>
    </row>
    <row r="40" spans="1:60" s="9" customFormat="1" ht="21" customHeight="1" x14ac:dyDescent="0.5">
      <c r="A40" s="297" t="s">
        <v>76</v>
      </c>
      <c r="B40" s="298">
        <f>C40+D40</f>
        <v>117.57</v>
      </c>
      <c r="C40" s="299">
        <v>84.94</v>
      </c>
      <c r="D40" s="299">
        <v>32.630000000000003</v>
      </c>
      <c r="E40" s="298">
        <f>C40-D40</f>
        <v>52.309999999999995</v>
      </c>
      <c r="F40" s="295">
        <f>G40+H40</f>
        <v>281.08000000000004</v>
      </c>
      <c r="G40" s="300">
        <v>130.65</v>
      </c>
      <c r="H40" s="300">
        <v>150.43</v>
      </c>
      <c r="I40" s="295">
        <f>G40-H40</f>
        <v>-19.78</v>
      </c>
      <c r="J40" s="295">
        <f>K40+L40</f>
        <v>433.9</v>
      </c>
      <c r="K40" s="300">
        <v>270.95999999999998</v>
      </c>
      <c r="L40" s="300">
        <v>162.94</v>
      </c>
      <c r="M40" s="301">
        <f>K40-L40</f>
        <v>108.01999999999998</v>
      </c>
      <c r="N40" s="222">
        <f>O40+P40</f>
        <v>389.065</v>
      </c>
      <c r="O40" s="302">
        <v>179.29</v>
      </c>
      <c r="P40" s="302">
        <v>209.77500000000001</v>
      </c>
      <c r="Q40" s="223">
        <f>O40-P40</f>
        <v>-30.485000000000014</v>
      </c>
      <c r="R40" s="339">
        <f>S40+T40</f>
        <v>423.87</v>
      </c>
      <c r="S40" s="341">
        <v>339.25</v>
      </c>
      <c r="T40" s="341">
        <v>84.62</v>
      </c>
      <c r="U40" s="345">
        <f>S40-T40-0.01</f>
        <v>254.62</v>
      </c>
      <c r="V40" s="404">
        <f>W40+X40</f>
        <v>614.38019999999995</v>
      </c>
      <c r="W40" s="407">
        <v>540.38919999999996</v>
      </c>
      <c r="X40" s="407">
        <v>73.991</v>
      </c>
      <c r="Y40" s="410">
        <f t="shared" ref="Y40" si="33">W40-X40</f>
        <v>466.39819999999997</v>
      </c>
      <c r="Z40" s="492">
        <f>AA40+AC40</f>
        <v>486.59130000000005</v>
      </c>
      <c r="AA40" s="477">
        <v>402.72</v>
      </c>
      <c r="AB40" s="485">
        <f t="shared" ref="AB40:AB41" si="34">(AA40-AK40)*100/AK40</f>
        <v>-16.230105117988618</v>
      </c>
      <c r="AC40" s="477">
        <v>83.871300000000005</v>
      </c>
      <c r="AD40" s="485">
        <f>(AC40-AL40)*100/AL40</f>
        <v>29.191575490487534</v>
      </c>
      <c r="AE40" s="496">
        <f>AA40-AC40</f>
        <v>318.84870000000001</v>
      </c>
      <c r="AF40" s="409" t="e">
        <f>SUM(AF24:AF38)</f>
        <v>#REF!</v>
      </c>
      <c r="AG40" s="140">
        <f>SUM(AG24:AG38)</f>
        <v>53.019999999999996</v>
      </c>
      <c r="AH40" s="140" t="e">
        <f>SUM(AH24:AH38)</f>
        <v>#REF!</v>
      </c>
      <c r="AI40" s="113"/>
      <c r="AJ40" s="113"/>
      <c r="AK40" s="334">
        <v>480.74549999999999</v>
      </c>
      <c r="AL40" s="334">
        <v>64.920100000000005</v>
      </c>
    </row>
    <row r="41" spans="1:60" ht="14.25" customHeight="1" x14ac:dyDescent="0.5">
      <c r="A41" s="304" t="s">
        <v>112</v>
      </c>
      <c r="B41" s="215" t="e">
        <f>B8+B24+B29+B33+B19+B38+B40+B36+#REF!+B16-0.01</f>
        <v>#REF!</v>
      </c>
      <c r="C41" s="215" t="e">
        <f>C8+C24+C29+C33+C19+C38+C40+C36+#REF!+C16</f>
        <v>#REF!</v>
      </c>
      <c r="D41" s="215" t="e">
        <f>D8+D24+D29+D33+D19+D38+D40+D36+#REF!+D16-0.01</f>
        <v>#REF!</v>
      </c>
      <c r="E41" s="215" t="e">
        <f>E8+E24+E29+E33+E19+E38+E40+E36+#REF!+E16+0.01</f>
        <v>#REF!</v>
      </c>
      <c r="F41" s="216">
        <f>SUM(G41+H41)</f>
        <v>215461.79000000004</v>
      </c>
      <c r="G41" s="216">
        <f>SUM(G8:G40)-0.01</f>
        <v>94006.540000000023</v>
      </c>
      <c r="H41" s="216">
        <f>SUM(H8:H40)-0.01</f>
        <v>121455.25</v>
      </c>
      <c r="I41" s="216">
        <f>SUM(G41-H41)</f>
        <v>-27448.709999999977</v>
      </c>
      <c r="J41" s="216">
        <f>SUM(K41+L41)</f>
        <v>217964.64000000004</v>
      </c>
      <c r="K41" s="216">
        <f>SUM(K8:K40)-0.01</f>
        <v>100819.30000000003</v>
      </c>
      <c r="L41" s="216">
        <f>SUM(L8:L40)+0.01</f>
        <v>117145.34000000001</v>
      </c>
      <c r="M41" s="230">
        <f>SUM(K41-L41)</f>
        <v>-16326.039999999979</v>
      </c>
      <c r="N41" s="231">
        <f>SUM(N17+N22+N27+N29+N34+N38+N40+N36)+0.02</f>
        <v>187905.29300000003</v>
      </c>
      <c r="O41" s="217">
        <f>SUM(O17+O22+O27+O29+O34+O38+O40+O36)+0.01</f>
        <v>109267.17389999998</v>
      </c>
      <c r="P41" s="217">
        <f>SUM(P17+P22+P27+P29+P34+P38+P40+P36)+0.01</f>
        <v>78638.119099999982</v>
      </c>
      <c r="Q41" s="218">
        <f t="shared" ref="Q41:Y41" si="35">SUM(Q17+Q22+Q27+Q29+Q34+Q38+Q40+Q36)</f>
        <v>30629.054799999998</v>
      </c>
      <c r="R41" s="231">
        <f>SUM(R17+R22+R27+R29+R34+R38+R40+R36)</f>
        <v>184331.01120000001</v>
      </c>
      <c r="S41" s="217">
        <f t="shared" si="35"/>
        <v>108966.1828</v>
      </c>
      <c r="T41" s="217">
        <f>SUM(T17+T22+T27+T29+T34+T38+T40+T36)</f>
        <v>75364.828399999999</v>
      </c>
      <c r="U41" s="218">
        <f>SUM(U17+U22+U27+U29+U34+U38+U40+U36)+0.01</f>
        <v>33601.354400000011</v>
      </c>
      <c r="V41" s="411">
        <f t="shared" si="35"/>
        <v>193328.57200000001</v>
      </c>
      <c r="W41" s="402">
        <f t="shared" si="35"/>
        <v>105213.51040000003</v>
      </c>
      <c r="X41" s="403">
        <f t="shared" si="35"/>
        <v>88115.061600000001</v>
      </c>
      <c r="Y41" s="408">
        <f t="shared" si="35"/>
        <v>17098.448799999998</v>
      </c>
      <c r="Z41" s="500">
        <f>AA41+AC41</f>
        <v>180737.18369999997</v>
      </c>
      <c r="AA41" s="501">
        <f>SUM(AA17+AA22+AA27+AA29+AA34+AA38+AA40+AA36)</f>
        <v>93778.108699999997</v>
      </c>
      <c r="AB41" s="501">
        <f t="shared" si="34"/>
        <v>-2.8767925332078041</v>
      </c>
      <c r="AC41" s="501">
        <f>SUM(AC17+AC22+AC27+AC29+AC34+AC38+AC40+AC36)</f>
        <v>86959.074999999968</v>
      </c>
      <c r="AD41" s="501">
        <f>(AC41-AL41)*100/AL41</f>
        <v>8.3182291987388304</v>
      </c>
      <c r="AE41" s="502">
        <f>SUM(AE17+AE22+AE27+AE29+AE34+AE38+AE40+AE36)</f>
        <v>6819.0337000000145</v>
      </c>
      <c r="AF41" s="7"/>
      <c r="AG41" s="7"/>
      <c r="AH41" s="7"/>
      <c r="AI41" s="8"/>
      <c r="AJ41" s="8"/>
      <c r="AK41" s="402">
        <f t="shared" ref="AK41:AL41" si="36">SUM(AK17+AK22+AK27+AK29+AK34+AK38+AK40+AK36)</f>
        <v>96555.819300000017</v>
      </c>
      <c r="AL41" s="403">
        <f t="shared" si="36"/>
        <v>80281.108399999997</v>
      </c>
    </row>
    <row r="42" spans="1:60" s="8" customFormat="1" ht="16.5" customHeight="1" x14ac:dyDescent="0.4">
      <c r="A42" s="108" t="s">
        <v>73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503"/>
      <c r="AA42" s="504"/>
      <c r="AB42" s="504"/>
      <c r="AC42" s="504"/>
      <c r="AD42" s="504"/>
      <c r="AE42" s="505" t="s">
        <v>89</v>
      </c>
    </row>
    <row r="43" spans="1:60" s="8" customFormat="1" ht="16.5" customHeight="1" x14ac:dyDescent="0.2">
      <c r="A43" s="413" t="s">
        <v>148</v>
      </c>
      <c r="B43" s="414"/>
      <c r="C43" s="415"/>
      <c r="D43" s="415"/>
      <c r="E43" s="415"/>
      <c r="F43" s="415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506"/>
      <c r="AA43" s="507"/>
      <c r="AB43" s="508"/>
      <c r="AC43" s="508"/>
      <c r="AD43" s="508"/>
      <c r="AE43" s="509" t="s">
        <v>62</v>
      </c>
      <c r="AF43" s="318" t="s">
        <v>38</v>
      </c>
      <c r="AG43" s="318" t="s">
        <v>39</v>
      </c>
      <c r="AI43" s="417"/>
      <c r="AJ43" s="417"/>
    </row>
    <row r="44" spans="1:60" s="422" customFormat="1" ht="16.5" customHeight="1" x14ac:dyDescent="0.2">
      <c r="A44" s="418" t="s">
        <v>145</v>
      </c>
      <c r="B44" s="414"/>
      <c r="C44" s="415"/>
      <c r="D44" s="415"/>
      <c r="E44" s="415"/>
      <c r="F44" s="415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510"/>
      <c r="AA44" s="510"/>
      <c r="AB44" s="510"/>
      <c r="AC44" s="511"/>
      <c r="AD44" s="511"/>
      <c r="AE44" s="512" t="s">
        <v>6</v>
      </c>
      <c r="AF44" s="417"/>
      <c r="AG44" s="417"/>
      <c r="AH44" s="417"/>
      <c r="AI44" s="420"/>
      <c r="AJ44" s="420"/>
      <c r="AK44" s="417"/>
      <c r="AL44" s="417"/>
      <c r="AM44" s="417"/>
      <c r="AN44" s="417"/>
      <c r="AO44" s="417"/>
      <c r="AP44" s="46"/>
      <c r="AQ44" s="421"/>
      <c r="AR44" s="421"/>
      <c r="AS44" s="421"/>
    </row>
    <row r="45" spans="1:60" s="422" customFormat="1" ht="16.5" customHeight="1" x14ac:dyDescent="0.2">
      <c r="A45" s="413" t="s">
        <v>146</v>
      </c>
      <c r="B45" s="418"/>
      <c r="C45" s="423"/>
      <c r="D45" s="423"/>
      <c r="E45" s="423"/>
      <c r="F45" s="423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513"/>
      <c r="AA45" s="513"/>
      <c r="AB45" s="513"/>
      <c r="AC45" s="513"/>
      <c r="AD45" s="513"/>
      <c r="AE45" s="513"/>
      <c r="AF45" s="420"/>
      <c r="AG45" s="420"/>
      <c r="AH45" s="420"/>
      <c r="AI45" s="318"/>
      <c r="AJ45" s="318"/>
      <c r="AK45" s="420"/>
      <c r="AL45" s="420"/>
      <c r="AM45" s="420"/>
      <c r="AN45" s="420"/>
      <c r="AO45" s="417"/>
      <c r="AP45" s="46"/>
      <c r="AQ45" s="421"/>
      <c r="AR45" s="421"/>
      <c r="AS45" s="421"/>
    </row>
    <row r="46" spans="1:60" s="318" customFormat="1" ht="16.5" customHeight="1" x14ac:dyDescent="0.2">
      <c r="A46" s="417" t="s">
        <v>149</v>
      </c>
      <c r="Z46" s="514"/>
      <c r="AA46" s="514"/>
      <c r="AB46" s="514"/>
      <c r="AC46" s="514"/>
      <c r="AD46" s="514"/>
      <c r="AE46" s="514"/>
    </row>
    <row r="47" spans="1:60" s="318" customFormat="1" ht="16.5" customHeight="1" x14ac:dyDescent="0.2">
      <c r="A47" s="412" t="s">
        <v>162</v>
      </c>
      <c r="Z47" s="514"/>
      <c r="AA47" s="514"/>
      <c r="AB47" s="514"/>
      <c r="AC47" s="514"/>
      <c r="AD47" s="514"/>
      <c r="AE47" s="514"/>
    </row>
  </sheetData>
  <mergeCells count="218">
    <mergeCell ref="AM2:AZ2"/>
    <mergeCell ref="AD20:AD21"/>
    <mergeCell ref="AE15:AE16"/>
    <mergeCell ref="Z20:Z21"/>
    <mergeCell ref="W20:W21"/>
    <mergeCell ref="X20:X21"/>
    <mergeCell ref="V20:V21"/>
    <mergeCell ref="Y20:Y21"/>
    <mergeCell ref="W25:W26"/>
    <mergeCell ref="X25:X26"/>
    <mergeCell ref="V25:V26"/>
    <mergeCell ref="Y25:Y26"/>
    <mergeCell ref="AA20:AA21"/>
    <mergeCell ref="AB20:AB21"/>
    <mergeCell ref="AC20:AC21"/>
    <mergeCell ref="AD15:AD16"/>
    <mergeCell ref="AC9:AC10"/>
    <mergeCell ref="AD9:AD10"/>
    <mergeCell ref="AE9:AE10"/>
    <mergeCell ref="AA9:AA10"/>
    <mergeCell ref="AB9:AB10"/>
    <mergeCell ref="AA13:AA14"/>
    <mergeCell ref="AB13:AB14"/>
    <mergeCell ref="AC13:AC14"/>
    <mergeCell ref="A39:AE39"/>
    <mergeCell ref="A35:AE35"/>
    <mergeCell ref="A18:AE18"/>
    <mergeCell ref="A23:AE23"/>
    <mergeCell ref="A28:AE28"/>
    <mergeCell ref="A30:AE30"/>
    <mergeCell ref="A37:AE37"/>
    <mergeCell ref="AA25:AA26"/>
    <mergeCell ref="AB25:AB26"/>
    <mergeCell ref="AC25:AC26"/>
    <mergeCell ref="AD25:AD26"/>
    <mergeCell ref="AE25:AE26"/>
    <mergeCell ref="AE20:AE21"/>
    <mergeCell ref="I20:I21"/>
    <mergeCell ref="J20:J21"/>
    <mergeCell ref="S25:S26"/>
    <mergeCell ref="T25:T26"/>
    <mergeCell ref="U25:U26"/>
    <mergeCell ref="Z25:Z26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J25:J26"/>
    <mergeCell ref="K25:K26"/>
    <mergeCell ref="L25:L26"/>
    <mergeCell ref="U20:U21"/>
    <mergeCell ref="O20:O21"/>
    <mergeCell ref="P20:P21"/>
    <mergeCell ref="Q20:Q21"/>
    <mergeCell ref="R20:R21"/>
    <mergeCell ref="S20:S21"/>
    <mergeCell ref="T20:T21"/>
    <mergeCell ref="F20:F21"/>
    <mergeCell ref="G20:G21"/>
    <mergeCell ref="H20:H21"/>
    <mergeCell ref="L20:L21"/>
    <mergeCell ref="M20:M21"/>
    <mergeCell ref="N20:N21"/>
    <mergeCell ref="K20:K21"/>
    <mergeCell ref="O15:O16"/>
    <mergeCell ref="P15:P16"/>
    <mergeCell ref="Q15:Q16"/>
    <mergeCell ref="R15:R16"/>
    <mergeCell ref="S15:S16"/>
    <mergeCell ref="T15:T16"/>
    <mergeCell ref="AA15:AA16"/>
    <mergeCell ref="U15:U16"/>
    <mergeCell ref="Z15:Z16"/>
    <mergeCell ref="W15:W16"/>
    <mergeCell ref="X15:X16"/>
    <mergeCell ref="V15:V16"/>
    <mergeCell ref="Y15:Y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AD13:AD14"/>
    <mergeCell ref="AE13:AE14"/>
    <mergeCell ref="Q13:Q14"/>
    <mergeCell ref="K13:K14"/>
    <mergeCell ref="L13:L14"/>
    <mergeCell ref="AB15:AB16"/>
    <mergeCell ref="AC15:AC16"/>
    <mergeCell ref="Z9:Z10"/>
    <mergeCell ref="M9:M10"/>
    <mergeCell ref="N9:N10"/>
    <mergeCell ref="O9:O10"/>
    <mergeCell ref="P9:P10"/>
    <mergeCell ref="Q9:Q10"/>
    <mergeCell ref="R9:R10"/>
    <mergeCell ref="M13:M14"/>
    <mergeCell ref="N13:N14"/>
    <mergeCell ref="O13:O14"/>
    <mergeCell ref="P13:P14"/>
    <mergeCell ref="R13:R14"/>
    <mergeCell ref="S13:S14"/>
    <mergeCell ref="T13:T14"/>
    <mergeCell ref="U13:U14"/>
    <mergeCell ref="Z13:Z14"/>
    <mergeCell ref="W13:W14"/>
    <mergeCell ref="X13:X14"/>
    <mergeCell ref="V13:V14"/>
    <mergeCell ref="Y13:Y14"/>
    <mergeCell ref="X11:X12"/>
    <mergeCell ref="X9:X10"/>
    <mergeCell ref="V11:V12"/>
    <mergeCell ref="V9:V10"/>
    <mergeCell ref="W9:W10"/>
    <mergeCell ref="Y11:Y12"/>
    <mergeCell ref="Y9:Y10"/>
    <mergeCell ref="F13:F14"/>
    <mergeCell ref="G13:G14"/>
    <mergeCell ref="H13:H14"/>
    <mergeCell ref="I13:I14"/>
    <mergeCell ref="J13:J14"/>
    <mergeCell ref="S9:S10"/>
    <mergeCell ref="T9:T10"/>
    <mergeCell ref="U9:U10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AE11:AE12"/>
    <mergeCell ref="AA11:AA12"/>
    <mergeCell ref="AB11:AB12"/>
    <mergeCell ref="AC11:AC12"/>
    <mergeCell ref="AD11:AD12"/>
    <mergeCell ref="A7:AE7"/>
    <mergeCell ref="V5:Y5"/>
    <mergeCell ref="F9:F10"/>
    <mergeCell ref="G9:G10"/>
    <mergeCell ref="H9:H10"/>
    <mergeCell ref="I9:I10"/>
    <mergeCell ref="J9:J10"/>
    <mergeCell ref="K9:K10"/>
    <mergeCell ref="L9:L10"/>
    <mergeCell ref="U11:U12"/>
    <mergeCell ref="Z11:Z12"/>
    <mergeCell ref="O11:O12"/>
    <mergeCell ref="P11:P12"/>
    <mergeCell ref="Q11:Q12"/>
    <mergeCell ref="R11:R12"/>
    <mergeCell ref="S11:S12"/>
    <mergeCell ref="T11:T12"/>
    <mergeCell ref="W11:W12"/>
    <mergeCell ref="A1:AE1"/>
    <mergeCell ref="A2:AE2"/>
    <mergeCell ref="A3:AE3"/>
    <mergeCell ref="A5:A6"/>
    <mergeCell ref="B5:E5"/>
    <mergeCell ref="F5:I5"/>
    <mergeCell ref="J5:M5"/>
    <mergeCell ref="N5:Q5"/>
    <mergeCell ref="R5:U5"/>
    <mergeCell ref="Z5:AE5"/>
    <mergeCell ref="AS4:AV4"/>
    <mergeCell ref="AW4:BD4"/>
    <mergeCell ref="BE4:BF4"/>
    <mergeCell ref="BG4:BH4"/>
    <mergeCell ref="AO5:AO6"/>
    <mergeCell ref="AP5:AP6"/>
    <mergeCell ref="AQ5:AQ6"/>
    <mergeCell ref="AR5:AR6"/>
    <mergeCell ref="AS5:AS6"/>
    <mergeCell ref="AT5:AT6"/>
    <mergeCell ref="AU5:AU6"/>
    <mergeCell ref="AV5:AV6"/>
    <mergeCell ref="AW5:AZ5"/>
    <mergeCell ref="BA5:BD5"/>
    <mergeCell ref="BE5:BE6"/>
    <mergeCell ref="BF5:BF6"/>
    <mergeCell ref="BG5:BG6"/>
    <mergeCell ref="BH5:BH6"/>
    <mergeCell ref="AM38:AN38"/>
    <mergeCell ref="AK5:AL5"/>
    <mergeCell ref="AL20:AL21"/>
    <mergeCell ref="AK25:AK26"/>
    <mergeCell ref="AL25:AL26"/>
    <mergeCell ref="AK9:AK10"/>
    <mergeCell ref="AL9:AL10"/>
    <mergeCell ref="AK11:AK12"/>
    <mergeCell ref="AL11:AL12"/>
    <mergeCell ref="AK13:AK14"/>
    <mergeCell ref="AL13:AL14"/>
    <mergeCell ref="AK15:AK16"/>
    <mergeCell ref="AL15:AL16"/>
    <mergeCell ref="AK20:AK21"/>
    <mergeCell ref="AM7:BH7"/>
    <mergeCell ref="AM14:BH14"/>
    <mergeCell ref="AM18:BH18"/>
    <mergeCell ref="AM21:BH21"/>
    <mergeCell ref="AM24:BH24"/>
    <mergeCell ref="AM29:BH29"/>
    <mergeCell ref="AM32:BH32"/>
    <mergeCell ref="AM35:BH35"/>
    <mergeCell ref="AM4:AN6"/>
    <mergeCell ref="AO4:AR4"/>
  </mergeCells>
  <pageMargins left="0" right="0" top="0" bottom="0" header="0" footer="0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view="pageLayout" zoomScale="120" zoomScaleNormal="96" zoomScalePageLayoutView="120" workbookViewId="0">
      <selection activeCell="L19" sqref="L1:T1048576"/>
    </sheetView>
  </sheetViews>
  <sheetFormatPr defaultColWidth="9.125" defaultRowHeight="23.25" x14ac:dyDescent="0.5"/>
  <cols>
    <col min="1" max="1" width="6.375" style="10" customWidth="1"/>
    <col min="2" max="2" width="28.625" style="11" customWidth="1"/>
    <col min="3" max="4" width="9.625" style="10" customWidth="1"/>
    <col min="5" max="6" width="9.625" style="443" customWidth="1"/>
    <col min="7" max="7" width="8.5" style="10" customWidth="1"/>
    <col min="8" max="11" width="0" style="10" hidden="1" customWidth="1"/>
    <col min="12" max="16384" width="9.125" style="10"/>
  </cols>
  <sheetData>
    <row r="1" spans="1:11" ht="24" customHeight="1" x14ac:dyDescent="0.55000000000000004">
      <c r="A1" s="661" t="s">
        <v>79</v>
      </c>
      <c r="B1" s="661"/>
      <c r="C1" s="661"/>
      <c r="D1" s="661"/>
      <c r="E1" s="661"/>
      <c r="F1" s="661"/>
      <c r="G1" s="661"/>
    </row>
    <row r="2" spans="1:11" ht="24" customHeight="1" x14ac:dyDescent="0.55000000000000004">
      <c r="A2" s="661" t="s">
        <v>394</v>
      </c>
      <c r="B2" s="661"/>
      <c r="C2" s="661"/>
      <c r="D2" s="661"/>
      <c r="E2" s="661"/>
      <c r="F2" s="661"/>
      <c r="G2" s="661"/>
    </row>
    <row r="3" spans="1:11" ht="22.5" customHeight="1" x14ac:dyDescent="0.55000000000000004">
      <c r="A3" s="662" t="s">
        <v>78</v>
      </c>
      <c r="B3" s="662"/>
      <c r="C3" s="141"/>
      <c r="D3" s="141"/>
      <c r="E3" s="439"/>
      <c r="F3" s="439"/>
      <c r="G3" s="142" t="s">
        <v>46</v>
      </c>
    </row>
    <row r="4" spans="1:11" ht="20.25" customHeight="1" x14ac:dyDescent="0.5">
      <c r="A4" s="663" t="s">
        <v>24</v>
      </c>
      <c r="B4" s="657" t="s">
        <v>58</v>
      </c>
      <c r="C4" s="659">
        <v>2560</v>
      </c>
      <c r="D4" s="659">
        <v>2561</v>
      </c>
      <c r="E4" s="332">
        <v>2561</v>
      </c>
      <c r="F4" s="333">
        <v>2562</v>
      </c>
      <c r="G4" s="654" t="s">
        <v>82</v>
      </c>
    </row>
    <row r="5" spans="1:11" ht="17.25" customHeight="1" x14ac:dyDescent="0.5">
      <c r="A5" s="664"/>
      <c r="B5" s="658"/>
      <c r="C5" s="660"/>
      <c r="D5" s="660"/>
      <c r="E5" s="656" t="s">
        <v>395</v>
      </c>
      <c r="F5" s="656"/>
      <c r="G5" s="655"/>
    </row>
    <row r="6" spans="1:11" ht="18.75" customHeight="1" x14ac:dyDescent="0.5">
      <c r="A6" s="163">
        <v>1</v>
      </c>
      <c r="B6" s="665" t="s">
        <v>41</v>
      </c>
      <c r="C6" s="666">
        <v>5964.3482359999998</v>
      </c>
      <c r="D6" s="666">
        <v>7754.2395310000002</v>
      </c>
      <c r="E6" s="667">
        <v>7754.2395310000002</v>
      </c>
      <c r="F6" s="667">
        <v>8253.6011780000008</v>
      </c>
      <c r="G6" s="467">
        <f>(F6-E6)*100/E6</f>
        <v>6.4398532570943434</v>
      </c>
      <c r="H6" s="134">
        <f t="shared" ref="H6:K7" si="0">(G6-F6)*100/F6</f>
        <v>-99.921975230954217</v>
      </c>
      <c r="I6" s="134">
        <f t="shared" si="0"/>
        <v>-1651.618821762391</v>
      </c>
      <c r="J6" s="134">
        <f t="shared" si="0"/>
        <v>1552.9084998018993</v>
      </c>
      <c r="K6" s="134">
        <f t="shared" si="0"/>
        <v>-194.02341989205712</v>
      </c>
    </row>
    <row r="7" spans="1:11" ht="18.75" customHeight="1" x14ac:dyDescent="0.5">
      <c r="A7" s="163" t="s">
        <v>51</v>
      </c>
      <c r="B7" s="665" t="s">
        <v>269</v>
      </c>
      <c r="C7" s="666">
        <v>6657.8609569999999</v>
      </c>
      <c r="D7" s="666">
        <v>6069.7695460000004</v>
      </c>
      <c r="E7" s="667">
        <v>6069.7695460000004</v>
      </c>
      <c r="F7" s="667">
        <v>6791.5565690000003</v>
      </c>
      <c r="G7" s="467">
        <f t="shared" ref="G7:G18" si="1">(F7-E7)*100/E7</f>
        <v>11.891506218315325</v>
      </c>
      <c r="H7" s="134">
        <f t="shared" si="0"/>
        <v>-99.824907499517948</v>
      </c>
      <c r="I7" s="134">
        <f t="shared" si="0"/>
        <v>-939.46394734896921</v>
      </c>
      <c r="J7" s="134">
        <f t="shared" si="0"/>
        <v>841.11176346795594</v>
      </c>
      <c r="K7" s="134">
        <f t="shared" si="0"/>
        <v>-189.53103158896636</v>
      </c>
    </row>
    <row r="8" spans="1:11" ht="18.75" customHeight="1" x14ac:dyDescent="0.5">
      <c r="A8" s="163" t="s">
        <v>44</v>
      </c>
      <c r="B8" s="665" t="s">
        <v>42</v>
      </c>
      <c r="C8" s="666">
        <v>4916.4055749999998</v>
      </c>
      <c r="D8" s="666">
        <v>4961.6061950000003</v>
      </c>
      <c r="E8" s="667">
        <v>4961.6061950000003</v>
      </c>
      <c r="F8" s="667">
        <v>5082.320772</v>
      </c>
      <c r="G8" s="467">
        <f t="shared" si="1"/>
        <v>2.4329737640534312</v>
      </c>
      <c r="H8" s="134">
        <f t="shared" ref="H8:K15" si="2">(G8-F8)*100/F8</f>
        <v>-99.95212868543328</v>
      </c>
      <c r="I8" s="134">
        <f t="shared" si="2"/>
        <v>-4208.2287923610429</v>
      </c>
      <c r="J8" s="134">
        <f t="shared" si="2"/>
        <v>4110.2442916499258</v>
      </c>
      <c r="K8" s="134">
        <f t="shared" si="2"/>
        <v>-197.67159758782645</v>
      </c>
    </row>
    <row r="9" spans="1:11" ht="18.75" customHeight="1" x14ac:dyDescent="0.5">
      <c r="A9" s="163" t="s">
        <v>45</v>
      </c>
      <c r="B9" s="665" t="s">
        <v>84</v>
      </c>
      <c r="C9" s="666">
        <v>4877.1124239999999</v>
      </c>
      <c r="D9" s="666">
        <v>5344.938408</v>
      </c>
      <c r="E9" s="667">
        <v>5344.938408</v>
      </c>
      <c r="F9" s="667">
        <v>4909.7969839999996</v>
      </c>
      <c r="G9" s="467">
        <f t="shared" si="1"/>
        <v>-8.141186872213634</v>
      </c>
      <c r="H9" s="134">
        <f t="shared" si="2"/>
        <v>-100.16581514263714</v>
      </c>
      <c r="I9" s="134">
        <f t="shared" si="2"/>
        <v>1130.3588741404421</v>
      </c>
      <c r="J9" s="134">
        <f t="shared" si="2"/>
        <v>-1228.487670699629</v>
      </c>
      <c r="K9" s="134">
        <f t="shared" si="2"/>
        <v>-208.68120725232566</v>
      </c>
    </row>
    <row r="10" spans="1:11" ht="18.75" customHeight="1" x14ac:dyDescent="0.5">
      <c r="A10" s="163" t="s">
        <v>50</v>
      </c>
      <c r="B10" s="665" t="s">
        <v>270</v>
      </c>
      <c r="C10" s="666">
        <v>4639.827714</v>
      </c>
      <c r="D10" s="666">
        <v>4374.7789160000002</v>
      </c>
      <c r="E10" s="667">
        <v>4374.7789160000002</v>
      </c>
      <c r="F10" s="667">
        <v>3865.7691679999998</v>
      </c>
      <c r="G10" s="467">
        <f>(F10-E10)*100/E10</f>
        <v>-11.63509648769644</v>
      </c>
      <c r="H10" s="134">
        <f t="shared" si="2"/>
        <v>-100.30097752819825</v>
      </c>
      <c r="I10" s="134">
        <f t="shared" si="2"/>
        <v>762.0553996630947</v>
      </c>
      <c r="J10" s="134">
        <f t="shared" si="2"/>
        <v>-859.76866671000619</v>
      </c>
      <c r="K10" s="134">
        <f t="shared" si="2"/>
        <v>-212.82233117042546</v>
      </c>
    </row>
    <row r="11" spans="1:11" ht="18.75" customHeight="1" x14ac:dyDescent="0.5">
      <c r="A11" s="163" t="s">
        <v>47</v>
      </c>
      <c r="B11" s="665" t="s">
        <v>60</v>
      </c>
      <c r="C11" s="666">
        <v>4958.9116489999997</v>
      </c>
      <c r="D11" s="666">
        <v>4108.3131270000003</v>
      </c>
      <c r="E11" s="667">
        <v>4108.3131270000003</v>
      </c>
      <c r="F11" s="667">
        <v>3577.4976849999998</v>
      </c>
      <c r="G11" s="467">
        <f t="shared" si="1"/>
        <v>-12.920520554079969</v>
      </c>
      <c r="H11" s="134">
        <f t="shared" si="2"/>
        <v>-100.36116083619716</v>
      </c>
      <c r="I11" s="134">
        <f t="shared" si="2"/>
        <v>676.75787454636009</v>
      </c>
      <c r="J11" s="134">
        <f t="shared" si="2"/>
        <v>-774.32248581791475</v>
      </c>
      <c r="K11" s="134">
        <f t="shared" si="2"/>
        <v>-214.41647226298676</v>
      </c>
    </row>
    <row r="12" spans="1:11" ht="18.75" customHeight="1" x14ac:dyDescent="0.5">
      <c r="A12" s="163" t="s">
        <v>48</v>
      </c>
      <c r="B12" s="665" t="s">
        <v>81</v>
      </c>
      <c r="C12" s="666">
        <v>4024.8485310000001</v>
      </c>
      <c r="D12" s="666">
        <v>3450.9798000000001</v>
      </c>
      <c r="E12" s="667">
        <v>3450.9798000000001</v>
      </c>
      <c r="F12" s="667">
        <v>3166.1769920000002</v>
      </c>
      <c r="G12" s="467">
        <f t="shared" si="1"/>
        <v>-8.2528100570162692</v>
      </c>
      <c r="H12" s="134">
        <f t="shared" si="2"/>
        <v>-100.26065536064056</v>
      </c>
      <c r="I12" s="134">
        <f t="shared" si="2"/>
        <v>1114.8668716227417</v>
      </c>
      <c r="J12" s="134">
        <f t="shared" si="2"/>
        <v>-1211.9684662069408</v>
      </c>
      <c r="K12" s="134">
        <f t="shared" si="2"/>
        <v>-208.709703109472</v>
      </c>
    </row>
    <row r="13" spans="1:11" ht="18.75" customHeight="1" x14ac:dyDescent="0.5">
      <c r="A13" s="163" t="s">
        <v>49</v>
      </c>
      <c r="B13" s="665" t="s">
        <v>87</v>
      </c>
      <c r="C13" s="666">
        <v>3638.051708</v>
      </c>
      <c r="D13" s="666">
        <v>3193.005036</v>
      </c>
      <c r="E13" s="667">
        <v>3193.005036</v>
      </c>
      <c r="F13" s="667">
        <v>3134.0392670000001</v>
      </c>
      <c r="G13" s="467">
        <f t="shared" si="1"/>
        <v>-1.8467170685664998</v>
      </c>
      <c r="H13" s="134">
        <f t="shared" si="2"/>
        <v>-100.05892450321258</v>
      </c>
      <c r="I13" s="134">
        <f t="shared" si="2"/>
        <v>5318.2054309425193</v>
      </c>
      <c r="J13" s="134">
        <f t="shared" si="2"/>
        <v>-5415.0735502576472</v>
      </c>
      <c r="K13" s="134">
        <f t="shared" si="2"/>
        <v>-201.82144372896028</v>
      </c>
    </row>
    <row r="14" spans="1:11" ht="18.75" customHeight="1" x14ac:dyDescent="0.5">
      <c r="A14" s="163" t="s">
        <v>52</v>
      </c>
      <c r="B14" s="665" t="s">
        <v>168</v>
      </c>
      <c r="C14" s="666">
        <v>2550.3911840000001</v>
      </c>
      <c r="D14" s="666">
        <v>2185.7730539999998</v>
      </c>
      <c r="E14" s="667">
        <v>2185.7730539999998</v>
      </c>
      <c r="F14" s="667">
        <v>2529.9664830000002</v>
      </c>
      <c r="G14" s="467">
        <f t="shared" si="1"/>
        <v>15.746988387935376</v>
      </c>
      <c r="H14" s="134">
        <f t="shared" si="2"/>
        <v>-99.377581146084481</v>
      </c>
      <c r="I14" s="134">
        <f t="shared" si="2"/>
        <v>-731.08944198004895</v>
      </c>
      <c r="J14" s="134">
        <f t="shared" si="2"/>
        <v>635.66838068371942</v>
      </c>
      <c r="K14" s="134">
        <f t="shared" si="2"/>
        <v>-186.94810021631613</v>
      </c>
    </row>
    <row r="15" spans="1:11" ht="18.75" customHeight="1" x14ac:dyDescent="0.5">
      <c r="A15" s="163" t="s">
        <v>53</v>
      </c>
      <c r="B15" s="665" t="s">
        <v>303</v>
      </c>
      <c r="C15" s="666">
        <v>2185.8497609999999</v>
      </c>
      <c r="D15" s="666">
        <v>2294.6139880000001</v>
      </c>
      <c r="E15" s="667">
        <v>2294.6139880000001</v>
      </c>
      <c r="F15" s="667">
        <v>2492.056748</v>
      </c>
      <c r="G15" s="467">
        <f t="shared" si="1"/>
        <v>8.6046176408125294</v>
      </c>
      <c r="H15" s="134">
        <f t="shared" si="2"/>
        <v>-99.654718230324477</v>
      </c>
      <c r="I15" s="134">
        <f t="shared" si="2"/>
        <v>-1258.1539400153304</v>
      </c>
      <c r="J15" s="134">
        <f t="shared" si="2"/>
        <v>1162.513167823578</v>
      </c>
      <c r="K15" s="134">
        <f t="shared" si="2"/>
        <v>-192.39832510554413</v>
      </c>
    </row>
    <row r="16" spans="1:11" ht="19.5" customHeight="1" x14ac:dyDescent="0.5">
      <c r="A16" s="305"/>
      <c r="B16" s="466" t="s">
        <v>25</v>
      </c>
      <c r="C16" s="668">
        <v>44413.607738999999</v>
      </c>
      <c r="D16" s="668">
        <v>43738.017601</v>
      </c>
      <c r="E16" s="668">
        <v>43738.017601</v>
      </c>
      <c r="F16" s="668">
        <v>43802.781845999998</v>
      </c>
      <c r="G16" s="468">
        <f t="shared" si="1"/>
        <v>0.14807311476896418</v>
      </c>
      <c r="H16" s="137">
        <f t="shared" ref="H16:K18" si="3">(G16-F16)*100/F16</f>
        <v>-99.999661954998004</v>
      </c>
      <c r="I16" s="137">
        <f t="shared" si="3"/>
        <v>-67633.976111075724</v>
      </c>
      <c r="J16" s="137">
        <f t="shared" si="3"/>
        <v>67534.204745124516</v>
      </c>
      <c r="K16" s="137">
        <f t="shared" si="3"/>
        <v>-199.85248336459273</v>
      </c>
    </row>
    <row r="17" spans="1:11" ht="19.5" customHeight="1" x14ac:dyDescent="0.5">
      <c r="A17" s="305"/>
      <c r="B17" s="466" t="s">
        <v>271</v>
      </c>
      <c r="C17" s="668">
        <v>64552.571778999998</v>
      </c>
      <c r="D17" s="668">
        <v>61475.493338</v>
      </c>
      <c r="E17" s="668">
        <v>61475.493338</v>
      </c>
      <c r="F17" s="668">
        <v>58729.523614999998</v>
      </c>
      <c r="G17" s="468">
        <f t="shared" si="1"/>
        <v>-4.4667713488728182</v>
      </c>
      <c r="H17" s="137">
        <f t="shared" si="3"/>
        <v>-100.00760566589669</v>
      </c>
      <c r="I17" s="137">
        <f t="shared" si="3"/>
        <v>2138.9237741290121</v>
      </c>
      <c r="J17" s="137">
        <f t="shared" si="3"/>
        <v>-2238.7611071048773</v>
      </c>
      <c r="K17" s="137">
        <f t="shared" si="3"/>
        <v>-204.66764333462606</v>
      </c>
    </row>
    <row r="18" spans="1:11" s="45" customFormat="1" ht="19.5" customHeight="1" x14ac:dyDescent="0.2">
      <c r="A18" s="305"/>
      <c r="B18" s="466" t="s">
        <v>9</v>
      </c>
      <c r="C18" s="668">
        <v>108966.179518</v>
      </c>
      <c r="D18" s="668">
        <v>105213.510939</v>
      </c>
      <c r="E18" s="668">
        <v>105213.510939</v>
      </c>
      <c r="F18" s="668">
        <v>102532.305461</v>
      </c>
      <c r="G18" s="468">
        <f t="shared" si="1"/>
        <v>-2.5483471220293135</v>
      </c>
      <c r="H18" s="137">
        <f t="shared" si="3"/>
        <v>-100.00248540897483</v>
      </c>
      <c r="I18" s="137">
        <f t="shared" si="3"/>
        <v>3824.2097179186612</v>
      </c>
      <c r="J18" s="137">
        <f t="shared" si="3"/>
        <v>-3924.1146730293699</v>
      </c>
      <c r="K18" s="137">
        <f t="shared" si="3"/>
        <v>-202.61243400545206</v>
      </c>
    </row>
    <row r="19" spans="1:11" ht="33" customHeight="1" x14ac:dyDescent="0.55000000000000004">
      <c r="A19" s="662" t="s">
        <v>56</v>
      </c>
      <c r="B19" s="662"/>
      <c r="C19" s="438"/>
      <c r="D19" s="438"/>
      <c r="E19" s="438"/>
      <c r="F19" s="438"/>
      <c r="G19" s="143" t="s">
        <v>46</v>
      </c>
      <c r="H19"/>
    </row>
    <row r="20" spans="1:11" ht="18" customHeight="1" x14ac:dyDescent="0.5">
      <c r="A20" s="656" t="s">
        <v>24</v>
      </c>
      <c r="B20" s="657" t="s">
        <v>59</v>
      </c>
      <c r="C20" s="659">
        <v>2560</v>
      </c>
      <c r="D20" s="659">
        <v>2561</v>
      </c>
      <c r="E20" s="332">
        <v>2561</v>
      </c>
      <c r="F20" s="333">
        <v>2562</v>
      </c>
      <c r="G20" s="654" t="s">
        <v>82</v>
      </c>
      <c r="H20"/>
    </row>
    <row r="21" spans="1:11" ht="18.75" customHeight="1" x14ac:dyDescent="0.5">
      <c r="A21" s="656"/>
      <c r="B21" s="658"/>
      <c r="C21" s="660"/>
      <c r="D21" s="660"/>
      <c r="E21" s="656" t="s">
        <v>395</v>
      </c>
      <c r="F21" s="656"/>
      <c r="G21" s="655"/>
      <c r="H21" t="s">
        <v>27</v>
      </c>
      <c r="I21" t="s">
        <v>27</v>
      </c>
      <c r="J21" t="s">
        <v>27</v>
      </c>
      <c r="K21" s="39" t="e">
        <f>+(#REF!-#REF!)/#REF!*100</f>
        <v>#REF!</v>
      </c>
    </row>
    <row r="22" spans="1:11" ht="18.75" customHeight="1" x14ac:dyDescent="0.5">
      <c r="A22" s="163">
        <v>1</v>
      </c>
      <c r="B22" s="665" t="s">
        <v>71</v>
      </c>
      <c r="C22" s="666">
        <v>63570.685073000001</v>
      </c>
      <c r="D22" s="666">
        <v>74775.360820999995</v>
      </c>
      <c r="E22" s="667">
        <v>74775.360820999995</v>
      </c>
      <c r="F22" s="667">
        <v>77131.461263999998</v>
      </c>
      <c r="G22" s="467">
        <f t="shared" ref="G22:G34" si="4">(F22-E22)*100/E22</f>
        <v>3.1509048129371422</v>
      </c>
      <c r="H22" t="s">
        <v>28</v>
      </c>
      <c r="I22" t="s">
        <v>28</v>
      </c>
      <c r="J22" t="s">
        <v>28</v>
      </c>
      <c r="K22" s="39" t="e">
        <f>+(#REF!-#REF!)/#REF!*100</f>
        <v>#REF!</v>
      </c>
    </row>
    <row r="23" spans="1:11" ht="18.75" customHeight="1" x14ac:dyDescent="0.5">
      <c r="A23" s="163">
        <v>2</v>
      </c>
      <c r="B23" s="665" t="s">
        <v>160</v>
      </c>
      <c r="C23" s="666">
        <v>0</v>
      </c>
      <c r="D23" s="666">
        <v>0</v>
      </c>
      <c r="E23" s="667">
        <v>0</v>
      </c>
      <c r="F23" s="667">
        <v>4249.4250009999996</v>
      </c>
      <c r="G23" s="467" t="s">
        <v>70</v>
      </c>
      <c r="H23" t="s">
        <v>29</v>
      </c>
      <c r="I23" t="s">
        <v>29</v>
      </c>
      <c r="J23" t="s">
        <v>29</v>
      </c>
      <c r="K23" s="39" t="e">
        <f>+(#REF!-#REF!)/#REF!*100</f>
        <v>#REF!</v>
      </c>
    </row>
    <row r="24" spans="1:11" ht="18.75" customHeight="1" x14ac:dyDescent="0.5">
      <c r="A24" s="163">
        <v>3</v>
      </c>
      <c r="B24" s="665" t="s">
        <v>43</v>
      </c>
      <c r="C24" s="666">
        <v>3345.3978339999999</v>
      </c>
      <c r="D24" s="666">
        <v>3352.546965</v>
      </c>
      <c r="E24" s="667">
        <v>3352.546965</v>
      </c>
      <c r="F24" s="667">
        <v>3505.6070749999999</v>
      </c>
      <c r="G24" s="467">
        <f t="shared" si="4"/>
        <v>4.5654874218891042</v>
      </c>
      <c r="H24"/>
      <c r="I24" t="s">
        <v>31</v>
      </c>
      <c r="J24" t="s">
        <v>31</v>
      </c>
      <c r="K24" s="39" t="e">
        <f>+(#REF!-#REF!)/#REF!*100</f>
        <v>#REF!</v>
      </c>
    </row>
    <row r="25" spans="1:11" ht="18.75" customHeight="1" x14ac:dyDescent="0.5">
      <c r="A25" s="163" t="s">
        <v>45</v>
      </c>
      <c r="B25" s="665" t="s">
        <v>72</v>
      </c>
      <c r="C25" s="666">
        <v>2071.9976999999999</v>
      </c>
      <c r="D25" s="666">
        <v>2365.6787380000001</v>
      </c>
      <c r="E25" s="667">
        <v>2365.6787380000001</v>
      </c>
      <c r="F25" s="667">
        <v>1606.721</v>
      </c>
      <c r="G25" s="467">
        <f t="shared" si="4"/>
        <v>-32.082028967366917</v>
      </c>
      <c r="H25" t="s">
        <v>30</v>
      </c>
      <c r="I25" t="s">
        <v>30</v>
      </c>
      <c r="J25" t="s">
        <v>30</v>
      </c>
      <c r="K25" s="39" t="e">
        <f>+(#REF!-#REF!)/#REF!*100</f>
        <v>#REF!</v>
      </c>
    </row>
    <row r="26" spans="1:11" ht="18.75" customHeight="1" x14ac:dyDescent="0.5">
      <c r="A26" s="163" t="s">
        <v>50</v>
      </c>
      <c r="B26" s="665" t="s">
        <v>86</v>
      </c>
      <c r="C26" s="666">
        <v>541.71594500000003</v>
      </c>
      <c r="D26" s="666">
        <v>742.93318399999998</v>
      </c>
      <c r="E26" s="667">
        <v>742.93318399999998</v>
      </c>
      <c r="F26" s="667">
        <v>1178.7295549999999</v>
      </c>
      <c r="G26" s="467">
        <f t="shared" si="4"/>
        <v>58.65889159152163</v>
      </c>
      <c r="H26" t="s">
        <v>31</v>
      </c>
      <c r="I26" t="s">
        <v>32</v>
      </c>
      <c r="J26" t="s">
        <v>32</v>
      </c>
      <c r="K26" s="39" t="e">
        <f>+(#REF!-#REF!)/#REF!*100</f>
        <v>#REF!</v>
      </c>
    </row>
    <row r="27" spans="1:11" ht="18.75" customHeight="1" x14ac:dyDescent="0.5">
      <c r="A27" s="163" t="s">
        <v>47</v>
      </c>
      <c r="B27" s="665" t="s">
        <v>95</v>
      </c>
      <c r="C27" s="666">
        <v>1021.889801</v>
      </c>
      <c r="D27" s="666">
        <v>1108.7898680000001</v>
      </c>
      <c r="E27" s="667">
        <v>1108.7898680000001</v>
      </c>
      <c r="F27" s="667">
        <v>918.73029499999996</v>
      </c>
      <c r="G27" s="467">
        <f t="shared" si="4"/>
        <v>-17.141171513663227</v>
      </c>
      <c r="H27"/>
      <c r="I27"/>
      <c r="J27" t="s">
        <v>35</v>
      </c>
      <c r="K27" s="39" t="e">
        <f>+(#REF!-#REF!)/#REF!*100</f>
        <v>#REF!</v>
      </c>
    </row>
    <row r="28" spans="1:11" ht="18.75" customHeight="1" x14ac:dyDescent="0.5">
      <c r="A28" s="163" t="s">
        <v>48</v>
      </c>
      <c r="B28" s="665" t="s">
        <v>85</v>
      </c>
      <c r="C28" s="666">
        <v>1187.5573380000001</v>
      </c>
      <c r="D28" s="666">
        <v>897.96779000000004</v>
      </c>
      <c r="E28" s="667">
        <v>897.96779000000004</v>
      </c>
      <c r="F28" s="667">
        <v>888.32324000000006</v>
      </c>
      <c r="G28" s="467">
        <f t="shared" si="4"/>
        <v>-1.074041865131931</v>
      </c>
      <c r="H28" t="s">
        <v>32</v>
      </c>
      <c r="I28" t="s">
        <v>33</v>
      </c>
      <c r="J28" t="s">
        <v>33</v>
      </c>
      <c r="K28" s="39" t="e">
        <f>+(#REF!-#REF!)/#REF!*100</f>
        <v>#REF!</v>
      </c>
    </row>
    <row r="29" spans="1:11" ht="18.75" customHeight="1" x14ac:dyDescent="0.5">
      <c r="A29" s="163" t="s">
        <v>49</v>
      </c>
      <c r="B29" s="665" t="s">
        <v>272</v>
      </c>
      <c r="C29" s="666">
        <v>261.69082300000002</v>
      </c>
      <c r="D29" s="666">
        <v>382.98121600000002</v>
      </c>
      <c r="E29" s="667">
        <v>382.98121600000002</v>
      </c>
      <c r="F29" s="667">
        <v>461.55053400000003</v>
      </c>
      <c r="G29" s="467">
        <f t="shared" si="4"/>
        <v>20.515188400258253</v>
      </c>
      <c r="H29" t="s">
        <v>35</v>
      </c>
      <c r="I29" t="s">
        <v>35</v>
      </c>
      <c r="J29" t="s">
        <v>40</v>
      </c>
      <c r="K29" s="39" t="e">
        <f>+(#REF!-#REF!)/#REF!*100</f>
        <v>#REF!</v>
      </c>
    </row>
    <row r="30" spans="1:11" ht="18.75" customHeight="1" x14ac:dyDescent="0.5">
      <c r="A30" s="163" t="s">
        <v>52</v>
      </c>
      <c r="B30" s="665" t="s">
        <v>167</v>
      </c>
      <c r="C30" s="666">
        <v>78.585632000000004</v>
      </c>
      <c r="D30" s="666">
        <v>139.736842</v>
      </c>
      <c r="E30" s="667">
        <v>139.736842</v>
      </c>
      <c r="F30" s="667">
        <v>424.40765199999998</v>
      </c>
      <c r="G30" s="467">
        <f t="shared" si="4"/>
        <v>203.71922388227435</v>
      </c>
      <c r="H30" t="s">
        <v>33</v>
      </c>
      <c r="I30" t="s">
        <v>34</v>
      </c>
      <c r="J30" t="s">
        <v>34</v>
      </c>
      <c r="K30" s="39" t="e">
        <f>+(#REF!-#REF!)/#REF!*100</f>
        <v>#REF!</v>
      </c>
    </row>
    <row r="31" spans="1:11" s="11" customFormat="1" ht="17.25" customHeight="1" x14ac:dyDescent="0.5">
      <c r="A31" s="163" t="s">
        <v>53</v>
      </c>
      <c r="B31" s="665" t="s">
        <v>273</v>
      </c>
      <c r="C31" s="666">
        <v>195.596169</v>
      </c>
      <c r="D31" s="666">
        <v>343.34734700000001</v>
      </c>
      <c r="E31" s="667">
        <v>343.34734700000001</v>
      </c>
      <c r="F31" s="667">
        <v>358.27335399999998</v>
      </c>
      <c r="G31" s="467">
        <f t="shared" si="4"/>
        <v>4.3472032419694129</v>
      </c>
      <c r="K31" s="39" t="e">
        <f>+(#REF!-#REF!)/#REF!*100</f>
        <v>#REF!</v>
      </c>
    </row>
    <row r="32" spans="1:11" s="12" customFormat="1" ht="19.5" customHeight="1" x14ac:dyDescent="0.5">
      <c r="A32" s="305"/>
      <c r="B32" s="466" t="s">
        <v>25</v>
      </c>
      <c r="C32" s="668">
        <v>72275.116315000007</v>
      </c>
      <c r="D32" s="668">
        <v>84109.342770999996</v>
      </c>
      <c r="E32" s="668">
        <v>84109.342770999996</v>
      </c>
      <c r="F32" s="668">
        <v>90723.228969999996</v>
      </c>
      <c r="G32" s="468">
        <f t="shared" si="4"/>
        <v>7.8634382116232606</v>
      </c>
      <c r="K32" s="39" t="e">
        <f>+(#REF!-#REF!)/#REF!*100</f>
        <v>#REF!</v>
      </c>
    </row>
    <row r="33" spans="1:11" ht="19.5" customHeight="1" x14ac:dyDescent="0.5">
      <c r="A33" s="306"/>
      <c r="B33" s="466" t="s">
        <v>271</v>
      </c>
      <c r="C33" s="668">
        <v>3089.7164039999998</v>
      </c>
      <c r="D33" s="668">
        <v>4005.719239</v>
      </c>
      <c r="E33" s="668">
        <v>4005.719239</v>
      </c>
      <c r="F33" s="668">
        <v>3147.1552120000001</v>
      </c>
      <c r="G33" s="468">
        <f t="shared" si="4"/>
        <v>-21.433454912190363</v>
      </c>
      <c r="K33" s="39" t="e">
        <f>+(#REF!-#REF!)/#REF!*100</f>
        <v>#REF!</v>
      </c>
    </row>
    <row r="34" spans="1:11" s="45" customFormat="1" ht="19.5" customHeight="1" x14ac:dyDescent="0.2">
      <c r="A34" s="306" t="s">
        <v>26</v>
      </c>
      <c r="B34" s="466" t="s">
        <v>9</v>
      </c>
      <c r="C34" s="668">
        <v>75364.832718999998</v>
      </c>
      <c r="D34" s="668">
        <v>88115.062009999994</v>
      </c>
      <c r="E34" s="668">
        <v>88115.062009999994</v>
      </c>
      <c r="F34" s="668">
        <v>93870.384181999994</v>
      </c>
      <c r="G34" s="468">
        <f t="shared" si="4"/>
        <v>6.5315986174382328</v>
      </c>
    </row>
    <row r="35" spans="1:11" s="6" customFormat="1" ht="19.5" customHeight="1" x14ac:dyDescent="0.5">
      <c r="A35" s="42" t="s">
        <v>65</v>
      </c>
      <c r="B35" s="43"/>
      <c r="C35" s="44"/>
      <c r="D35" s="44"/>
      <c r="E35" s="440"/>
      <c r="F35" s="440"/>
      <c r="G35" s="14" t="s">
        <v>90</v>
      </c>
    </row>
    <row r="36" spans="1:11" s="318" customFormat="1" ht="15.75" customHeight="1" x14ac:dyDescent="0.2">
      <c r="A36" s="413" t="s">
        <v>165</v>
      </c>
      <c r="B36" s="414"/>
      <c r="C36" s="415"/>
      <c r="D36" s="415"/>
      <c r="E36" s="441"/>
      <c r="F36" s="441"/>
      <c r="G36" s="47" t="s">
        <v>62</v>
      </c>
      <c r="H36" s="425"/>
      <c r="I36" s="426"/>
      <c r="J36" s="426"/>
      <c r="K36" s="426"/>
    </row>
    <row r="37" spans="1:11" s="318" customFormat="1" ht="15.75" customHeight="1" x14ac:dyDescent="0.2">
      <c r="A37" s="418" t="s">
        <v>145</v>
      </c>
      <c r="B37" s="414"/>
      <c r="C37" s="415"/>
      <c r="D37" s="415"/>
      <c r="E37" s="424"/>
      <c r="F37" s="424"/>
      <c r="G37" s="46" t="s">
        <v>6</v>
      </c>
      <c r="H37" s="425"/>
      <c r="I37" s="426"/>
      <c r="J37" s="426"/>
      <c r="K37" s="426"/>
    </row>
    <row r="38" spans="1:11" s="428" customFormat="1" ht="15.75" customHeight="1" x14ac:dyDescent="0.2">
      <c r="A38" s="413" t="s">
        <v>146</v>
      </c>
      <c r="B38" s="418"/>
      <c r="C38" s="423"/>
      <c r="D38" s="423"/>
      <c r="E38" s="424"/>
      <c r="F38" s="424"/>
      <c r="G38" s="417"/>
      <c r="H38" s="417"/>
      <c r="I38" s="427"/>
      <c r="J38" s="427"/>
      <c r="K38" s="427"/>
    </row>
    <row r="39" spans="1:11" s="428" customFormat="1" ht="15.75" customHeight="1" x14ac:dyDescent="0.2">
      <c r="A39" s="417" t="s">
        <v>149</v>
      </c>
      <c r="B39" s="429"/>
      <c r="C39" s="417"/>
      <c r="D39" s="417"/>
      <c r="E39" s="424"/>
      <c r="F39" s="424"/>
      <c r="G39" s="417"/>
      <c r="H39" s="420"/>
      <c r="I39" s="420"/>
      <c r="J39" s="420"/>
      <c r="K39" s="420"/>
    </row>
    <row r="40" spans="1:11" s="428" customFormat="1" ht="15.75" customHeight="1" x14ac:dyDescent="0.2">
      <c r="A40" s="412" t="s">
        <v>163</v>
      </c>
      <c r="B40" s="423"/>
      <c r="E40" s="442"/>
      <c r="F40" s="442"/>
    </row>
  </sheetData>
  <mergeCells count="16">
    <mergeCell ref="A2:G2"/>
    <mergeCell ref="A3:B3"/>
    <mergeCell ref="A19:B19"/>
    <mergeCell ref="A1:G1"/>
    <mergeCell ref="A4:A5"/>
    <mergeCell ref="B4:B5"/>
    <mergeCell ref="C4:C5"/>
    <mergeCell ref="D4:D5"/>
    <mergeCell ref="E5:F5"/>
    <mergeCell ref="G20:G21"/>
    <mergeCell ref="G4:G5"/>
    <mergeCell ref="A20:A21"/>
    <mergeCell ref="B20:B21"/>
    <mergeCell ref="C20:C21"/>
    <mergeCell ref="D20:D21"/>
    <mergeCell ref="E21:F21"/>
  </mergeCells>
  <phoneticPr fontId="19" type="noConversion"/>
  <pageMargins left="0.77" right="0.16" top="0.44" bottom="0.18" header="0.19" footer="0.17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พม่า</vt:lpstr>
      <vt:lpstr>เดือน</vt:lpstr>
      <vt:lpstr>จว</vt:lpstr>
      <vt:lpstr>รายด่าน</vt:lpstr>
      <vt:lpstr>สินค้า</vt:lpstr>
      <vt:lpstr>จว!Print_Area</vt:lpstr>
      <vt:lpstr>เดือน!Print_Area</vt:lpstr>
      <vt:lpstr>พม่า!Print_Area</vt:lpstr>
      <vt:lpstr>รายด่าน!Print_Area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2020-01-17T07:01:34Z</cp:lastPrinted>
  <dcterms:created xsi:type="dcterms:W3CDTF">2010-02-25T05:00:19Z</dcterms:created>
  <dcterms:modified xsi:type="dcterms:W3CDTF">2020-05-15T08:59:35Z</dcterms:modified>
</cp:coreProperties>
</file>