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 activeTab="4"/>
  </bookViews>
  <sheets>
    <sheet name="กัมพูชา" sheetId="4" r:id="rId1"/>
    <sheet name="เดือน" sheetId="2" r:id="rId2"/>
    <sheet name="จว" sheetId="1" r:id="rId3"/>
    <sheet name="Sheet1" sheetId="6" r:id="rId4"/>
    <sheet name="สินค้า" sheetId="3" r:id="rId5"/>
  </sheets>
  <definedNames>
    <definedName name="_xlnm.Print_Area" localSheetId="3">Sheet1!$A$1:$AQ$44</definedName>
    <definedName name="_xlnm.Print_Area" localSheetId="0">กัมพูชา!$1:$24</definedName>
    <definedName name="_xlnm.Print_Area" localSheetId="2">จว!$A$1:$BY$18</definedName>
    <definedName name="_xlnm.Print_Area" localSheetId="1">เดือน!$B$2:$CG$25</definedName>
    <definedName name="_xlnm.Print_Area" localSheetId="4">สินค้า!$A$1:$G$40</definedName>
  </definedNames>
  <calcPr calcId="144525"/>
</workbook>
</file>

<file path=xl/calcChain.xml><?xml version="1.0" encoding="utf-8"?>
<calcChain xmlns="http://schemas.openxmlformats.org/spreadsheetml/2006/main">
  <c r="AP18" i="6" l="1"/>
  <c r="CG19" i="2"/>
  <c r="CA12" i="2"/>
  <c r="U18" i="4"/>
  <c r="U15" i="4"/>
  <c r="V15" i="4"/>
  <c r="V13" i="4"/>
  <c r="S13" i="4"/>
  <c r="CB19" i="2" l="1"/>
  <c r="CF17" i="2"/>
  <c r="CC17" i="2"/>
  <c r="CA17" i="2"/>
  <c r="CG17" i="2"/>
  <c r="AD11" i="6" l="1"/>
  <c r="BL6" i="1"/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AQ9" i="6"/>
  <c r="AP9" i="6"/>
  <c r="AL9" i="6"/>
  <c r="AK9" i="6"/>
  <c r="AH9" i="6"/>
  <c r="AG9" i="6"/>
  <c r="AD9" i="6"/>
  <c r="AC9" i="6"/>
  <c r="Z9" i="6"/>
  <c r="Y9" i="6"/>
  <c r="V9" i="6"/>
  <c r="U9" i="6"/>
  <c r="R9" i="6"/>
  <c r="BT6" i="1"/>
  <c r="CE19" i="2" l="1"/>
  <c r="CF16" i="2"/>
  <c r="CC16" i="2"/>
  <c r="CA16" i="2"/>
  <c r="CG16" i="2"/>
  <c r="AN31" i="6" l="1"/>
  <c r="CA15" i="2" l="1"/>
  <c r="CC15" i="2"/>
  <c r="CF15" i="2"/>
  <c r="CG15" i="2"/>
  <c r="AQ10" i="6" l="1"/>
  <c r="BU12" i="1"/>
  <c r="CF14" i="2"/>
  <c r="CC14" i="2"/>
  <c r="CA14" i="2"/>
  <c r="CG14" i="2"/>
  <c r="AL10" i="6" l="1"/>
  <c r="AP10" i="6"/>
  <c r="T18" i="4"/>
  <c r="CF13" i="2" l="1"/>
  <c r="CC13" i="2"/>
  <c r="CA13" i="2"/>
  <c r="CG13" i="2"/>
  <c r="AK31" i="6" l="1"/>
  <c r="AP24" i="6"/>
  <c r="CF12" i="2" l="1"/>
  <c r="CC12" i="2"/>
  <c r="CG12" i="2"/>
  <c r="V18" i="4" l="1"/>
  <c r="CC11" i="2" l="1"/>
  <c r="CF11" i="2"/>
  <c r="CG11" i="2"/>
  <c r="CA11" i="2"/>
  <c r="AP14" i="6" l="1"/>
  <c r="CF10" i="2" l="1"/>
  <c r="CG10" i="2"/>
  <c r="CC10" i="2"/>
  <c r="CA10" i="2"/>
  <c r="AN33" i="6" l="1"/>
  <c r="AP26" i="6"/>
  <c r="AP23" i="6"/>
  <c r="AP17" i="6"/>
  <c r="BV11" i="1"/>
  <c r="CC9" i="2" l="1"/>
  <c r="CF9" i="2"/>
  <c r="CG9" i="2"/>
  <c r="CA9" i="2"/>
  <c r="AP22" i="6" l="1"/>
  <c r="AN22" i="6"/>
  <c r="AP16" i="6"/>
  <c r="BW12" i="1"/>
  <c r="CF8" i="2"/>
  <c r="CC8" i="2"/>
  <c r="CG8" i="2"/>
  <c r="CA8" i="2"/>
  <c r="S18" i="4" l="1"/>
  <c r="BR12" i="1" l="1"/>
  <c r="BO12" i="1"/>
  <c r="BY19" i="2"/>
  <c r="AP7" i="6" l="1"/>
  <c r="AN13" i="6"/>
  <c r="AN7" i="6"/>
  <c r="AK34" i="6" l="1"/>
  <c r="AK33" i="6"/>
  <c r="AK29" i="6"/>
  <c r="AH34" i="6"/>
  <c r="AH33" i="6"/>
  <c r="AH31" i="6"/>
  <c r="AH29" i="6"/>
  <c r="AK22" i="6"/>
  <c r="AK25" i="6"/>
  <c r="AK26" i="6"/>
  <c r="AK23" i="6"/>
  <c r="AK24" i="6"/>
  <c r="AH22" i="6"/>
  <c r="AH25" i="6"/>
  <c r="AH26" i="6"/>
  <c r="AH23" i="6"/>
  <c r="AH24" i="6"/>
  <c r="AH14" i="6"/>
  <c r="AK14" i="6"/>
  <c r="AK13" i="6"/>
  <c r="AK19" i="6"/>
  <c r="AK18" i="6"/>
  <c r="AK17" i="6"/>
  <c r="AK16" i="6"/>
  <c r="AH19" i="6"/>
  <c r="AH18" i="6"/>
  <c r="AH17" i="6"/>
  <c r="AH16" i="6"/>
  <c r="AH13" i="6"/>
  <c r="AK8" i="6"/>
  <c r="AK10" i="6"/>
  <c r="AK7" i="6"/>
  <c r="AH8" i="6"/>
  <c r="AH10" i="6"/>
  <c r="AH7" i="6"/>
  <c r="AJ35" i="6"/>
  <c r="AI35" i="6"/>
  <c r="AJ27" i="6"/>
  <c r="AI27" i="6"/>
  <c r="AJ20" i="6"/>
  <c r="AI20" i="6"/>
  <c r="AJ11" i="6"/>
  <c r="AI11" i="6"/>
  <c r="BS7" i="1"/>
  <c r="BS8" i="1"/>
  <c r="BS9" i="1"/>
  <c r="BS10" i="1"/>
  <c r="BS11" i="1"/>
  <c r="BP7" i="1"/>
  <c r="BP8" i="1"/>
  <c r="BP9" i="1"/>
  <c r="BP10" i="1"/>
  <c r="BP11" i="1"/>
  <c r="BS6" i="1"/>
  <c r="BP6" i="1"/>
  <c r="BQ12" i="1"/>
  <c r="BS12" i="1" s="1"/>
  <c r="BZ8" i="2"/>
  <c r="BZ9" i="2"/>
  <c r="BZ10" i="2"/>
  <c r="BZ11" i="2"/>
  <c r="BZ12" i="2"/>
  <c r="BZ13" i="2"/>
  <c r="BZ14" i="2"/>
  <c r="BZ15" i="2"/>
  <c r="BZ16" i="2"/>
  <c r="BZ17" i="2"/>
  <c r="BZ18" i="2"/>
  <c r="BZ7" i="2"/>
  <c r="BW8" i="2"/>
  <c r="BW9" i="2"/>
  <c r="BW10" i="2"/>
  <c r="BW11" i="2"/>
  <c r="BW12" i="2"/>
  <c r="BW13" i="2"/>
  <c r="BW14" i="2"/>
  <c r="BW15" i="2"/>
  <c r="BW16" i="2"/>
  <c r="BW17" i="2"/>
  <c r="BW18" i="2"/>
  <c r="BW7" i="2"/>
  <c r="BX19" i="2"/>
  <c r="AH16" i="4"/>
  <c r="AH17" i="4"/>
  <c r="AA16" i="4"/>
  <c r="AA17" i="4"/>
  <c r="AA11" i="4"/>
  <c r="AA12" i="4"/>
  <c r="T15" i="4"/>
  <c r="T13" i="4"/>
  <c r="T10" i="4"/>
  <c r="AA10" i="4" s="1"/>
  <c r="BZ19" i="2" l="1"/>
  <c r="BW19" i="2"/>
  <c r="AJ36" i="6"/>
  <c r="AH15" i="4"/>
  <c r="AH27" i="6"/>
  <c r="AH20" i="6"/>
  <c r="AK35" i="6"/>
  <c r="AK11" i="6"/>
  <c r="AH35" i="6"/>
  <c r="AK27" i="6"/>
  <c r="AK20" i="6"/>
  <c r="AH11" i="6"/>
  <c r="AI36" i="6"/>
  <c r="BP12" i="1"/>
  <c r="CB12" i="1"/>
  <c r="CA12" i="1"/>
  <c r="AK36" i="6" l="1"/>
  <c r="AH36" i="6"/>
  <c r="G14" i="3"/>
  <c r="G6" i="3"/>
  <c r="AS35" i="6" l="1"/>
  <c r="AR35" i="6"/>
  <c r="AS27" i="6"/>
  <c r="AR27" i="6"/>
  <c r="AR20" i="6"/>
  <c r="AS11" i="6"/>
  <c r="AR11" i="6"/>
  <c r="AQ7" i="6"/>
  <c r="AQ8" i="6"/>
  <c r="CJ19" i="2"/>
  <c r="CI19" i="2"/>
  <c r="U10" i="4"/>
  <c r="U13" i="4"/>
  <c r="AR36" i="6" l="1"/>
  <c r="AS36" i="6"/>
  <c r="AQ11" i="6"/>
  <c r="AM27" i="6"/>
  <c r="AM20" i="6"/>
  <c r="AO20" i="6"/>
  <c r="N18" i="6"/>
  <c r="Q18" i="6"/>
  <c r="R18" i="6"/>
  <c r="U18" i="6"/>
  <c r="V18" i="6"/>
  <c r="Y18" i="6"/>
  <c r="Z18" i="6"/>
  <c r="AC18" i="6"/>
  <c r="AD18" i="6"/>
  <c r="AG18" i="6"/>
  <c r="AL18" i="6"/>
  <c r="AQ18" i="6"/>
  <c r="N19" i="6"/>
  <c r="Q19" i="6"/>
  <c r="R19" i="6"/>
  <c r="U19" i="6"/>
  <c r="V19" i="6"/>
  <c r="Y19" i="6"/>
  <c r="Z19" i="6"/>
  <c r="AC19" i="6"/>
  <c r="AD19" i="6"/>
  <c r="AG19" i="6"/>
  <c r="AL19" i="6"/>
  <c r="AQ19" i="6"/>
  <c r="BT12" i="1"/>
  <c r="AL31" i="6" l="1"/>
  <c r="BH12" i="1" l="1"/>
  <c r="AO35" i="6"/>
  <c r="AA35" i="6"/>
  <c r="AB35" i="6"/>
  <c r="AE35" i="6"/>
  <c r="AF35" i="6"/>
  <c r="AM35" i="6"/>
  <c r="AN35" i="6" s="1"/>
  <c r="AO27" i="6"/>
  <c r="AP27" i="6" s="1"/>
  <c r="AA27" i="6"/>
  <c r="AB27" i="6"/>
  <c r="AE27" i="6"/>
  <c r="AF27" i="6"/>
  <c r="AN27" i="6"/>
  <c r="AP20" i="6"/>
  <c r="AA20" i="6"/>
  <c r="AB20" i="6"/>
  <c r="AE20" i="6"/>
  <c r="AF20" i="6"/>
  <c r="AN20" i="6"/>
  <c r="AA11" i="6"/>
  <c r="AB11" i="6"/>
  <c r="AE11" i="6"/>
  <c r="AF11" i="6"/>
  <c r="AM11" i="6"/>
  <c r="AO11" i="6"/>
  <c r="AO38" i="6"/>
  <c r="AM38" i="6"/>
  <c r="O38" i="6"/>
  <c r="M38" i="6"/>
  <c r="L38" i="6"/>
  <c r="K38" i="6"/>
  <c r="AO37" i="6"/>
  <c r="AM37" i="6"/>
  <c r="R37" i="6"/>
  <c r="O37" i="6"/>
  <c r="X36" i="6"/>
  <c r="W36" i="6"/>
  <c r="T36" i="6"/>
  <c r="S36" i="6"/>
  <c r="P36" i="6"/>
  <c r="O36" i="6"/>
  <c r="J36" i="6"/>
  <c r="AQ34" i="6"/>
  <c r="AL34" i="6"/>
  <c r="AG34" i="6"/>
  <c r="AD34" i="6"/>
  <c r="AC34" i="6"/>
  <c r="Z34" i="6"/>
  <c r="Y34" i="6"/>
  <c r="V34" i="6"/>
  <c r="U34" i="6"/>
  <c r="R34" i="6"/>
  <c r="Q34" i="6"/>
  <c r="N34" i="6"/>
  <c r="AQ33" i="6"/>
  <c r="AL33" i="6"/>
  <c r="AG33" i="6"/>
  <c r="AD33" i="6"/>
  <c r="AC33" i="6"/>
  <c r="Z33" i="6"/>
  <c r="Z35" i="6"/>
  <c r="Y33" i="6"/>
  <c r="V33" i="6"/>
  <c r="U33" i="6"/>
  <c r="R33" i="6"/>
  <c r="Q33" i="6"/>
  <c r="N33" i="6"/>
  <c r="AQ31" i="6"/>
  <c r="AP31" i="6"/>
  <c r="AG31" i="6"/>
  <c r="AD31" i="6"/>
  <c r="AC31" i="6"/>
  <c r="Z31" i="6"/>
  <c r="Y31" i="6"/>
  <c r="V31" i="6"/>
  <c r="U31" i="6"/>
  <c r="R31" i="6"/>
  <c r="Q31" i="6"/>
  <c r="N31" i="6"/>
  <c r="AQ29" i="6"/>
  <c r="AP29" i="6"/>
  <c r="AN29" i="6"/>
  <c r="AL29" i="6"/>
  <c r="AG29" i="6"/>
  <c r="AD29" i="6"/>
  <c r="AC29" i="6"/>
  <c r="Z29" i="6"/>
  <c r="Y29" i="6"/>
  <c r="V29" i="6"/>
  <c r="U29" i="6"/>
  <c r="R29" i="6"/>
  <c r="Q29" i="6"/>
  <c r="N29" i="6"/>
  <c r="AQ25" i="6"/>
  <c r="AL25" i="6"/>
  <c r="AG25" i="6"/>
  <c r="AD25" i="6"/>
  <c r="AC25" i="6"/>
  <c r="Z25" i="6"/>
  <c r="Y25" i="6"/>
  <c r="V25" i="6"/>
  <c r="U25" i="6"/>
  <c r="R25" i="6"/>
  <c r="Q25" i="6"/>
  <c r="AQ26" i="6"/>
  <c r="AL26" i="6"/>
  <c r="AG26" i="6"/>
  <c r="AD26" i="6"/>
  <c r="AC26" i="6"/>
  <c r="Z26" i="6"/>
  <c r="Y26" i="6"/>
  <c r="V26" i="6"/>
  <c r="U26" i="6"/>
  <c r="R26" i="6"/>
  <c r="Q26" i="6"/>
  <c r="AQ23" i="6"/>
  <c r="AL23" i="6"/>
  <c r="AG23" i="6"/>
  <c r="AD23" i="6"/>
  <c r="AC23" i="6"/>
  <c r="Z23" i="6"/>
  <c r="Y23" i="6"/>
  <c r="V23" i="6"/>
  <c r="U23" i="6"/>
  <c r="R23" i="6"/>
  <c r="Q23" i="6"/>
  <c r="AQ24" i="6"/>
  <c r="AL24" i="6"/>
  <c r="AG24" i="6"/>
  <c r="AD24" i="6"/>
  <c r="AC24" i="6"/>
  <c r="Z24" i="6"/>
  <c r="Y24" i="6"/>
  <c r="V24" i="6"/>
  <c r="U24" i="6"/>
  <c r="R24" i="6"/>
  <c r="Q24" i="6"/>
  <c r="AQ22" i="6"/>
  <c r="AL22" i="6"/>
  <c r="AG22" i="6"/>
  <c r="AD22" i="6"/>
  <c r="AC22" i="6"/>
  <c r="Z22" i="6"/>
  <c r="Y22" i="6"/>
  <c r="V22" i="6"/>
  <c r="U22" i="6"/>
  <c r="R22" i="6"/>
  <c r="Q22" i="6"/>
  <c r="N22" i="6"/>
  <c r="AQ17" i="6"/>
  <c r="AL17" i="6"/>
  <c r="AG17" i="6"/>
  <c r="AD17" i="6"/>
  <c r="AC17" i="6"/>
  <c r="Z17" i="6"/>
  <c r="Y17" i="6"/>
  <c r="V17" i="6"/>
  <c r="U17" i="6"/>
  <c r="R17" i="6"/>
  <c r="Q17" i="6"/>
  <c r="N17" i="6"/>
  <c r="AQ16" i="6"/>
  <c r="AL16" i="6"/>
  <c r="AG16" i="6"/>
  <c r="AD16" i="6"/>
  <c r="AC16" i="6"/>
  <c r="Z16" i="6"/>
  <c r="Y16" i="6"/>
  <c r="V16" i="6"/>
  <c r="U16" i="6"/>
  <c r="R16" i="6"/>
  <c r="Q16" i="6"/>
  <c r="N16" i="6"/>
  <c r="AQ14" i="6"/>
  <c r="AL14" i="6"/>
  <c r="AG14" i="6"/>
  <c r="AD14" i="6"/>
  <c r="AC14" i="6"/>
  <c r="Z14" i="6"/>
  <c r="Y14" i="6"/>
  <c r="V14" i="6"/>
  <c r="U14" i="6"/>
  <c r="R14" i="6"/>
  <c r="Q14" i="6"/>
  <c r="N14" i="6"/>
  <c r="AQ13" i="6"/>
  <c r="AP13" i="6"/>
  <c r="AL13" i="6"/>
  <c r="AG13" i="6"/>
  <c r="AD13" i="6"/>
  <c r="AC13" i="6"/>
  <c r="Z13" i="6"/>
  <c r="Y13" i="6"/>
  <c r="V13" i="6"/>
  <c r="U13" i="6"/>
  <c r="R13" i="6"/>
  <c r="Q13" i="6"/>
  <c r="N13" i="6"/>
  <c r="AG10" i="6"/>
  <c r="AD10" i="6"/>
  <c r="AC10" i="6"/>
  <c r="Z10" i="6"/>
  <c r="Y10" i="6"/>
  <c r="V10" i="6"/>
  <c r="U10" i="6"/>
  <c r="R10" i="6"/>
  <c r="AP8" i="6"/>
  <c r="AL8" i="6"/>
  <c r="AG8" i="6"/>
  <c r="AD8" i="6"/>
  <c r="AC8" i="6"/>
  <c r="Z8" i="6"/>
  <c r="Y8" i="6"/>
  <c r="V8" i="6"/>
  <c r="U8" i="6"/>
  <c r="R8" i="6"/>
  <c r="AL7" i="6"/>
  <c r="AG7" i="6"/>
  <c r="AD7" i="6"/>
  <c r="AC7" i="6"/>
  <c r="Z7" i="6"/>
  <c r="Y7" i="6"/>
  <c r="V7" i="6"/>
  <c r="U7" i="6"/>
  <c r="R7" i="6"/>
  <c r="Q7" i="6"/>
  <c r="M7" i="6"/>
  <c r="M37" i="6" s="1"/>
  <c r="L7" i="6"/>
  <c r="L37" i="6" s="1"/>
  <c r="K7" i="6"/>
  <c r="K37" i="6" s="1"/>
  <c r="BM12" i="1"/>
  <c r="BJ12" i="1"/>
  <c r="BQ19" i="2"/>
  <c r="BU19" i="2"/>
  <c r="BV10" i="1"/>
  <c r="AV8" i="2"/>
  <c r="AG16" i="4"/>
  <c r="AG17" i="4"/>
  <c r="Z17" i="4"/>
  <c r="Z16" i="4"/>
  <c r="Z11" i="4"/>
  <c r="Z12" i="4"/>
  <c r="BO7" i="1"/>
  <c r="BO8" i="1"/>
  <c r="BO9" i="1"/>
  <c r="BO10" i="1"/>
  <c r="BO11" i="1"/>
  <c r="BO6" i="1"/>
  <c r="BL7" i="1"/>
  <c r="BL8" i="1"/>
  <c r="BL9" i="1"/>
  <c r="BL10" i="1"/>
  <c r="BL11" i="1"/>
  <c r="BN12" i="1"/>
  <c r="BV8" i="2"/>
  <c r="BV9" i="2"/>
  <c r="BV10" i="2"/>
  <c r="BV11" i="2"/>
  <c r="BV12" i="2"/>
  <c r="BV13" i="2"/>
  <c r="BV14" i="2"/>
  <c r="BV15" i="2"/>
  <c r="BV16" i="2"/>
  <c r="BV17" i="2"/>
  <c r="BV18" i="2"/>
  <c r="BV7" i="2"/>
  <c r="BS8" i="2"/>
  <c r="BS9" i="2"/>
  <c r="BS10" i="2"/>
  <c r="BS11" i="2"/>
  <c r="BS12" i="2"/>
  <c r="BS13" i="2"/>
  <c r="BS14" i="2"/>
  <c r="BS15" i="2"/>
  <c r="BS16" i="2"/>
  <c r="BS17" i="2"/>
  <c r="BS18" i="2"/>
  <c r="BS7" i="2"/>
  <c r="BT19" i="2"/>
  <c r="S15" i="4"/>
  <c r="AA15" i="4" s="1"/>
  <c r="S10" i="4"/>
  <c r="Z10" i="4"/>
  <c r="BV6" i="1"/>
  <c r="BO8" i="2"/>
  <c r="BO9" i="2"/>
  <c r="BO10" i="2"/>
  <c r="BO11" i="2"/>
  <c r="BO12" i="2"/>
  <c r="BO13" i="2"/>
  <c r="BO14" i="2"/>
  <c r="BO15" i="2"/>
  <c r="BO16" i="2"/>
  <c r="BO17" i="2"/>
  <c r="BO18" i="2"/>
  <c r="BO7" i="2"/>
  <c r="G7" i="3"/>
  <c r="G8" i="3"/>
  <c r="G9" i="3"/>
  <c r="G10" i="3"/>
  <c r="G12" i="3"/>
  <c r="G11" i="3"/>
  <c r="G13" i="3"/>
  <c r="G15" i="3"/>
  <c r="G18" i="3"/>
  <c r="BP19" i="2"/>
  <c r="BM19" i="2"/>
  <c r="BL19" i="2"/>
  <c r="BK19" i="2" s="1"/>
  <c r="BN18" i="2"/>
  <c r="BK18" i="2"/>
  <c r="BN17" i="2"/>
  <c r="BK17" i="2"/>
  <c r="BN16" i="2"/>
  <c r="BK16" i="2"/>
  <c r="BN15" i="2"/>
  <c r="BK15" i="2"/>
  <c r="BN14" i="2"/>
  <c r="BK14" i="2"/>
  <c r="BN13" i="2"/>
  <c r="BK13" i="2"/>
  <c r="BN12" i="2"/>
  <c r="BK12" i="2"/>
  <c r="BN11" i="2"/>
  <c r="BK11" i="2"/>
  <c r="BN10" i="2"/>
  <c r="BK10" i="2"/>
  <c r="BN9" i="2"/>
  <c r="BK9" i="2"/>
  <c r="BN8" i="2"/>
  <c r="BK8" i="2"/>
  <c r="BN7" i="2"/>
  <c r="BK7" i="2"/>
  <c r="BX10" i="1"/>
  <c r="BI12" i="1"/>
  <c r="BF12" i="1"/>
  <c r="BE12" i="1"/>
  <c r="BG10" i="1"/>
  <c r="BD10" i="1"/>
  <c r="BG11" i="1"/>
  <c r="BD11" i="1"/>
  <c r="BG9" i="1"/>
  <c r="BD9" i="1"/>
  <c r="BG8" i="1"/>
  <c r="BD8" i="1"/>
  <c r="BG7" i="1"/>
  <c r="BD7" i="1"/>
  <c r="BG6" i="1"/>
  <c r="BD6" i="1"/>
  <c r="AF16" i="4"/>
  <c r="AF17" i="4"/>
  <c r="AB17" i="4"/>
  <c r="Y17" i="4"/>
  <c r="AB16" i="4"/>
  <c r="Y16" i="4"/>
  <c r="Y11" i="4"/>
  <c r="Y12" i="4"/>
  <c r="AB11" i="4"/>
  <c r="AB12" i="4"/>
  <c r="R18" i="4"/>
  <c r="R15" i="4"/>
  <c r="R13" i="4"/>
  <c r="R10" i="4"/>
  <c r="AF15" i="4" s="1"/>
  <c r="BF19" i="2"/>
  <c r="BG19" i="2" s="1"/>
  <c r="AW10" i="1"/>
  <c r="AY10" i="1"/>
  <c r="BC10" i="1"/>
  <c r="BH10" i="1"/>
  <c r="BK10" i="1"/>
  <c r="BT10" i="1"/>
  <c r="BY10" i="1"/>
  <c r="BH8" i="1"/>
  <c r="BJ8" i="2"/>
  <c r="BJ9" i="2"/>
  <c r="BJ10" i="2"/>
  <c r="BJ11" i="2"/>
  <c r="BJ12" i="2"/>
  <c r="BJ13" i="2"/>
  <c r="BJ14" i="2"/>
  <c r="BJ15" i="2"/>
  <c r="BJ16" i="2"/>
  <c r="BJ17" i="2"/>
  <c r="BJ18" i="2"/>
  <c r="CF19" i="2"/>
  <c r="X12" i="4"/>
  <c r="X11" i="4"/>
  <c r="X16" i="4"/>
  <c r="X17" i="4"/>
  <c r="AI16" i="4"/>
  <c r="AI17" i="4"/>
  <c r="AE17" i="4"/>
  <c r="AE16" i="4"/>
  <c r="BX7" i="1"/>
  <c r="BX8" i="1"/>
  <c r="BX9" i="1"/>
  <c r="BX6" i="1"/>
  <c r="BV7" i="1"/>
  <c r="BV8" i="1"/>
  <c r="BV9" i="1"/>
  <c r="CA7" i="2"/>
  <c r="CA19" i="2" s="1"/>
  <c r="CD19" i="2"/>
  <c r="V10" i="4"/>
  <c r="AB10" i="4" s="1"/>
  <c r="BA12" i="1"/>
  <c r="AZ12" i="1"/>
  <c r="AX12" i="1"/>
  <c r="AY12" i="1"/>
  <c r="AT12" i="1"/>
  <c r="AU12" i="1"/>
  <c r="AS12" i="1"/>
  <c r="AQ12" i="1"/>
  <c r="AM12" i="1"/>
  <c r="AN12" i="1"/>
  <c r="AL12" i="1"/>
  <c r="AJ12" i="1"/>
  <c r="AK12" i="1"/>
  <c r="AH12" i="1"/>
  <c r="AG12" i="1"/>
  <c r="AE12" i="1"/>
  <c r="AD12" i="1"/>
  <c r="AC12" i="1"/>
  <c r="Z12" i="1"/>
  <c r="Y12" i="1"/>
  <c r="W12" i="1"/>
  <c r="BY11" i="1"/>
  <c r="BT11" i="1"/>
  <c r="BK11" i="1"/>
  <c r="BH11" i="1"/>
  <c r="BC11" i="1"/>
  <c r="AY11" i="1"/>
  <c r="AW11" i="1"/>
  <c r="AV11" i="1"/>
  <c r="AR11" i="1"/>
  <c r="AP11" i="1"/>
  <c r="AO11" i="1"/>
  <c r="AK11" i="1"/>
  <c r="AI11" i="1"/>
  <c r="AF11" i="1"/>
  <c r="AB11" i="1"/>
  <c r="X11" i="1"/>
  <c r="U11" i="1"/>
  <c r="R11" i="1"/>
  <c r="P11" i="1"/>
  <c r="M11" i="1"/>
  <c r="J11" i="1"/>
  <c r="G11" i="1"/>
  <c r="D11" i="1"/>
  <c r="BY9" i="1"/>
  <c r="BT9" i="1"/>
  <c r="BK9" i="1"/>
  <c r="BH9" i="1"/>
  <c r="BC9" i="1"/>
  <c r="BB9" i="1"/>
  <c r="AY9" i="1"/>
  <c r="AW9" i="1"/>
  <c r="AV9" i="1"/>
  <c r="AU9" i="1"/>
  <c r="AR9" i="1"/>
  <c r="AP9" i="1"/>
  <c r="AO9" i="1"/>
  <c r="AN9" i="1"/>
  <c r="AK9" i="1"/>
  <c r="AI9" i="1"/>
  <c r="AF9" i="1"/>
  <c r="AB9" i="1"/>
  <c r="AA9" i="1"/>
  <c r="X9" i="1"/>
  <c r="U9" i="1"/>
  <c r="T9" i="1"/>
  <c r="R9" i="1"/>
  <c r="P9" i="1"/>
  <c r="M9" i="1"/>
  <c r="J9" i="1"/>
  <c r="G9" i="1"/>
  <c r="D9" i="1"/>
  <c r="BY8" i="1"/>
  <c r="BT8" i="1"/>
  <c r="BK8" i="1"/>
  <c r="BC8" i="1"/>
  <c r="BB8" i="1"/>
  <c r="AY8" i="1"/>
  <c r="AW8" i="1"/>
  <c r="AV8" i="1"/>
  <c r="AU8" i="1"/>
  <c r="AR8" i="1"/>
  <c r="AP8" i="1"/>
  <c r="AO8" i="1"/>
  <c r="AN8" i="1"/>
  <c r="AK8" i="1"/>
  <c r="AI8" i="1"/>
  <c r="AF8" i="1"/>
  <c r="AB8" i="1"/>
  <c r="AA8" i="1"/>
  <c r="X8" i="1"/>
  <c r="U8" i="1"/>
  <c r="T8" i="1"/>
  <c r="R8" i="1"/>
  <c r="P8" i="1"/>
  <c r="M8" i="1"/>
  <c r="J8" i="1"/>
  <c r="G8" i="1"/>
  <c r="D8" i="1"/>
  <c r="BY7" i="1"/>
  <c r="BT7" i="1"/>
  <c r="BK7" i="1"/>
  <c r="BH7" i="1"/>
  <c r="BC7" i="1"/>
  <c r="BB7" i="1"/>
  <c r="AY7" i="1"/>
  <c r="AW7" i="1"/>
  <c r="AV7" i="1"/>
  <c r="AU7" i="1"/>
  <c r="AR7" i="1"/>
  <c r="AP7" i="1"/>
  <c r="AO7" i="1"/>
  <c r="AN7" i="1"/>
  <c r="AK7" i="1"/>
  <c r="AI7" i="1"/>
  <c r="AI12" i="1"/>
  <c r="AF7" i="1"/>
  <c r="AB7" i="1"/>
  <c r="AA7" i="1"/>
  <c r="AA12" i="1"/>
  <c r="X7" i="1"/>
  <c r="U7" i="1"/>
  <c r="T7" i="1"/>
  <c r="T19" i="1"/>
  <c r="R7" i="1"/>
  <c r="R19" i="1"/>
  <c r="P7" i="1"/>
  <c r="M7" i="1"/>
  <c r="J7" i="1"/>
  <c r="G7" i="1"/>
  <c r="D7" i="1"/>
  <c r="BY6" i="1"/>
  <c r="BK6" i="1"/>
  <c r="BH6" i="1"/>
  <c r="BC6" i="1"/>
  <c r="BB6" i="1"/>
  <c r="AY6" i="1"/>
  <c r="AW6" i="1"/>
  <c r="AV6" i="1"/>
  <c r="AU6" i="1"/>
  <c r="AR6" i="1"/>
  <c r="AP6" i="1"/>
  <c r="AO6" i="1"/>
  <c r="AN6" i="1"/>
  <c r="AK6" i="1"/>
  <c r="AI6" i="1"/>
  <c r="AF6" i="1"/>
  <c r="AF12" i="1"/>
  <c r="AB6" i="1"/>
  <c r="AA6" i="1"/>
  <c r="X6" i="1"/>
  <c r="U6" i="1"/>
  <c r="T6" i="1"/>
  <c r="R6" i="1"/>
  <c r="P6" i="1"/>
  <c r="M6" i="1"/>
  <c r="J6" i="1"/>
  <c r="G6" i="1"/>
  <c r="D6" i="1"/>
  <c r="S19" i="1"/>
  <c r="BH19" i="2"/>
  <c r="BE19" i="2"/>
  <c r="BB19" i="2"/>
  <c r="BC19" i="2" s="1"/>
  <c r="AZ19" i="2"/>
  <c r="AW19" i="2"/>
  <c r="AU19" i="2"/>
  <c r="AS19" i="2"/>
  <c r="AR19" i="2"/>
  <c r="AP19" i="2"/>
  <c r="AO19" i="2"/>
  <c r="AM19" i="2"/>
  <c r="AL19" i="2"/>
  <c r="AK19" i="2"/>
  <c r="AJ19" i="2"/>
  <c r="AI19" i="2"/>
  <c r="BR18" i="2"/>
  <c r="BI18" i="2"/>
  <c r="BG18" i="2"/>
  <c r="BE18" i="2"/>
  <c r="BC18" i="2"/>
  <c r="BA18" i="2"/>
  <c r="AY18" i="2"/>
  <c r="AX18" i="2"/>
  <c r="AV18" i="2"/>
  <c r="AT18" i="2"/>
  <c r="AQ18" i="2"/>
  <c r="AN18" i="2"/>
  <c r="AG18" i="2"/>
  <c r="AF18" i="2"/>
  <c r="AC18" i="2"/>
  <c r="Z18" i="2"/>
  <c r="Y18" i="2"/>
  <c r="V18" i="2"/>
  <c r="S18" i="2"/>
  <c r="R18" i="2"/>
  <c r="O18" i="2"/>
  <c r="L18" i="2"/>
  <c r="K18" i="2"/>
  <c r="H18" i="2"/>
  <c r="E18" i="2"/>
  <c r="BR17" i="2"/>
  <c r="BI17" i="2"/>
  <c r="BG17" i="2"/>
  <c r="BE17" i="2"/>
  <c r="BC17" i="2"/>
  <c r="BA17" i="2"/>
  <c r="AY17" i="2"/>
  <c r="AX17" i="2"/>
  <c r="AV17" i="2"/>
  <c r="AT17" i="2"/>
  <c r="AQ17" i="2"/>
  <c r="AN17" i="2"/>
  <c r="AG17" i="2"/>
  <c r="AF17" i="2"/>
  <c r="AC17" i="2"/>
  <c r="Z17" i="2"/>
  <c r="Y17" i="2"/>
  <c r="V17" i="2"/>
  <c r="S17" i="2"/>
  <c r="R17" i="2"/>
  <c r="O17" i="2"/>
  <c r="L17" i="2"/>
  <c r="K17" i="2"/>
  <c r="H17" i="2"/>
  <c r="E17" i="2"/>
  <c r="BR16" i="2"/>
  <c r="BI16" i="2"/>
  <c r="BG16" i="2"/>
  <c r="BE16" i="2"/>
  <c r="BC16" i="2"/>
  <c r="BA16" i="2"/>
  <c r="AY16" i="2"/>
  <c r="AX16" i="2"/>
  <c r="AV16" i="2"/>
  <c r="AT16" i="2"/>
  <c r="AQ16" i="2"/>
  <c r="AN16" i="2"/>
  <c r="AG16" i="2"/>
  <c r="AF16" i="2"/>
  <c r="AC16" i="2"/>
  <c r="Z16" i="2"/>
  <c r="Y16" i="2"/>
  <c r="V16" i="2"/>
  <c r="S16" i="2"/>
  <c r="R16" i="2"/>
  <c r="O16" i="2"/>
  <c r="L16" i="2"/>
  <c r="K16" i="2"/>
  <c r="H16" i="2"/>
  <c r="E16" i="2"/>
  <c r="BR15" i="2"/>
  <c r="BI15" i="2"/>
  <c r="BG15" i="2"/>
  <c r="BE15" i="2"/>
  <c r="BC15" i="2"/>
  <c r="BA15" i="2"/>
  <c r="AY15" i="2"/>
  <c r="AX15" i="2"/>
  <c r="AV15" i="2"/>
  <c r="AT15" i="2"/>
  <c r="AQ15" i="2"/>
  <c r="AN15" i="2"/>
  <c r="AG15" i="2"/>
  <c r="AF15" i="2"/>
  <c r="AC15" i="2"/>
  <c r="Z15" i="2"/>
  <c r="Y15" i="2"/>
  <c r="V15" i="2"/>
  <c r="S15" i="2"/>
  <c r="R15" i="2"/>
  <c r="O15" i="2"/>
  <c r="L15" i="2"/>
  <c r="K15" i="2"/>
  <c r="H15" i="2"/>
  <c r="E15" i="2"/>
  <c r="BR14" i="2"/>
  <c r="BI14" i="2"/>
  <c r="BG14" i="2"/>
  <c r="BE14" i="2"/>
  <c r="BD14" i="2"/>
  <c r="BC14" i="2"/>
  <c r="BA14" i="2"/>
  <c r="AY14" i="2"/>
  <c r="AX14" i="2"/>
  <c r="AV14" i="2"/>
  <c r="AT14" i="2"/>
  <c r="AQ14" i="2"/>
  <c r="AN14" i="2"/>
  <c r="AG14" i="2"/>
  <c r="AF14" i="2"/>
  <c r="AC14" i="2"/>
  <c r="Z14" i="2"/>
  <c r="Y14" i="2"/>
  <c r="V14" i="2"/>
  <c r="S14" i="2"/>
  <c r="R14" i="2"/>
  <c r="O14" i="2"/>
  <c r="L14" i="2"/>
  <c r="K14" i="2"/>
  <c r="H14" i="2"/>
  <c r="E14" i="2"/>
  <c r="BR13" i="2"/>
  <c r="BI13" i="2"/>
  <c r="BG13" i="2"/>
  <c r="BE13" i="2"/>
  <c r="BD13" i="2"/>
  <c r="BC13" i="2"/>
  <c r="BA13" i="2"/>
  <c r="AY13" i="2"/>
  <c r="AX13" i="2"/>
  <c r="AV13" i="2"/>
  <c r="AT13" i="2"/>
  <c r="AQ13" i="2"/>
  <c r="AN13" i="2"/>
  <c r="AG13" i="2"/>
  <c r="AF13" i="2"/>
  <c r="AC13" i="2"/>
  <c r="Z13" i="2"/>
  <c r="Y13" i="2"/>
  <c r="V13" i="2"/>
  <c r="S13" i="2"/>
  <c r="R13" i="2"/>
  <c r="O13" i="2"/>
  <c r="L13" i="2"/>
  <c r="K13" i="2"/>
  <c r="H13" i="2"/>
  <c r="E13" i="2"/>
  <c r="BR12" i="2"/>
  <c r="BI12" i="2"/>
  <c r="BG12" i="2"/>
  <c r="BE12" i="2"/>
  <c r="BD12" i="2"/>
  <c r="BC12" i="2"/>
  <c r="BA12" i="2"/>
  <c r="AY12" i="2"/>
  <c r="AX12" i="2"/>
  <c r="AV12" i="2"/>
  <c r="AT12" i="2"/>
  <c r="AQ12" i="2"/>
  <c r="AN12" i="2"/>
  <c r="AG12" i="2"/>
  <c r="AF12" i="2"/>
  <c r="AC12" i="2"/>
  <c r="Z12" i="2"/>
  <c r="Y12" i="2"/>
  <c r="V12" i="2"/>
  <c r="S12" i="2"/>
  <c r="R12" i="2"/>
  <c r="O12" i="2"/>
  <c r="L12" i="2"/>
  <c r="K12" i="2"/>
  <c r="H12" i="2"/>
  <c r="E12" i="2"/>
  <c r="BR11" i="2"/>
  <c r="BI11" i="2"/>
  <c r="BG11" i="2"/>
  <c r="BE11" i="2"/>
  <c r="BD11" i="2"/>
  <c r="BC11" i="2"/>
  <c r="BA11" i="2"/>
  <c r="AY11" i="2"/>
  <c r="AX11" i="2"/>
  <c r="AV11" i="2"/>
  <c r="AT11" i="2"/>
  <c r="AQ11" i="2"/>
  <c r="AN11" i="2"/>
  <c r="AG11" i="2"/>
  <c r="AF11" i="2"/>
  <c r="AC11" i="2"/>
  <c r="Z11" i="2"/>
  <c r="Y11" i="2"/>
  <c r="V11" i="2"/>
  <c r="S11" i="2"/>
  <c r="R11" i="2"/>
  <c r="O11" i="2"/>
  <c r="L11" i="2"/>
  <c r="K11" i="2"/>
  <c r="H11" i="2"/>
  <c r="E11" i="2"/>
  <c r="BR10" i="2"/>
  <c r="BI10" i="2"/>
  <c r="BG10" i="2"/>
  <c r="BE10" i="2"/>
  <c r="BD10" i="2"/>
  <c r="BC10" i="2"/>
  <c r="BA10" i="2"/>
  <c r="AY10" i="2"/>
  <c r="AX10" i="2"/>
  <c r="AV10" i="2"/>
  <c r="AT10" i="2"/>
  <c r="AQ10" i="2"/>
  <c r="AN10" i="2"/>
  <c r="AG10" i="2"/>
  <c r="AF10" i="2"/>
  <c r="AC10" i="2"/>
  <c r="Z10" i="2"/>
  <c r="Y10" i="2"/>
  <c r="V10" i="2"/>
  <c r="S10" i="2"/>
  <c r="R10" i="2"/>
  <c r="O10" i="2"/>
  <c r="L10" i="2"/>
  <c r="K10" i="2"/>
  <c r="H10" i="2"/>
  <c r="E10" i="2"/>
  <c r="BR9" i="2"/>
  <c r="BI9" i="2"/>
  <c r="BG9" i="2"/>
  <c r="BE9" i="2"/>
  <c r="BD9" i="2"/>
  <c r="BC9" i="2"/>
  <c r="BA9" i="2"/>
  <c r="AY9" i="2"/>
  <c r="AX9" i="2"/>
  <c r="AV9" i="2"/>
  <c r="AT9" i="2"/>
  <c r="AQ9" i="2"/>
  <c r="AN9" i="2"/>
  <c r="AG9" i="2"/>
  <c r="AF9" i="2"/>
  <c r="AC9" i="2"/>
  <c r="Z9" i="2"/>
  <c r="Y9" i="2"/>
  <c r="V9" i="2"/>
  <c r="S9" i="2"/>
  <c r="R9" i="2"/>
  <c r="O9" i="2"/>
  <c r="L9" i="2"/>
  <c r="K9" i="2"/>
  <c r="H9" i="2"/>
  <c r="E9" i="2"/>
  <c r="BR8" i="2"/>
  <c r="BR19" i="2" s="1"/>
  <c r="BI8" i="2"/>
  <c r="BG8" i="2"/>
  <c r="BE8" i="2"/>
  <c r="BD8" i="2"/>
  <c r="BC8" i="2"/>
  <c r="BA8" i="2"/>
  <c r="AY8" i="2"/>
  <c r="AX8" i="2"/>
  <c r="AT8" i="2"/>
  <c r="AQ8" i="2"/>
  <c r="AN8" i="2"/>
  <c r="AG8" i="2"/>
  <c r="AF8" i="2"/>
  <c r="AC8" i="2"/>
  <c r="Z8" i="2"/>
  <c r="Y8" i="2"/>
  <c r="V8" i="2"/>
  <c r="S8" i="2"/>
  <c r="R8" i="2"/>
  <c r="O8" i="2"/>
  <c r="L8" i="2"/>
  <c r="K8" i="2"/>
  <c r="H8" i="2"/>
  <c r="E8" i="2"/>
  <c r="CG7" i="2"/>
  <c r="CF7" i="2"/>
  <c r="CC7" i="2"/>
  <c r="BA7" i="2" s="1"/>
  <c r="BR7" i="2"/>
  <c r="BJ7" i="2"/>
  <c r="BJ19" i="2"/>
  <c r="BI7" i="2"/>
  <c r="BG7" i="2"/>
  <c r="BE7" i="2"/>
  <c r="BD7" i="2"/>
  <c r="BD19" i="2"/>
  <c r="BC7" i="2"/>
  <c r="AY7" i="2"/>
  <c r="AX7" i="2"/>
  <c r="AT7" i="2"/>
  <c r="AT19" i="2"/>
  <c r="AQ7" i="2"/>
  <c r="AQ19" i="2" s="1"/>
  <c r="AN7" i="2"/>
  <c r="AN19" i="2"/>
  <c r="AG7" i="2"/>
  <c r="AF7" i="2"/>
  <c r="AC7" i="2"/>
  <c r="Z7" i="2"/>
  <c r="Y7" i="2"/>
  <c r="V7" i="2"/>
  <c r="S7" i="2"/>
  <c r="R7" i="2"/>
  <c r="O7" i="2"/>
  <c r="L7" i="2"/>
  <c r="K7" i="2"/>
  <c r="H7" i="2"/>
  <c r="E7" i="2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D17" i="4"/>
  <c r="AC17" i="4"/>
  <c r="W17" i="4"/>
  <c r="AD16" i="4"/>
  <c r="AC16" i="4"/>
  <c r="W16" i="4"/>
  <c r="Q15" i="4"/>
  <c r="Y15" i="4" s="1"/>
  <c r="P15" i="4"/>
  <c r="O15" i="4"/>
  <c r="AC15" i="4" s="1"/>
  <c r="N15" i="4"/>
  <c r="M15" i="4"/>
  <c r="L15" i="4"/>
  <c r="J15" i="4"/>
  <c r="I15" i="4"/>
  <c r="H15" i="4"/>
  <c r="G15" i="4"/>
  <c r="F15" i="4"/>
  <c r="E15" i="4"/>
  <c r="D15" i="4"/>
  <c r="C15" i="4"/>
  <c r="B15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W12" i="4"/>
  <c r="W11" i="4"/>
  <c r="Q10" i="4"/>
  <c r="X10" i="4"/>
  <c r="P10" i="4"/>
  <c r="AD15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Q19" i="1"/>
  <c r="O19" i="1"/>
  <c r="V19" i="1"/>
  <c r="AB19" i="1"/>
  <c r="AU19" i="1"/>
  <c r="BK12" i="1"/>
  <c r="BI19" i="2"/>
  <c r="AT19" i="1"/>
  <c r="CC19" i="2"/>
  <c r="W15" i="4"/>
  <c r="AP12" i="1"/>
  <c r="AW12" i="1"/>
  <c r="BB12" i="1"/>
  <c r="AB12" i="1"/>
  <c r="U19" i="1"/>
  <c r="AO12" i="1"/>
  <c r="BD12" i="1"/>
  <c r="BN19" i="2"/>
  <c r="Y19" i="1"/>
  <c r="AV12" i="1"/>
  <c r="AV19" i="1"/>
  <c r="BG12" i="1"/>
  <c r="W19" i="1"/>
  <c r="Y10" i="4"/>
  <c r="W10" i="4"/>
  <c r="AG15" i="4"/>
  <c r="BO19" i="2"/>
  <c r="Z15" i="4"/>
  <c r="BL12" i="1"/>
  <c r="AB15" i="4"/>
  <c r="BC12" i="1"/>
  <c r="X12" i="1"/>
  <c r="X19" i="1"/>
  <c r="P19" i="1"/>
  <c r="AA19" i="1"/>
  <c r="Z19" i="1"/>
  <c r="AX19" i="2"/>
  <c r="AY19" i="2"/>
  <c r="BY12" i="1"/>
  <c r="BV12" i="1"/>
  <c r="M36" i="6"/>
  <c r="V36" i="6"/>
  <c r="AO36" i="6" l="1"/>
  <c r="AP36" i="6" s="1"/>
  <c r="AI15" i="4"/>
  <c r="AQ38" i="6"/>
  <c r="Y36" i="6"/>
  <c r="AG11" i="6"/>
  <c r="AE36" i="6"/>
  <c r="AV19" i="2"/>
  <c r="AL11" i="6"/>
  <c r="AM36" i="6"/>
  <c r="AN36" i="6" s="1"/>
  <c r="AC27" i="6"/>
  <c r="AC36" i="6" s="1"/>
  <c r="R36" i="6"/>
  <c r="AA36" i="6"/>
  <c r="K36" i="6"/>
  <c r="AC11" i="6"/>
  <c r="AC20" i="6"/>
  <c r="U36" i="6"/>
  <c r="AD35" i="6"/>
  <c r="AG35" i="6"/>
  <c r="AG20" i="6"/>
  <c r="AG27" i="6"/>
  <c r="Z27" i="6"/>
  <c r="Z20" i="6"/>
  <c r="AC35" i="6"/>
  <c r="AF36" i="6"/>
  <c r="AD20" i="6"/>
  <c r="Z11" i="6"/>
  <c r="AD27" i="6"/>
  <c r="BV19" i="2"/>
  <c r="BS19" i="2"/>
  <c r="AL27" i="6"/>
  <c r="AQ20" i="6"/>
  <c r="AB36" i="6"/>
  <c r="AE15" i="4"/>
  <c r="X15" i="4"/>
  <c r="AL20" i="6"/>
  <c r="AV7" i="2"/>
  <c r="L36" i="6"/>
  <c r="AQ27" i="6"/>
  <c r="AQ35" i="6"/>
  <c r="Q36" i="6"/>
  <c r="AQ37" i="6"/>
  <c r="AL35" i="6"/>
  <c r="N36" i="6"/>
  <c r="AP11" i="6"/>
  <c r="AN11" i="6"/>
  <c r="G16" i="3"/>
  <c r="G17" i="3"/>
  <c r="BX12" i="1"/>
  <c r="BA19" i="2"/>
  <c r="AL36" i="6" l="1"/>
  <c r="AD36" i="6"/>
  <c r="AG36" i="6"/>
  <c r="AQ36" i="6"/>
  <c r="Z36" i="6"/>
</calcChain>
</file>

<file path=xl/sharedStrings.xml><?xml version="1.0" encoding="utf-8"?>
<sst xmlns="http://schemas.openxmlformats.org/spreadsheetml/2006/main" count="797" uniqueCount="327">
  <si>
    <t>จังหวัด</t>
  </si>
  <si>
    <t>ส่งออก</t>
  </si>
  <si>
    <t>นำเข้า</t>
  </si>
  <si>
    <t>ดุลการค้า</t>
  </si>
  <si>
    <t>Δ %</t>
  </si>
  <si>
    <t>รวม</t>
  </si>
  <si>
    <t>กรมการค้าต่างประเทศ</t>
  </si>
  <si>
    <t>รายการ</t>
  </si>
  <si>
    <t>มูลค่า (ล้านบาท)</t>
  </si>
  <si>
    <t>มูลค่ารวม</t>
  </si>
  <si>
    <t>เดือน</t>
  </si>
  <si>
    <t>%</t>
  </si>
  <si>
    <t xml:space="preserve">      %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</si>
  <si>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</si>
  <si>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</si>
  <si>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</si>
  <si>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</si>
  <si>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</si>
  <si>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</si>
  <si>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</si>
  <si>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</si>
  <si>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</si>
  <si>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พฤศจิกายน</t>
  </si>
  <si>
    <t>ธันวาคม</t>
  </si>
  <si>
    <t>ลำดับที่</t>
  </si>
  <si>
    <t>รวม 10 อันดับ</t>
  </si>
  <si>
    <t>หน่วย : ล้านบาท</t>
  </si>
  <si>
    <t>ตุลาคม</t>
  </si>
  <si>
    <t>: การนำเข้า</t>
  </si>
  <si>
    <t>ด่าน</t>
  </si>
  <si>
    <t>รายการสินค้าส่งออก</t>
  </si>
  <si>
    <t>รายการสินค้านำเข้า</t>
  </si>
  <si>
    <t>57/56</t>
  </si>
  <si>
    <t>กองความร่วมมือการค้าและการลงทุน</t>
  </si>
  <si>
    <t>ที่มา : ศูนย์เทคโนโลยีสารสนเทศและการสื่อสาร กรมการค้าต่างประเทศ โดยความร่วมมือจากกรมศุลกากร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</si>
  <si>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</si>
  <si>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N/A</t>
  </si>
  <si>
    <t>58/57</t>
  </si>
  <si>
    <t>ที่มา :  ศูนย์เทคโนโลยีสารสนเทศและการสื่อสาร กรมการค้าต่างประเทศ  โดยความร่วมมือจากกรมศุลกากร</t>
  </si>
  <si>
    <t>: การส่งออก</t>
  </si>
  <si>
    <t>59/58</t>
  </si>
  <si>
    <t>อัตราการเปลี่ยนแปลง(%)</t>
  </si>
  <si>
    <t>การค้าชายแดนไทย-กัมพูชา</t>
  </si>
  <si>
    <t xml:space="preserve"> หน่วย : ล้านบาท</t>
  </si>
  <si>
    <t xml:space="preserve">   % หมายถึงอัตราการเปลี่ยนแปลง</t>
  </si>
  <si>
    <t xml:space="preserve">        % หมายถึงอัตราการเปลี่ยนแปลง</t>
  </si>
  <si>
    <t>ส่งออกมค-กค52</t>
  </si>
  <si>
    <t>นำเข้ามค-กค52</t>
  </si>
  <si>
    <t>มูลค่าการค้าชายแดนไทย - กัมพูชา (รายด่าน)</t>
  </si>
  <si>
    <t xml:space="preserve">ด่านช่องจอม 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</si>
  <si>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</si>
  <si>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</si>
  <si>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</si>
  <si>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</si>
  <si>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</si>
  <si>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</si>
  <si>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ด่านช่องสะงำ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</si>
  <si>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</si>
  <si>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</si>
  <si>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</si>
  <si>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(รายจังหวัด) 
</t>
  </si>
  <si>
    <t xml:space="preserve">มูลค่าการค้าชายแดนไทย - กัมพูชา (รายเดือน)
</t>
  </si>
  <si>
    <t xml:space="preserve">มูลค่าการค้าชายแดนไทย - กัมพูชา (รายสินค้า) 
</t>
  </si>
  <si>
    <t>2.  กรมศุลกากร  ได้มีการปรับปรุงข้อมูลย้อนหลังตั้งแต่เดือน มกราคม-ตุลาคม 2560</t>
  </si>
  <si>
    <t>ผลิตภัณฑ์เหล็กและเหล็กกล้า</t>
  </si>
  <si>
    <t>ที่มา :  ศูนย์เทคโนโลยีสารสนเทศและการสื่อสาร  สำนักงานปลัดกระทรวงพาณิชย์  และ  คต.โดยความร่วมมือจากกรมศุลกากร</t>
  </si>
  <si>
    <t xml:space="preserve">2.4 การค้าชายแดนไทย-กัมพูชา </t>
  </si>
  <si>
    <t>กลุ่มความร่วมมือฯ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</si>
  <si>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</si>
  <si>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</si>
  <si>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</si>
  <si>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ผักและของปรุงแต่งจากผัก</t>
  </si>
  <si>
    <t>ลวดและสายเคเบิล ที่หุ้มฉนวน</t>
  </si>
  <si>
    <t>1.สระแก้ว</t>
  </si>
  <si>
    <t>2.ตราด</t>
  </si>
  <si>
    <t>3.จันทบุรี</t>
  </si>
  <si>
    <t>4.สุรินทร์</t>
  </si>
  <si>
    <t>5.ศรีสะเกษ</t>
  </si>
  <si>
    <t>6.อุบลราชธานี</t>
  </si>
  <si>
    <t xml:space="preserve">1.1 ด่านอรัญประเทศ </t>
  </si>
  <si>
    <t>1.2 จุดผ่อนปรนบ้านเขาดิน</t>
  </si>
  <si>
    <t>3. ด่านศุลกากรจันทบุรี</t>
  </si>
  <si>
    <t xml:space="preserve">2.1 ด่านคลองใหญ่ </t>
  </si>
  <si>
    <t>2.3 ด่านพรมแดนบ้านหาดเล็ก</t>
  </si>
  <si>
    <t xml:space="preserve">3.1 ด่านจันทบุรี </t>
  </si>
  <si>
    <t>2.2 สถานที่ตรวจสอบและคลังเก็บ</t>
  </si>
  <si>
    <t xml:space="preserve">       สินค้า(บ้านไม้รูด)ด่านคลองใหญ่</t>
  </si>
  <si>
    <t>รวมทั้งหมด</t>
  </si>
  <si>
    <t>1. ด่านศุลกากรอรัญประเทศ  จังหวัดสระแก้ว</t>
  </si>
  <si>
    <t>2. ด่านศุลกากรคลองใหญ่  จังหวัดตราด</t>
  </si>
  <si>
    <t>4. ด่านศุลกากรช่องจอม  จังหวัดสุรินทร์</t>
  </si>
  <si>
    <t>5. ด่านศุลกากรช่องสะงำ  จังหวัดศรีสะเกษ</t>
  </si>
  <si>
    <t>6. ด่านศุลกากรช่องเม็ก  จังหวัดอุบลราชธานี</t>
  </si>
  <si>
    <t>สัดส่วนการค้าชายแดนต่อ</t>
  </si>
  <si>
    <t>การค้าระหว่างประเทศ (%)</t>
  </si>
  <si>
    <t xml:space="preserve">มูลค่าการค้าระหว่างไทย-กัมพูชา  และการค้าชายแดนไทย - กัมพูชา 
</t>
  </si>
  <si>
    <t>การค้าระหว่างไทย-กัมพูชา</t>
  </si>
  <si>
    <t xml:space="preserve">6.1 ด่านช่องเม็ก  </t>
  </si>
  <si>
    <t>6.2 จุดผ่อนปรนช่องอานม้า</t>
  </si>
  <si>
    <t>2.6 จุดผ่อนปรนบ้านท่าเส้น</t>
  </si>
  <si>
    <t>เครื่องจักรไฟฟ้าใช้ในอุตสาหกรรม</t>
  </si>
  <si>
    <t>59/60</t>
  </si>
  <si>
    <t>60/61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</si>
  <si>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</si>
  <si>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</si>
  <si>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</si>
  <si>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</si>
  <si>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61/62</t>
  </si>
  <si>
    <t>ยางยานพาหนะ</t>
  </si>
  <si>
    <t>สินค้าแร่และเชื้อเพลิงอื่น ๆ</t>
  </si>
  <si>
    <t>3.2 จุดผ่านแดนถาวรบ้านผักกาด</t>
  </si>
  <si>
    <t>3.3 จุดผ่อนปรนบ้านซับตารี</t>
  </si>
  <si>
    <t>3.4 จุดผ่อนปรนบ้านสวนส้ม</t>
  </si>
  <si>
    <t>3.5 จุดผ่านแดนถาวรบ้านแหลม</t>
  </si>
  <si>
    <t>รถยนต์ อุปกรณ์และส่วนประกอบ</t>
  </si>
  <si>
    <t>2.4 ท่าเรือชลาลัย</t>
  </si>
  <si>
    <t>2.5 ท่าเรือ ส.กฤตวรรณ</t>
  </si>
  <si>
    <t xml:space="preserve">                   4. กรมศุลกากรได้ปรับปรุงข้อมูลย้อนหลังปี  2561 (มค.-มิย.) ในเดือน ธค.61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</si>
  <si>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</si>
  <si>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</si>
  <si>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</si>
  <si>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</si>
  <si>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สระแก้ว</t>
  </si>
  <si>
    <t>ตราด</t>
  </si>
  <si>
    <t>จันทบุรี</t>
  </si>
  <si>
    <t>สุรินทร์</t>
  </si>
  <si>
    <t>ศรีสะเกษ</t>
  </si>
  <si>
    <t>อุบลราชธานี</t>
  </si>
  <si>
    <t>0.00</t>
  </si>
  <si>
    <t>0.01</t>
  </si>
  <si>
    <t>125,268.31</t>
  </si>
  <si>
    <t>101,727.60</t>
  </si>
  <si>
    <t>23,540.71</t>
  </si>
  <si>
    <t>78,186.90</t>
  </si>
  <si>
    <t>145,382.33</t>
  </si>
  <si>
    <t>122,602.57</t>
  </si>
  <si>
    <t>22,779.76</t>
  </si>
  <si>
    <t>99,822.82</t>
  </si>
  <si>
    <t>เครื่องดื่มที่ไม่มีแอลกอฮอส์</t>
  </si>
  <si>
    <t>เครื่องยนต์สันดาปภายในแบบลูกสูบและส่วนประกอบ</t>
  </si>
  <si>
    <t>มอเตอร์ไฟฟ้า ชุดเครื่องกำเนิดไฟฟ้าและส่วนประกอบ</t>
  </si>
  <si>
    <t>ด่านศุลกากรอรัญประเทศ (ศภ.1)</t>
  </si>
  <si>
    <t>จุดผ่อนปรนบ้านเขาดิน (ศภ.1)</t>
  </si>
  <si>
    <t>จุดผ่อนปรนบ้านตาพระยา (ศภ.1)</t>
  </si>
  <si>
    <t>จุดผ่อนปรนบ้านหนองปรือ (ศภ.1)</t>
  </si>
  <si>
    <t>75,151.07</t>
  </si>
  <si>
    <t>59,599.91</t>
  </si>
  <si>
    <t>15,551.16</t>
  </si>
  <si>
    <t>44,048.75</t>
  </si>
  <si>
    <t>90,653.92</t>
  </si>
  <si>
    <t>76,318.62</t>
  </si>
  <si>
    <t>14,335.30</t>
  </si>
  <si>
    <t>61,983.31</t>
  </si>
  <si>
    <t xml:space="preserve">ด่าน: ด่านศุลกากรคลองใหญ่ </t>
  </si>
  <si>
    <t>ด่านศุลกากรคลองใหญ่ (ศภ.1)</t>
  </si>
  <si>
    <t>สถานที่ตรวจสอบและคลังเก็บสินค้า(บ้านไม้รูด) ด่านฯ คลองใหญ่</t>
  </si>
  <si>
    <t>ท่าเรือ ชลาลัย</t>
  </si>
  <si>
    <t>ท่าเรือ ส.กฤตวรรณ</t>
  </si>
  <si>
    <t>จุดผ่อนปรนบ้านท่าเส้น</t>
  </si>
  <si>
    <t>33,441.40</t>
  </si>
  <si>
    <t>29,175.50</t>
  </si>
  <si>
    <t>4,265.90</t>
  </si>
  <si>
    <t>24,909.60</t>
  </si>
  <si>
    <t>36,230.42</t>
  </si>
  <si>
    <t>31,309.64</t>
  </si>
  <si>
    <t>4,920.79</t>
  </si>
  <si>
    <t>26,388.85</t>
  </si>
  <si>
    <t xml:space="preserve">ด่าน: ด่านศุลกากรจันทบุรี </t>
  </si>
  <si>
    <t>ด่านศุลกากรจันทบุรี (ศภ.1)</t>
  </si>
  <si>
    <t>จุดผ่านแดนถาวรบ้านผักกาด</t>
  </si>
  <si>
    <t>จุดผ่อนปรนบ้านซับตารี</t>
  </si>
  <si>
    <t>จุดผ่อนปรนบ้านสวนส้ม</t>
  </si>
  <si>
    <t>จุดผ่านแดนถาวรบ้านแหลม</t>
  </si>
  <si>
    <t>12,836.31</t>
  </si>
  <si>
    <t>11,605.87</t>
  </si>
  <si>
    <t>1,230.43</t>
  </si>
  <si>
    <t>10,375.44</t>
  </si>
  <si>
    <t>12,341.65</t>
  </si>
  <si>
    <t>11,011.42</t>
  </si>
  <si>
    <t>1,330.23</t>
  </si>
  <si>
    <t>9,681.20</t>
  </si>
  <si>
    <t xml:space="preserve">ด่าน: ด่านศุลกากรช่องจอม </t>
  </si>
  <si>
    <t>3,011.87</t>
  </si>
  <si>
    <t>873.30</t>
  </si>
  <si>
    <t>2,138.57</t>
  </si>
  <si>
    <t>-1,265.26</t>
  </si>
  <si>
    <t>5,317.46</t>
  </si>
  <si>
    <t>3,348.63</t>
  </si>
  <si>
    <t>1,968.83</t>
  </si>
  <si>
    <t>1,379.79</t>
  </si>
  <si>
    <t xml:space="preserve">ด่าน: ด่านศุลกากรช่องสะงำ </t>
  </si>
  <si>
    <t>ด่านศุลกากรช่องสะงำ</t>
  </si>
  <si>
    <t>818.90</t>
  </si>
  <si>
    <t>464.25</t>
  </si>
  <si>
    <t>354.65</t>
  </si>
  <si>
    <t>109.60</t>
  </si>
  <si>
    <t>834.06</t>
  </si>
  <si>
    <t>609.45</t>
  </si>
  <si>
    <t>224.61</t>
  </si>
  <si>
    <t>384.85</t>
  </si>
  <si>
    <t xml:space="preserve">ด่าน: ด่านศุลกากรช่องเม็ก </t>
  </si>
  <si>
    <t>ด่านศุลกากรช่องเม็ก</t>
  </si>
  <si>
    <t>8.76</t>
  </si>
  <si>
    <t>4.82</t>
  </si>
  <si>
    <t>2.31</t>
  </si>
  <si>
    <t>0.24</t>
  </si>
  <si>
    <t>2.07</t>
  </si>
  <si>
    <t>-1.83</t>
  </si>
  <si>
    <t>22,779.75</t>
  </si>
  <si>
    <t>-94.94</t>
  </si>
  <si>
    <t xml:space="preserve">ด่าน: ด่านศุลกากรอรัญประเทศ </t>
  </si>
  <si>
    <t>0.44</t>
  </si>
  <si>
    <t xml:space="preserve">1.3 จุดผ่อนปรนบ้านตาพระยา </t>
  </si>
  <si>
    <t>1.4 จุดผ่อนปรนบ้านหนองปรือ</t>
  </si>
  <si>
    <t>ส่วนประกอบและอุปกรณ์ยานยนต์อื่นๆ</t>
  </si>
  <si>
    <t>26.11</t>
  </si>
  <si>
    <t>-12.95</t>
  </si>
  <si>
    <t>17.55</t>
  </si>
  <si>
    <t>-20.95</t>
  </si>
  <si>
    <t>18.58</t>
  </si>
  <si>
    <t>-11.90</t>
  </si>
  <si>
    <t>23.83</t>
  </si>
  <si>
    <t>-1.28</t>
  </si>
  <si>
    <t>22.09</t>
  </si>
  <si>
    <t>-10.17</t>
  </si>
  <si>
    <t>14.05</t>
  </si>
  <si>
    <t>-15.98</t>
  </si>
  <si>
    <t>26.55</t>
  </si>
  <si>
    <t>7.60</t>
  </si>
  <si>
    <t>5.46</t>
  </si>
  <si>
    <t>12.81</t>
  </si>
  <si>
    <t>2.27</t>
  </si>
  <si>
    <t>-1.98</t>
  </si>
  <si>
    <t>16.44</t>
  </si>
  <si>
    <t>6.56</t>
  </si>
  <si>
    <t>-4.32</t>
  </si>
  <si>
    <t>-11.48</t>
  </si>
  <si>
    <t>-92.46</t>
  </si>
  <si>
    <t>64.19</t>
  </si>
  <si>
    <t>มูลค่าการค้าชายแดนไทย - กัมพูชา (รายเดือน) ปี 2560 - 2562 (ม.ค. - ธ.ค.)</t>
  </si>
  <si>
    <t>อัตราการเปลี่ยนแปลง (%) 2562/2561 (ม.ค. - ธ.ค.)</t>
  </si>
  <si>
    <t>(ม.ค. - ธ.ค.)</t>
  </si>
  <si>
    <t>12.60</t>
  </si>
  <si>
    <t>-3.28</t>
  </si>
  <si>
    <t>161,262.41</t>
  </si>
  <si>
    <t>140,081.63</t>
  </si>
  <si>
    <t>21,180.78</t>
  </si>
  <si>
    <t>118,900.84</t>
  </si>
  <si>
    <t>14.26</t>
  </si>
  <si>
    <t>-7.02</t>
  </si>
  <si>
    <t>มูลค่าการค้าชายแดนไทย - กัมพูชา (รายจังหวัด)  ปี 2560 - 2562 (ม.ค. - ธ.ค.)</t>
  </si>
  <si>
    <t>ส่วนแบ่งตลาด ทั้งหมด ปี2562 (ม.ค. - ธ.ค.)</t>
  </si>
  <si>
    <t>16.26</t>
  </si>
  <si>
    <t>-12.63</t>
  </si>
  <si>
    <t>63.34</t>
  </si>
  <si>
    <t>59.13</t>
  </si>
  <si>
    <t>-2.35</t>
  </si>
  <si>
    <t>-7.34</t>
  </si>
  <si>
    <t>21.83</t>
  </si>
  <si>
    <t>21.53</t>
  </si>
  <si>
    <t>30.89</t>
  </si>
  <si>
    <t>1.02</t>
  </si>
  <si>
    <t>10.29</t>
  </si>
  <si>
    <t>6.34</t>
  </si>
  <si>
    <t>71.16</t>
  </si>
  <si>
    <t>27.38</t>
  </si>
  <si>
    <t>4.09</t>
  </si>
  <si>
    <t>11.84</t>
  </si>
  <si>
    <t>3.74</t>
  </si>
  <si>
    <t>8.13</t>
  </si>
  <si>
    <t>0.45</t>
  </si>
  <si>
    <t>1.15</t>
  </si>
  <si>
    <t>21,180.79</t>
  </si>
  <si>
    <t>มูลค่าการค้าชายแดนไทย - กัมพูชา (รายด่าน) ปี 2560 - 2562 (ม.ค. - ธ.ค.)</t>
  </si>
  <si>
    <t>-9.66</t>
  </si>
  <si>
    <t>39.36</t>
  </si>
  <si>
    <t>-2.48</t>
  </si>
  <si>
    <t>12.05</t>
  </si>
  <si>
    <t>-27.68</t>
  </si>
  <si>
    <t>4.93</t>
  </si>
  <si>
    <t>-43.47</t>
  </si>
  <si>
    <t>2.79</t>
  </si>
  <si>
    <t>101,256.46</t>
  </si>
  <si>
    <t>88,731.72</t>
  </si>
  <si>
    <t>12,524.74</t>
  </si>
  <si>
    <t>76,206.98</t>
  </si>
  <si>
    <t>0.39</t>
  </si>
  <si>
    <t>26.65</t>
  </si>
  <si>
    <t>18.54</t>
  </si>
  <si>
    <t>จุดผ่านแดนถาวรบ้านหาดเล็ก</t>
  </si>
  <si>
    <t>-26.52</t>
  </si>
  <si>
    <t>2.14</t>
  </si>
  <si>
    <t>-1.23</t>
  </si>
  <si>
    <t>35,132.52</t>
  </si>
  <si>
    <t>30,573.05</t>
  </si>
  <si>
    <t>4,559.47</t>
  </si>
  <si>
    <t>26,013.57</t>
  </si>
  <si>
    <t>-97.23</t>
  </si>
  <si>
    <t>0.16</t>
  </si>
  <si>
    <t>4,161.76</t>
  </si>
  <si>
    <t>3.76</t>
  </si>
  <si>
    <t>648.74</t>
  </si>
  <si>
    <t>1.45</t>
  </si>
  <si>
    <t>617.10</t>
  </si>
  <si>
    <t>0.97</t>
  </si>
  <si>
    <t>383.87</t>
  </si>
  <si>
    <t>15,756.60</t>
  </si>
  <si>
    <t>14,412.85</t>
  </si>
  <si>
    <t>1,343.76</t>
  </si>
  <si>
    <t>13,069.09</t>
  </si>
  <si>
    <t>จุดผ่านแดนถาวรช่องจอม</t>
  </si>
  <si>
    <t>8,239.38</t>
  </si>
  <si>
    <t>5,731.50</t>
  </si>
  <si>
    <t>2,507.88</t>
  </si>
  <si>
    <t>3,223.62</t>
  </si>
  <si>
    <t>875.14</t>
  </si>
  <si>
    <t>632.27</t>
  </si>
  <si>
    <t>242.87</t>
  </si>
  <si>
    <t>389.40</t>
  </si>
  <si>
    <t>สินค้าปศุสัตว์อื่น ๆ</t>
  </si>
  <si>
    <t>วัตถุดิบและผลิตภัณฑ์กึ่งสำเร็จรูปอื่นๆ</t>
  </si>
  <si>
    <t>ปี 2560-2562 (มกราคม-ธันวาคม)</t>
  </si>
  <si>
    <t>(มกราคม-ธันวาคม)</t>
  </si>
  <si>
    <t>(มค.-ธค.)</t>
  </si>
  <si>
    <t>2562 (มกราคม-ธันวาคม)</t>
  </si>
  <si>
    <t>2561มกราคม-ธันวาคม</t>
  </si>
  <si>
    <t>2561 มกราคม-ธันวาคม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</si>
</sst>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#,##0.0"/>
    <numFmt numFmtId="188" formatCode="0.0"/>
    <numFmt numFmtId="189" formatCode="#,##0_ ;[Red]\-#,##0\ "/>
    <numFmt numFmtId="190" formatCode="_-* #,##0.0_-;\-* #,##0.0_-;_-* &quot;-&quot;??_-;_-@_-"/>
    <numFmt numFmtId="191" formatCode="#,##0.0;\-#,##0.0"/>
    <numFmt numFmtId="192" formatCode="#,##0.00_ ;[Red]\-#,##0.00\ "/>
    <numFmt numFmtId="193" formatCode="#,##0.00_ ;\-#,##0.00\ "/>
    <numFmt numFmtId="194" formatCode="#,##0.0_ ;\-#,##0.0\ "/>
    <numFmt numFmtId="195" formatCode="#,##0.000"/>
  </numFmts>
  <fonts count="100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name val="Tahoma"/>
      <family val="2"/>
      <charset val="222"/>
    </font>
    <font>
      <sz val="8"/>
      <name val="Tahoma"/>
      <family val="2"/>
      <charset val="222"/>
    </font>
    <font>
      <b/>
      <sz val="13"/>
      <name val="AngsanaUPC"/>
      <family val="1"/>
      <charset val="222"/>
    </font>
    <font>
      <b/>
      <sz val="12"/>
      <name val="AngsanaUPC"/>
      <family val="1"/>
    </font>
    <font>
      <b/>
      <sz val="11"/>
      <name val="AngsanaUPC"/>
      <family val="1"/>
    </font>
    <font>
      <sz val="13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0"/>
      <name val="AngsanaUPC"/>
      <family val="1"/>
      <charset val="222"/>
    </font>
    <font>
      <b/>
      <sz val="11"/>
      <name val="AngsanaUPC"/>
      <family val="1"/>
      <charset val="222"/>
    </font>
    <font>
      <sz val="11"/>
      <name val="Angsana New"/>
      <family val="1"/>
    </font>
    <font>
      <sz val="11"/>
      <name val="AngsanaUPC"/>
      <family val="1"/>
      <charset val="222"/>
    </font>
    <font>
      <b/>
      <sz val="11"/>
      <name val="Angsana New"/>
      <family val="1"/>
    </font>
    <font>
      <b/>
      <sz val="10"/>
      <name val="AngsanaUPC"/>
      <family val="1"/>
    </font>
    <font>
      <sz val="11"/>
      <name val="AngsanaUPC"/>
      <family val="1"/>
    </font>
    <font>
      <b/>
      <sz val="10"/>
      <name val="Angsana New"/>
      <family val="1"/>
    </font>
    <font>
      <sz val="10"/>
      <name val="Angsana New"/>
      <family val="1"/>
    </font>
    <font>
      <sz val="10"/>
      <name val="AngsanaUPC"/>
      <family val="1"/>
    </font>
    <font>
      <b/>
      <sz val="20"/>
      <name val="Angsana New"/>
      <family val="1"/>
    </font>
    <font>
      <b/>
      <sz val="16"/>
      <name val="AngsanaUPC"/>
      <family val="1"/>
    </font>
    <font>
      <sz val="16"/>
      <name val="AngsanaUPC"/>
      <family val="1"/>
    </font>
    <font>
      <b/>
      <sz val="18"/>
      <name val="AngsanaUPC"/>
      <family val="1"/>
    </font>
    <font>
      <sz val="14"/>
      <name val="Arial"/>
      <family val="2"/>
    </font>
    <font>
      <sz val="16"/>
      <name val="Arial"/>
      <family val="2"/>
    </font>
    <font>
      <b/>
      <sz val="9"/>
      <name val="AngsanaUPC"/>
      <family val="1"/>
      <charset val="222"/>
    </font>
    <font>
      <b/>
      <sz val="11.5"/>
      <name val="AngsanaUPC"/>
      <family val="1"/>
    </font>
    <font>
      <b/>
      <sz val="11.5"/>
      <name val="AngsanaUPC"/>
      <family val="1"/>
      <charset val="222"/>
    </font>
    <font>
      <b/>
      <u/>
      <sz val="18"/>
      <name val="Angsana New"/>
      <family val="1"/>
    </font>
    <font>
      <b/>
      <sz val="9"/>
      <name val="Angsana New"/>
      <family val="1"/>
    </font>
    <font>
      <sz val="10"/>
      <name val="AngsanaUPC"/>
      <family val="1"/>
      <charset val="222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b/>
      <sz val="9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6"/>
      <color rgb="FFFF0000"/>
      <name val="Angsana New"/>
      <family val="1"/>
    </font>
    <font>
      <sz val="12"/>
      <color rgb="FFFF0000"/>
      <name val="Angsana New"/>
      <family val="1"/>
    </font>
    <font>
      <sz val="12"/>
      <color rgb="FFFF0000"/>
      <name val="AngsanaUPC"/>
      <family val="1"/>
      <charset val="222"/>
    </font>
    <font>
      <b/>
      <sz val="11.5"/>
      <color rgb="FFFF0000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14"/>
      <color rgb="FFFF0000"/>
      <name val="Angsana New"/>
      <family val="1"/>
    </font>
    <font>
      <b/>
      <sz val="12"/>
      <color rgb="FFFF0000"/>
      <name val="Angsana New"/>
      <family val="1"/>
    </font>
    <font>
      <sz val="12"/>
      <color theme="1"/>
      <name val="AngsanaUPC"/>
      <family val="1"/>
      <charset val="222"/>
    </font>
    <font>
      <b/>
      <sz val="12"/>
      <color rgb="FFFF0000"/>
      <name val="AngsanaUPC"/>
      <family val="1"/>
      <charset val="222"/>
    </font>
    <font>
      <sz val="12"/>
      <color theme="1"/>
      <name val="AngsanaUPC"/>
      <family val="1"/>
    </font>
    <font>
      <sz val="11"/>
      <color rgb="FF000000"/>
      <name val="AngsanaUPC"/>
      <family val="1"/>
    </font>
    <font>
      <sz val="11"/>
      <color theme="1"/>
      <name val="AngsanaUPC"/>
      <family val="1"/>
    </font>
    <font>
      <b/>
      <sz val="14"/>
      <color rgb="FFC00000"/>
      <name val="AngsanaUPC"/>
      <family val="1"/>
    </font>
    <font>
      <sz val="14"/>
      <color rgb="FFC00000"/>
      <name val="AngsanaUPC"/>
      <family val="1"/>
    </font>
    <font>
      <sz val="12"/>
      <color rgb="FFC00000"/>
      <name val="AngsanaUPC"/>
      <family val="1"/>
      <charset val="222"/>
    </font>
    <font>
      <b/>
      <sz val="12"/>
      <color rgb="FFC00000"/>
      <name val="Angsana New"/>
      <family val="1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6"/>
      <color rgb="FFC00000"/>
      <name val="AngsanaUPC"/>
      <family val="1"/>
      <charset val="222"/>
    </font>
    <font>
      <sz val="12"/>
      <color rgb="FFC00000"/>
      <name val="AngsanaUPC"/>
      <family val="1"/>
    </font>
    <font>
      <b/>
      <sz val="12"/>
      <color rgb="FFC00000"/>
      <name val="AngsanaUPC"/>
      <family val="1"/>
    </font>
    <font>
      <sz val="12"/>
      <color rgb="FF000000"/>
      <name val="AngsanaUPC"/>
      <family val="1"/>
    </font>
    <font>
      <sz val="11"/>
      <color rgb="FFC00000"/>
      <name val="Tahoma"/>
      <family val="2"/>
      <charset val="222"/>
    </font>
    <font>
      <sz val="9"/>
      <name val="Angsana New"/>
      <family val="1"/>
    </font>
    <font>
      <b/>
      <sz val="9"/>
      <color rgb="FFFF0000"/>
      <name val="Angsana New"/>
      <family val="1"/>
    </font>
    <font>
      <b/>
      <sz val="9"/>
      <color rgb="FFC00000"/>
      <name val="Angsana New"/>
      <family val="1"/>
    </font>
    <font>
      <b/>
      <sz val="9"/>
      <color rgb="FFFF0000"/>
      <name val="AngsanaUPC"/>
      <family val="1"/>
      <charset val="222"/>
    </font>
    <font>
      <b/>
      <sz val="9"/>
      <color rgb="FFC00000"/>
      <name val="AngsanaUPC"/>
      <family val="1"/>
      <charset val="222"/>
    </font>
    <font>
      <sz val="9"/>
      <color rgb="FFC00000"/>
      <name val="Angsana New"/>
      <family val="1"/>
    </font>
    <font>
      <sz val="9"/>
      <color rgb="FF000000"/>
      <name val="Microsoft Sans Serif"/>
      <family val="2"/>
    </font>
    <font>
      <sz val="11"/>
      <color rgb="FF000000"/>
      <name val="Angsana New"/>
      <family val="1"/>
    </font>
    <font>
      <sz val="12"/>
      <color rgb="FF0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color rgb="FFFFFFFF"/>
      <name val="Microsoft Sans Serif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  <font>
      <sz val="8"/>
      <name val="AngsanaUPC"/>
      <family val="1"/>
      <charset val="222"/>
    </font>
    <font>
      <sz val="8"/>
      <name val="Angsana New"/>
      <family val="1"/>
    </font>
    <font>
      <b/>
      <sz val="10"/>
      <color rgb="FFFF0000"/>
      <name val="AngsanaUPC"/>
      <family val="1"/>
    </font>
    <font>
      <b/>
      <sz val="11"/>
      <color rgb="FFFF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25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47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lightGrid">
        <fgColor indexed="47"/>
        <bgColor theme="9" tint="0.79998168889431442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08080"/>
      </patternFill>
    </fill>
    <fill>
      <patternFill patternType="solid">
        <fgColor rgb="FFFFFFE0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0" fontId="51" fillId="0" borderId="0"/>
    <xf numFmtId="0" fontId="52" fillId="0" borderId="0"/>
    <xf numFmtId="9" fontId="17" fillId="0" borderId="0" applyFont="0" applyFill="0" applyBorder="0" applyAlignment="0" applyProtection="0"/>
  </cellStyleXfs>
  <cellXfs count="778">
    <xf numFmtId="0" fontId="0" fillId="0" borderId="0" xfId="0"/>
    <xf numFmtId="0" fontId="2" fillId="2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8" fillId="2" borderId="0" xfId="0" applyFont="1" applyFill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8" fillId="0" borderId="0" xfId="0" applyFont="1"/>
    <xf numFmtId="0" fontId="14" fillId="0" borderId="0" xfId="0" applyFont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4" fillId="4" borderId="0" xfId="0" applyFont="1" applyFill="1" applyBorder="1" applyAlignment="1"/>
    <xf numFmtId="0" fontId="10" fillId="4" borderId="1" xfId="0" applyFont="1" applyFill="1" applyBorder="1" applyAlignment="1">
      <alignment horizontal="right"/>
    </xf>
    <xf numFmtId="0" fontId="10" fillId="4" borderId="0" xfId="0" applyFont="1" applyFill="1" applyAlignment="1"/>
    <xf numFmtId="0" fontId="9" fillId="4" borderId="2" xfId="0" applyFont="1" applyFill="1" applyBorder="1" applyAlignment="1"/>
    <xf numFmtId="0" fontId="9" fillId="4" borderId="0" xfId="0" applyFont="1" applyFill="1" applyBorder="1" applyAlignment="1"/>
    <xf numFmtId="0" fontId="5" fillId="0" borderId="0" xfId="0" applyFont="1" applyAlignment="1">
      <alignment vertical="justify"/>
    </xf>
    <xf numFmtId="0" fontId="9" fillId="3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4" fontId="21" fillId="8" borderId="5" xfId="1" applyNumberFormat="1" applyFont="1" applyFill="1" applyBorder="1" applyAlignment="1">
      <alignment horizontal="right"/>
    </xf>
    <xf numFmtId="4" fontId="30" fillId="8" borderId="5" xfId="1" applyNumberFormat="1" applyFont="1" applyFill="1" applyBorder="1" applyAlignment="1">
      <alignment horizontal="right"/>
    </xf>
    <xf numFmtId="4" fontId="22" fillId="8" borderId="5" xfId="1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right" wrapText="1"/>
    </xf>
    <xf numFmtId="0" fontId="16" fillId="9" borderId="6" xfId="0" applyFont="1" applyFill="1" applyBorder="1" applyAlignment="1">
      <alignment horizontal="center" wrapText="1"/>
    </xf>
    <xf numFmtId="0" fontId="4" fillId="11" borderId="7" xfId="0" applyFont="1" applyFill="1" applyBorder="1" applyAlignment="1"/>
    <xf numFmtId="0" fontId="9" fillId="3" borderId="0" xfId="0" applyFont="1" applyFill="1" applyAlignment="1">
      <alignment horizontal="right"/>
    </xf>
    <xf numFmtId="0" fontId="4" fillId="11" borderId="2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/>
    </xf>
    <xf numFmtId="0" fontId="53" fillId="2" borderId="0" xfId="0" applyFont="1" applyFill="1"/>
    <xf numFmtId="0" fontId="4" fillId="11" borderId="9" xfId="0" applyFont="1" applyFill="1" applyBorder="1" applyAlignment="1"/>
    <xf numFmtId="0" fontId="16" fillId="11" borderId="7" xfId="0" applyFont="1" applyFill="1" applyBorder="1" applyAlignment="1"/>
    <xf numFmtId="0" fontId="0" fillId="12" borderId="7" xfId="0" applyFill="1" applyBorder="1" applyAlignment="1"/>
    <xf numFmtId="0" fontId="54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/>
    <xf numFmtId="0" fontId="9" fillId="4" borderId="0" xfId="0" applyFont="1" applyFill="1" applyBorder="1" applyAlignment="1">
      <alignment horizontal="right"/>
    </xf>
    <xf numFmtId="0" fontId="4" fillId="3" borderId="0" xfId="0" applyFont="1" applyFill="1" applyBorder="1"/>
    <xf numFmtId="0" fontId="13" fillId="4" borderId="0" xfId="0" applyFont="1" applyFill="1" applyBorder="1" applyAlignment="1">
      <alignment horizontal="right"/>
    </xf>
    <xf numFmtId="0" fontId="13" fillId="9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wrapText="1"/>
    </xf>
    <xf numFmtId="0" fontId="16" fillId="9" borderId="5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right" wrapText="1"/>
    </xf>
    <xf numFmtId="0" fontId="27" fillId="9" borderId="5" xfId="0" applyFont="1" applyFill="1" applyBorder="1" applyAlignment="1">
      <alignment horizontal="center" wrapText="1"/>
    </xf>
    <xf numFmtId="4" fontId="23" fillId="0" borderId="5" xfId="0" applyNumberFormat="1" applyFont="1" applyBorder="1" applyAlignment="1">
      <alignment horizontal="right" vertical="center"/>
    </xf>
    <xf numFmtId="4" fontId="23" fillId="0" borderId="5" xfId="1" applyNumberFormat="1" applyFont="1" applyBorder="1" applyAlignment="1">
      <alignment horizontal="right" vertical="center"/>
    </xf>
    <xf numFmtId="4" fontId="23" fillId="4" borderId="6" xfId="1" applyNumberFormat="1" applyFont="1" applyFill="1" applyBorder="1" applyAlignment="1">
      <alignment horizontal="right" vertical="center" wrapText="1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5" xfId="1" applyNumberFormat="1" applyFont="1" applyFill="1" applyBorder="1" applyAlignment="1">
      <alignment horizontal="right" vertical="center"/>
    </xf>
    <xf numFmtId="4" fontId="23" fillId="0" borderId="6" xfId="1" applyNumberFormat="1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4" fontId="9" fillId="8" borderId="5" xfId="0" applyNumberFormat="1" applyFont="1" applyFill="1" applyBorder="1" applyAlignment="1">
      <alignment horizontal="right" vertical="center"/>
    </xf>
    <xf numFmtId="4" fontId="9" fillId="8" borderId="5" xfId="1" applyNumberFormat="1" applyFont="1" applyFill="1" applyBorder="1" applyAlignment="1">
      <alignment horizontal="right" vertical="center"/>
    </xf>
    <xf numFmtId="4" fontId="9" fillId="8" borderId="6" xfId="1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4" fontId="14" fillId="4" borderId="13" xfId="0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right" vertical="center"/>
    </xf>
    <xf numFmtId="4" fontId="23" fillId="0" borderId="10" xfId="1" applyNumberFormat="1" applyFont="1" applyBorder="1" applyAlignment="1">
      <alignment horizontal="right" vertical="center"/>
    </xf>
    <xf numFmtId="4" fontId="23" fillId="4" borderId="13" xfId="1" applyNumberFormat="1" applyFont="1" applyFill="1" applyBorder="1" applyAlignment="1">
      <alignment horizontal="right" vertical="center" wrapText="1"/>
    </xf>
    <xf numFmtId="4" fontId="23" fillId="0" borderId="10" xfId="0" applyNumberFormat="1" applyFont="1" applyFill="1" applyBorder="1" applyAlignment="1">
      <alignment horizontal="right" vertical="center"/>
    </xf>
    <xf numFmtId="4" fontId="23" fillId="0" borderId="10" xfId="1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4" fontId="16" fillId="10" borderId="5" xfId="0" applyNumberFormat="1" applyFont="1" applyFill="1" applyBorder="1" applyAlignment="1">
      <alignment horizontal="right" vertical="center"/>
    </xf>
    <xf numFmtId="4" fontId="21" fillId="10" borderId="5" xfId="0" applyNumberFormat="1" applyFont="1" applyFill="1" applyBorder="1" applyAlignment="1">
      <alignment horizontal="right" vertical="center"/>
    </xf>
    <xf numFmtId="4" fontId="25" fillId="10" borderId="5" xfId="1" applyNumberFormat="1" applyFont="1" applyFill="1" applyBorder="1" applyAlignment="1">
      <alignment horizontal="right" vertical="center" wrapText="1"/>
    </xf>
    <xf numFmtId="4" fontId="21" fillId="10" borderId="5" xfId="1" applyNumberFormat="1" applyFont="1" applyFill="1" applyBorder="1" applyAlignment="1">
      <alignment horizontal="right" vertical="center" wrapText="1"/>
    </xf>
    <xf numFmtId="4" fontId="16" fillId="10" borderId="6" xfId="1" applyNumberFormat="1" applyFont="1" applyFill="1" applyBorder="1" applyAlignment="1">
      <alignment horizontal="right" vertical="center" wrapText="1"/>
    </xf>
    <xf numFmtId="4" fontId="16" fillId="10" borderId="5" xfId="1" applyNumberFormat="1" applyFont="1" applyFill="1" applyBorder="1" applyAlignment="1">
      <alignment horizontal="right" vertical="center"/>
    </xf>
    <xf numFmtId="4" fontId="21" fillId="10" borderId="5" xfId="1" applyNumberFormat="1" applyFont="1" applyFill="1" applyBorder="1" applyAlignment="1">
      <alignment horizontal="right" vertical="center"/>
    </xf>
    <xf numFmtId="187" fontId="9" fillId="4" borderId="0" xfId="0" applyNumberFormat="1" applyFont="1" applyFill="1" applyAlignment="1">
      <alignment horizontal="right"/>
    </xf>
    <xf numFmtId="187" fontId="38" fillId="0" borderId="0" xfId="0" applyNumberFormat="1" applyFont="1" applyBorder="1" applyAlignment="1">
      <alignment horizontal="right"/>
    </xf>
    <xf numFmtId="191" fontId="9" fillId="4" borderId="0" xfId="0" applyNumberFormat="1" applyFont="1" applyFill="1" applyBorder="1" applyAlignment="1">
      <alignment horizontal="right"/>
    </xf>
    <xf numFmtId="0" fontId="39" fillId="16" borderId="5" xfId="0" applyFont="1" applyFill="1" applyBorder="1" applyAlignment="1">
      <alignment horizontal="center" wrapText="1"/>
    </xf>
    <xf numFmtId="0" fontId="9" fillId="0" borderId="0" xfId="0" applyFont="1" applyFill="1"/>
    <xf numFmtId="0" fontId="13" fillId="0" borderId="0" xfId="0" applyFont="1" applyFill="1" applyAlignment="1">
      <alignment horizontal="right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9" fontId="3" fillId="9" borderId="5" xfId="4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42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187" fontId="7" fillId="0" borderId="5" xfId="0" applyNumberFormat="1" applyFont="1" applyFill="1" applyBorder="1" applyAlignment="1">
      <alignment horizontal="center" vertical="center"/>
    </xf>
    <xf numFmtId="187" fontId="11" fillId="0" borderId="5" xfId="0" applyNumberFormat="1" applyFont="1" applyFill="1" applyBorder="1" applyAlignment="1">
      <alignment horizontal="right" vertical="center"/>
    </xf>
    <xf numFmtId="187" fontId="7" fillId="0" borderId="5" xfId="0" applyNumberFormat="1" applyFont="1" applyFill="1" applyBorder="1" applyAlignment="1">
      <alignment horizontal="right" vertical="center"/>
    </xf>
    <xf numFmtId="187" fontId="11" fillId="0" borderId="5" xfId="0" applyNumberFormat="1" applyFont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4" fontId="24" fillId="0" borderId="5" xfId="1" applyNumberFormat="1" applyFont="1" applyFill="1" applyBorder="1" applyAlignment="1">
      <alignment horizontal="right" vertical="center"/>
    </xf>
    <xf numFmtId="4" fontId="24" fillId="0" borderId="5" xfId="0" applyNumberFormat="1" applyFont="1" applyFill="1" applyBorder="1" applyAlignment="1">
      <alignment horizontal="right" vertical="center"/>
    </xf>
    <xf numFmtId="4" fontId="24" fillId="8" borderId="5" xfId="1" applyNumberFormat="1" applyFont="1" applyFill="1" applyBorder="1" applyAlignment="1">
      <alignment horizontal="right" vertical="center"/>
    </xf>
    <xf numFmtId="4" fontId="55" fillId="0" borderId="5" xfId="1" applyNumberFormat="1" applyFont="1" applyFill="1" applyBorder="1" applyAlignment="1">
      <alignment horizontal="right" vertical="center"/>
    </xf>
    <xf numFmtId="4" fontId="29" fillId="0" borderId="5" xfId="1" applyNumberFormat="1" applyFont="1" applyFill="1" applyBorder="1" applyAlignment="1">
      <alignment horizontal="right" vertical="center"/>
    </xf>
    <xf numFmtId="187" fontId="32" fillId="0" borderId="5" xfId="0" applyNumberFormat="1" applyFont="1" applyFill="1" applyBorder="1" applyAlignment="1">
      <alignment horizontal="right" vertical="center"/>
    </xf>
    <xf numFmtId="187" fontId="35" fillId="0" borderId="5" xfId="0" applyNumberFormat="1" applyFont="1" applyFill="1" applyBorder="1" applyAlignment="1">
      <alignment horizontal="right" vertical="center"/>
    </xf>
    <xf numFmtId="187" fontId="24" fillId="0" borderId="5" xfId="0" applyNumberFormat="1" applyFont="1" applyFill="1" applyBorder="1" applyAlignment="1">
      <alignment horizontal="right" vertical="center"/>
    </xf>
    <xf numFmtId="187" fontId="13" fillId="10" borderId="5" xfId="0" applyNumberFormat="1" applyFont="1" applyFill="1" applyBorder="1" applyAlignment="1">
      <alignment horizontal="center" vertical="center"/>
    </xf>
    <xf numFmtId="187" fontId="13" fillId="10" borderId="5" xfId="0" applyNumberFormat="1" applyFont="1" applyFill="1" applyBorder="1" applyAlignment="1">
      <alignment horizontal="right" vertical="center"/>
    </xf>
    <xf numFmtId="4" fontId="43" fillId="10" borderId="5" xfId="0" applyNumberFormat="1" applyFont="1" applyFill="1" applyBorder="1" applyAlignment="1">
      <alignment horizontal="right" vertical="center"/>
    </xf>
    <xf numFmtId="4" fontId="43" fillId="10" borderId="5" xfId="0" applyNumberFormat="1" applyFont="1" applyFill="1" applyBorder="1" applyAlignment="1">
      <alignment horizontal="right" vertical="center" wrapText="1"/>
    </xf>
    <xf numFmtId="4" fontId="43" fillId="10" borderId="5" xfId="1" applyNumberFormat="1" applyFont="1" applyFill="1" applyBorder="1" applyAlignment="1">
      <alignment horizontal="right" vertical="center"/>
    </xf>
    <xf numFmtId="4" fontId="44" fillId="10" borderId="5" xfId="0" applyNumberFormat="1" applyFont="1" applyFill="1" applyBorder="1" applyAlignment="1">
      <alignment horizontal="right" vertical="center"/>
    </xf>
    <xf numFmtId="4" fontId="56" fillId="10" borderId="5" xfId="1" applyNumberFormat="1" applyFont="1" applyFill="1" applyBorder="1" applyAlignment="1">
      <alignment horizontal="right" vertical="center"/>
    </xf>
    <xf numFmtId="4" fontId="44" fillId="10" borderId="5" xfId="0" applyNumberFormat="1" applyFont="1" applyFill="1" applyBorder="1" applyAlignment="1">
      <alignment horizontal="right" vertical="center" wrapText="1"/>
    </xf>
    <xf numFmtId="4" fontId="22" fillId="10" borderId="5" xfId="1" applyNumberFormat="1" applyFont="1" applyFill="1" applyBorder="1" applyAlignment="1">
      <alignment horizontal="right" vertical="center"/>
    </xf>
    <xf numFmtId="9" fontId="9" fillId="0" borderId="0" xfId="4" applyFont="1" applyFill="1"/>
    <xf numFmtId="0" fontId="9" fillId="0" borderId="0" xfId="0" applyFont="1" applyFill="1" applyAlignment="1">
      <alignment horizontal="right" indent="2"/>
    </xf>
    <xf numFmtId="0" fontId="9" fillId="0" borderId="0" xfId="0" applyFont="1" applyFill="1" applyAlignment="1">
      <alignment horizontal="right"/>
    </xf>
    <xf numFmtId="0" fontId="3" fillId="16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6" fillId="9" borderId="6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58" fillId="16" borderId="5" xfId="0" applyFont="1" applyFill="1" applyBorder="1" applyAlignment="1">
      <alignment horizontal="center" vertical="center"/>
    </xf>
    <xf numFmtId="193" fontId="28" fillId="8" borderId="5" xfId="0" applyNumberFormat="1" applyFont="1" applyFill="1" applyBorder="1" applyAlignment="1">
      <alignment horizontal="right" vertical="center"/>
    </xf>
    <xf numFmtId="193" fontId="28" fillId="0" borderId="5" xfId="0" applyNumberFormat="1" applyFont="1" applyFill="1" applyBorder="1" applyAlignment="1">
      <alignment horizontal="right" vertical="center"/>
    </xf>
    <xf numFmtId="0" fontId="59" fillId="0" borderId="15" xfId="0" applyFont="1" applyBorder="1" applyAlignment="1">
      <alignment horizontal="center" vertical="justify"/>
    </xf>
    <xf numFmtId="4" fontId="59" fillId="0" borderId="5" xfId="0" applyNumberFormat="1" applyFont="1" applyBorder="1" applyAlignment="1">
      <alignment vertical="justify"/>
    </xf>
    <xf numFmtId="190" fontId="59" fillId="0" borderId="5" xfId="1" applyNumberFormat="1" applyFont="1" applyBorder="1" applyAlignment="1">
      <alignment horizontal="center" vertical="justify"/>
    </xf>
    <xf numFmtId="191" fontId="59" fillId="0" borderId="5" xfId="1" applyNumberFormat="1" applyFont="1" applyBorder="1" applyAlignment="1">
      <alignment horizontal="center" vertical="justify"/>
    </xf>
    <xf numFmtId="194" fontId="59" fillId="0" borderId="5" xfId="1" applyNumberFormat="1" applyFont="1" applyBorder="1" applyAlignment="1">
      <alignment horizontal="right" vertical="center"/>
    </xf>
    <xf numFmtId="193" fontId="59" fillId="0" borderId="5" xfId="1" applyNumberFormat="1" applyFont="1" applyBorder="1" applyAlignment="1">
      <alignment horizontal="right" vertical="center"/>
    </xf>
    <xf numFmtId="193" fontId="59" fillId="9" borderId="5" xfId="1" applyNumberFormat="1" applyFont="1" applyFill="1" applyBorder="1" applyAlignment="1">
      <alignment horizontal="right" vertical="center"/>
    </xf>
    <xf numFmtId="193" fontId="60" fillId="9" borderId="5" xfId="1" applyNumberFormat="1" applyFont="1" applyFill="1" applyBorder="1" applyAlignment="1">
      <alignment horizontal="right" vertical="center"/>
    </xf>
    <xf numFmtId="193" fontId="61" fillId="8" borderId="5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190" fontId="3" fillId="0" borderId="3" xfId="1" applyNumberFormat="1" applyFont="1" applyBorder="1" applyAlignment="1">
      <alignment horizontal="center" vertical="justify"/>
    </xf>
    <xf numFmtId="191" fontId="3" fillId="0" borderId="3" xfId="1" applyNumberFormat="1" applyFont="1" applyBorder="1" applyAlignment="1">
      <alignment horizontal="center" vertical="justify"/>
    </xf>
    <xf numFmtId="194" fontId="3" fillId="0" borderId="3" xfId="1" applyNumberFormat="1" applyFont="1" applyBorder="1" applyAlignment="1">
      <alignment horizontal="right" vertical="center"/>
    </xf>
    <xf numFmtId="193" fontId="3" fillId="0" borderId="3" xfId="1" applyNumberFormat="1" applyFont="1" applyBorder="1" applyAlignment="1">
      <alignment horizontal="right" vertical="center"/>
    </xf>
    <xf numFmtId="193" fontId="57" fillId="9" borderId="3" xfId="1" applyNumberFormat="1" applyFont="1" applyFill="1" applyBorder="1" applyAlignment="1">
      <alignment horizontal="right" vertical="center"/>
    </xf>
    <xf numFmtId="193" fontId="57" fillId="0" borderId="3" xfId="1" applyNumberFormat="1" applyFont="1" applyBorder="1" applyAlignment="1">
      <alignment horizontal="right" vertical="center"/>
    </xf>
    <xf numFmtId="193" fontId="62" fillId="9" borderId="3" xfId="1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right"/>
    </xf>
    <xf numFmtId="0" fontId="8" fillId="7" borderId="0" xfId="0" applyFont="1" applyFill="1" applyBorder="1" applyAlignment="1"/>
    <xf numFmtId="193" fontId="8" fillId="0" borderId="0" xfId="1" applyNumberFormat="1" applyFont="1" applyBorder="1" applyAlignment="1">
      <alignment horizontal="right" vertical="center"/>
    </xf>
    <xf numFmtId="193" fontId="60" fillId="0" borderId="0" xfId="1" applyNumberFormat="1" applyFont="1" applyBorder="1" applyAlignment="1">
      <alignment horizontal="right" vertical="center"/>
    </xf>
    <xf numFmtId="0" fontId="45" fillId="0" borderId="0" xfId="0" applyFont="1"/>
    <xf numFmtId="0" fontId="16" fillId="0" borderId="0" xfId="0" applyFont="1" applyFill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 vertical="justify"/>
    </xf>
    <xf numFmtId="0" fontId="8" fillId="0" borderId="0" xfId="0" applyFont="1" applyAlignment="1">
      <alignment vertical="center"/>
    </xf>
    <xf numFmtId="0" fontId="24" fillId="4" borderId="0" xfId="0" applyFont="1" applyFill="1" applyBorder="1" applyAlignment="1"/>
    <xf numFmtId="4" fontId="22" fillId="10" borderId="5" xfId="0" applyNumberFormat="1" applyFont="1" applyFill="1" applyBorder="1" applyAlignment="1">
      <alignment horizontal="right" vertical="center" wrapText="1"/>
    </xf>
    <xf numFmtId="0" fontId="63" fillId="17" borderId="2" xfId="0" applyFont="1" applyFill="1" applyBorder="1" applyAlignment="1"/>
    <xf numFmtId="4" fontId="22" fillId="10" borderId="5" xfId="0" applyNumberFormat="1" applyFont="1" applyFill="1" applyBorder="1" applyAlignment="1">
      <alignment horizontal="right" vertical="center"/>
    </xf>
    <xf numFmtId="4" fontId="27" fillId="10" borderId="6" xfId="1" applyNumberFormat="1" applyFont="1" applyFill="1" applyBorder="1" applyAlignment="1">
      <alignment horizontal="right" vertical="center" wrapText="1"/>
    </xf>
    <xf numFmtId="4" fontId="27" fillId="10" borderId="5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right" vertical="center"/>
    </xf>
    <xf numFmtId="4" fontId="29" fillId="0" borderId="5" xfId="1" applyNumberFormat="1" applyFont="1" applyFill="1" applyBorder="1" applyAlignment="1">
      <alignment horizontal="right" vertical="center" wrapText="1"/>
    </xf>
    <xf numFmtId="4" fontId="64" fillId="18" borderId="5" xfId="0" applyNumberFormat="1" applyFont="1" applyFill="1" applyBorder="1" applyAlignment="1">
      <alignment horizontal="right" vertical="center" wrapText="1" shrinkToFit="1"/>
    </xf>
    <xf numFmtId="4" fontId="9" fillId="0" borderId="5" xfId="1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25" fillId="2" borderId="0" xfId="0" applyFont="1" applyFill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65" fillId="17" borderId="2" xfId="0" applyFont="1" applyFill="1" applyBorder="1" applyAlignment="1"/>
    <xf numFmtId="0" fontId="3" fillId="9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63" fillId="17" borderId="0" xfId="0" applyFont="1" applyFill="1" applyBorder="1" applyAlignment="1"/>
    <xf numFmtId="0" fontId="10" fillId="0" borderId="0" xfId="0" applyFont="1" applyAlignment="1">
      <alignment vertical="top"/>
    </xf>
    <xf numFmtId="0" fontId="10" fillId="4" borderId="0" xfId="0" applyFont="1" applyFill="1" applyAlignment="1">
      <alignment vertical="top"/>
    </xf>
    <xf numFmtId="0" fontId="60" fillId="2" borderId="0" xfId="0" applyFont="1" applyFill="1"/>
    <xf numFmtId="0" fontId="15" fillId="0" borderId="0" xfId="0" applyFont="1" applyFill="1" applyAlignment="1">
      <alignment horizontal="center" vertical="top" wrapText="1"/>
    </xf>
    <xf numFmtId="0" fontId="3" fillId="16" borderId="1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93" fontId="69" fillId="9" borderId="5" xfId="1" applyNumberFormat="1" applyFont="1" applyFill="1" applyBorder="1" applyAlignment="1">
      <alignment horizontal="right" vertical="center"/>
    </xf>
    <xf numFmtId="193" fontId="70" fillId="9" borderId="3" xfId="1" applyNumberFormat="1" applyFont="1" applyFill="1" applyBorder="1" applyAlignment="1">
      <alignment horizontal="right" vertical="center"/>
    </xf>
    <xf numFmtId="0" fontId="71" fillId="2" borderId="0" xfId="0" applyFont="1" applyFill="1" applyBorder="1" applyAlignment="1"/>
    <xf numFmtId="0" fontId="72" fillId="0" borderId="0" xfId="0" applyFont="1"/>
    <xf numFmtId="0" fontId="48" fillId="17" borderId="0" xfId="0" applyFont="1" applyFill="1" applyBorder="1" applyAlignment="1"/>
    <xf numFmtId="0" fontId="24" fillId="7" borderId="0" xfId="2" applyFont="1" applyFill="1" applyBorder="1" applyAlignment="1"/>
    <xf numFmtId="187" fontId="21" fillId="4" borderId="0" xfId="0" applyNumberFormat="1" applyFont="1" applyFill="1" applyBorder="1" applyAlignment="1">
      <alignment horizontal="right"/>
    </xf>
    <xf numFmtId="0" fontId="24" fillId="4" borderId="0" xfId="0" applyFont="1" applyFill="1" applyAlignment="1">
      <alignment horizontal="right"/>
    </xf>
    <xf numFmtId="0" fontId="58" fillId="8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73" fillId="8" borderId="0" xfId="1" applyNumberFormat="1" applyFont="1" applyFill="1" applyBorder="1" applyAlignment="1">
      <alignment horizontal="right" vertical="center"/>
    </xf>
    <xf numFmtId="4" fontId="74" fillId="8" borderId="0" xfId="1" applyNumberFormat="1" applyFont="1" applyFill="1" applyBorder="1" applyAlignment="1">
      <alignment horizontal="right" vertical="center"/>
    </xf>
    <xf numFmtId="0" fontId="3" fillId="9" borderId="9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vertical="center"/>
    </xf>
    <xf numFmtId="4" fontId="13" fillId="1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wrapText="1"/>
    </xf>
    <xf numFmtId="4" fontId="26" fillId="10" borderId="1" xfId="1" applyNumberFormat="1" applyFont="1" applyFill="1" applyBorder="1" applyAlignment="1">
      <alignment horizontal="right" vertical="center" wrapText="1"/>
    </xf>
    <xf numFmtId="0" fontId="27" fillId="9" borderId="15" xfId="0" applyFont="1" applyFill="1" applyBorder="1" applyAlignment="1">
      <alignment horizontal="center" wrapText="1"/>
    </xf>
    <xf numFmtId="4" fontId="26" fillId="10" borderId="15" xfId="1" applyNumberFormat="1" applyFont="1" applyFill="1" applyBorder="1" applyAlignment="1">
      <alignment horizontal="right" vertical="center" wrapText="1"/>
    </xf>
    <xf numFmtId="0" fontId="3" fillId="9" borderId="16" xfId="0" applyFont="1" applyFill="1" applyBorder="1" applyAlignment="1">
      <alignment horizontal="center" wrapText="1"/>
    </xf>
    <xf numFmtId="4" fontId="26" fillId="10" borderId="16" xfId="1" applyNumberFormat="1" applyFont="1" applyFill="1" applyBorder="1" applyAlignment="1">
      <alignment horizontal="right" vertical="center" wrapText="1"/>
    </xf>
    <xf numFmtId="4" fontId="26" fillId="10" borderId="9" xfId="1" applyNumberFormat="1" applyFont="1" applyFill="1" applyBorder="1" applyAlignment="1">
      <alignment horizontal="right" vertical="center" wrapText="1"/>
    </xf>
    <xf numFmtId="0" fontId="33" fillId="9" borderId="16" xfId="0" quotePrefix="1" applyFont="1" applyFill="1" applyBorder="1" applyAlignment="1">
      <alignment horizontal="center" vertical="center" wrapText="1"/>
    </xf>
    <xf numFmtId="4" fontId="24" fillId="0" borderId="9" xfId="1" applyNumberFormat="1" applyFont="1" applyFill="1" applyBorder="1" applyAlignment="1">
      <alignment horizontal="right" vertical="center"/>
    </xf>
    <xf numFmtId="4" fontId="22" fillId="10" borderId="9" xfId="1" applyNumberFormat="1" applyFont="1" applyFill="1" applyBorder="1" applyAlignment="1">
      <alignment horizontal="right" vertical="center"/>
    </xf>
    <xf numFmtId="0" fontId="20" fillId="9" borderId="15" xfId="0" applyFont="1" applyFill="1" applyBorder="1" applyAlignment="1">
      <alignment horizontal="center" vertical="center"/>
    </xf>
    <xf numFmtId="4" fontId="24" fillId="0" borderId="15" xfId="1" applyNumberFormat="1" applyFont="1" applyFill="1" applyBorder="1" applyAlignment="1">
      <alignment horizontal="right" vertical="center"/>
    </xf>
    <xf numFmtId="4" fontId="22" fillId="10" borderId="15" xfId="1" applyNumberFormat="1" applyFont="1" applyFill="1" applyBorder="1" applyAlignment="1">
      <alignment horizontal="right" vertical="center"/>
    </xf>
    <xf numFmtId="0" fontId="3" fillId="9" borderId="16" xfId="0" applyFont="1" applyFill="1" applyBorder="1" applyAlignment="1">
      <alignment horizontal="center" vertical="center"/>
    </xf>
    <xf numFmtId="4" fontId="75" fillId="18" borderId="16" xfId="0" applyNumberFormat="1" applyFont="1" applyFill="1" applyBorder="1" applyAlignment="1">
      <alignment horizontal="right" vertical="center" wrapText="1" shrinkToFit="1"/>
    </xf>
    <xf numFmtId="4" fontId="27" fillId="10" borderId="16" xfId="0" applyNumberFormat="1" applyFont="1" applyFill="1" applyBorder="1" applyAlignment="1">
      <alignment horizontal="right" vertical="center"/>
    </xf>
    <xf numFmtId="4" fontId="22" fillId="10" borderId="16" xfId="0" applyNumberFormat="1" applyFont="1" applyFill="1" applyBorder="1" applyAlignment="1">
      <alignment horizontal="right" vertical="center" wrapText="1"/>
    </xf>
    <xf numFmtId="4" fontId="27" fillId="10" borderId="9" xfId="1" applyNumberFormat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4" fontId="21" fillId="10" borderId="7" xfId="1" applyNumberFormat="1" applyFont="1" applyFill="1" applyBorder="1" applyAlignment="1">
      <alignment horizontal="right" vertical="center"/>
    </xf>
    <xf numFmtId="4" fontId="16" fillId="10" borderId="16" xfId="0" applyNumberFormat="1" applyFont="1" applyFill="1" applyBorder="1" applyAlignment="1">
      <alignment horizontal="right" vertical="center" wrapText="1"/>
    </xf>
    <xf numFmtId="0" fontId="33" fillId="0" borderId="17" xfId="0" applyFont="1" applyBorder="1" applyAlignment="1"/>
    <xf numFmtId="193" fontId="6" fillId="8" borderId="16" xfId="0" applyNumberFormat="1" applyFont="1" applyFill="1" applyBorder="1" applyAlignment="1">
      <alignment horizontal="right" vertical="center"/>
    </xf>
    <xf numFmtId="193" fontId="28" fillId="8" borderId="16" xfId="0" applyNumberFormat="1" applyFont="1" applyFill="1" applyBorder="1" applyAlignment="1">
      <alignment horizontal="right" vertical="center"/>
    </xf>
    <xf numFmtId="193" fontId="34" fillId="8" borderId="16" xfId="0" applyNumberFormat="1" applyFont="1" applyFill="1" applyBorder="1" applyAlignment="1">
      <alignment horizontal="right" vertical="center"/>
    </xf>
    <xf numFmtId="193" fontId="29" fillId="0" borderId="16" xfId="0" applyNumberFormat="1" applyFont="1" applyFill="1" applyBorder="1" applyAlignment="1">
      <alignment horizontal="right" vertical="center"/>
    </xf>
    <xf numFmtId="193" fontId="34" fillId="0" borderId="18" xfId="1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vertical="justify"/>
    </xf>
    <xf numFmtId="190" fontId="6" fillId="0" borderId="16" xfId="1" applyNumberFormat="1" applyFont="1" applyBorder="1" applyAlignment="1">
      <alignment horizontal="center" vertical="justify"/>
    </xf>
    <xf numFmtId="191" fontId="6" fillId="0" borderId="16" xfId="1" applyNumberFormat="1" applyFont="1" applyBorder="1" applyAlignment="1">
      <alignment horizontal="center" vertical="justify"/>
    </xf>
    <xf numFmtId="194" fontId="6" fillId="0" borderId="16" xfId="1" applyNumberFormat="1" applyFont="1" applyBorder="1" applyAlignment="1">
      <alignment horizontal="right" vertical="center"/>
    </xf>
    <xf numFmtId="193" fontId="6" fillId="0" borderId="16" xfId="1" applyNumberFormat="1" applyFont="1" applyBorder="1" applyAlignment="1">
      <alignment horizontal="right" vertical="center"/>
    </xf>
    <xf numFmtId="193" fontId="29" fillId="8" borderId="16" xfId="0" applyNumberFormat="1" applyFont="1" applyFill="1" applyBorder="1" applyAlignment="1">
      <alignment horizontal="right" vertical="center"/>
    </xf>
    <xf numFmtId="193" fontId="28" fillId="0" borderId="16" xfId="0" applyNumberFormat="1" applyFont="1" applyFill="1" applyBorder="1" applyAlignment="1">
      <alignment horizontal="right" vertical="center"/>
    </xf>
    <xf numFmtId="193" fontId="34" fillId="0" borderId="16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vertical="center"/>
    </xf>
    <xf numFmtId="190" fontId="6" fillId="0" borderId="20" xfId="1" applyNumberFormat="1" applyFont="1" applyBorder="1" applyAlignment="1">
      <alignment horizontal="center" vertical="center"/>
    </xf>
    <xf numFmtId="191" fontId="6" fillId="0" borderId="20" xfId="1" applyNumberFormat="1" applyFont="1" applyBorder="1" applyAlignment="1">
      <alignment horizontal="center" vertical="center"/>
    </xf>
    <xf numFmtId="194" fontId="6" fillId="0" borderId="20" xfId="1" applyNumberFormat="1" applyFont="1" applyBorder="1" applyAlignment="1">
      <alignment horizontal="right" vertical="center"/>
    </xf>
    <xf numFmtId="193" fontId="6" fillId="0" borderId="20" xfId="1" applyNumberFormat="1" applyFont="1" applyBorder="1" applyAlignment="1">
      <alignment horizontal="right" vertical="center"/>
    </xf>
    <xf numFmtId="193" fontId="6" fillId="8" borderId="20" xfId="0" applyNumberFormat="1" applyFont="1" applyFill="1" applyBorder="1" applyAlignment="1">
      <alignment horizontal="right" vertical="center"/>
    </xf>
    <xf numFmtId="193" fontId="28" fillId="8" borderId="20" xfId="0" applyNumberFormat="1" applyFont="1" applyFill="1" applyBorder="1" applyAlignment="1">
      <alignment horizontal="right" vertical="center"/>
    </xf>
    <xf numFmtId="193" fontId="34" fillId="8" borderId="20" xfId="0" applyNumberFormat="1" applyFont="1" applyFill="1" applyBorder="1" applyAlignment="1">
      <alignment horizontal="right" vertical="center"/>
    </xf>
    <xf numFmtId="193" fontId="29" fillId="8" borderId="20" xfId="0" applyNumberFormat="1" applyFont="1" applyFill="1" applyBorder="1" applyAlignment="1">
      <alignment horizontal="right" vertical="center"/>
    </xf>
    <xf numFmtId="193" fontId="47" fillId="8" borderId="20" xfId="0" applyNumberFormat="1" applyFont="1" applyFill="1" applyBorder="1" applyAlignment="1">
      <alignment horizontal="right" vertical="center"/>
    </xf>
    <xf numFmtId="193" fontId="29" fillId="0" borderId="20" xfId="0" applyNumberFormat="1" applyFont="1" applyFill="1" applyBorder="1" applyAlignment="1">
      <alignment horizontal="right" vertical="center"/>
    </xf>
    <xf numFmtId="4" fontId="6" fillId="0" borderId="22" xfId="0" applyNumberFormat="1" applyFont="1" applyBorder="1" applyAlignment="1">
      <alignment vertical="center"/>
    </xf>
    <xf numFmtId="190" fontId="6" fillId="0" borderId="22" xfId="1" applyNumberFormat="1" applyFont="1" applyBorder="1" applyAlignment="1">
      <alignment horizontal="center" vertical="center"/>
    </xf>
    <xf numFmtId="191" fontId="6" fillId="0" borderId="22" xfId="1" applyNumberFormat="1" applyFont="1" applyBorder="1" applyAlignment="1">
      <alignment horizontal="center" vertical="center"/>
    </xf>
    <xf numFmtId="194" fontId="6" fillId="0" borderId="22" xfId="1" applyNumberFormat="1" applyFont="1" applyBorder="1" applyAlignment="1">
      <alignment horizontal="right" vertical="center"/>
    </xf>
    <xf numFmtId="193" fontId="6" fillId="0" borderId="22" xfId="1" applyNumberFormat="1" applyFont="1" applyBorder="1" applyAlignment="1">
      <alignment horizontal="right" vertical="center"/>
    </xf>
    <xf numFmtId="193" fontId="6" fillId="8" borderId="22" xfId="0" applyNumberFormat="1" applyFont="1" applyFill="1" applyBorder="1" applyAlignment="1">
      <alignment horizontal="right" vertical="center"/>
    </xf>
    <xf numFmtId="193" fontId="28" fillId="8" borderId="22" xfId="0" applyNumberFormat="1" applyFont="1" applyFill="1" applyBorder="1" applyAlignment="1">
      <alignment horizontal="right" vertical="center"/>
    </xf>
    <xf numFmtId="193" fontId="34" fillId="8" borderId="22" xfId="0" applyNumberFormat="1" applyFont="1" applyFill="1" applyBorder="1" applyAlignment="1">
      <alignment horizontal="right" vertical="center"/>
    </xf>
    <xf numFmtId="193" fontId="29" fillId="8" borderId="22" xfId="0" applyNumberFormat="1" applyFont="1" applyFill="1" applyBorder="1" applyAlignment="1">
      <alignment horizontal="right" vertical="center"/>
    </xf>
    <xf numFmtId="193" fontId="47" fillId="8" borderId="22" xfId="0" applyNumberFormat="1" applyFont="1" applyFill="1" applyBorder="1" applyAlignment="1">
      <alignment horizontal="right" vertical="center"/>
    </xf>
    <xf numFmtId="193" fontId="29" fillId="0" borderId="22" xfId="0" applyNumberFormat="1" applyFont="1" applyFill="1" applyBorder="1" applyAlignment="1">
      <alignment horizontal="right" vertical="center"/>
    </xf>
    <xf numFmtId="193" fontId="47" fillId="8" borderId="16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justify"/>
    </xf>
    <xf numFmtId="193" fontId="28" fillId="0" borderId="18" xfId="1" applyNumberFormat="1" applyFont="1" applyBorder="1" applyAlignment="1">
      <alignment horizontal="right" vertical="center"/>
    </xf>
    <xf numFmtId="0" fontId="25" fillId="10" borderId="17" xfId="0" applyFont="1" applyFill="1" applyBorder="1" applyAlignment="1">
      <alignment horizontal="center" vertical="justify"/>
    </xf>
    <xf numFmtId="4" fontId="5" fillId="10" borderId="16" xfId="0" applyNumberFormat="1" applyFont="1" applyFill="1" applyBorder="1" applyAlignment="1">
      <alignment vertical="justify"/>
    </xf>
    <xf numFmtId="190" fontId="5" fillId="10" borderId="16" xfId="1" applyNumberFormat="1" applyFont="1" applyFill="1" applyBorder="1" applyAlignment="1">
      <alignment horizontal="center" vertical="justify"/>
    </xf>
    <xf numFmtId="191" fontId="5" fillId="10" borderId="16" xfId="1" applyNumberFormat="1" applyFont="1" applyFill="1" applyBorder="1" applyAlignment="1">
      <alignment horizontal="center" vertical="justify"/>
    </xf>
    <xf numFmtId="194" fontId="5" fillId="10" borderId="16" xfId="1" applyNumberFormat="1" applyFont="1" applyFill="1" applyBorder="1" applyAlignment="1">
      <alignment horizontal="right" vertical="center"/>
    </xf>
    <xf numFmtId="193" fontId="5" fillId="10" borderId="16" xfId="1" applyNumberFormat="1" applyFont="1" applyFill="1" applyBorder="1" applyAlignment="1">
      <alignment horizontal="right" vertical="center"/>
    </xf>
    <xf numFmtId="193" fontId="33" fillId="10" borderId="16" xfId="0" applyNumberFormat="1" applyFont="1" applyFill="1" applyBorder="1" applyAlignment="1">
      <alignment horizontal="right" vertical="center"/>
    </xf>
    <xf numFmtId="193" fontId="33" fillId="10" borderId="16" xfId="1" applyNumberFormat="1" applyFont="1" applyFill="1" applyBorder="1" applyAlignment="1">
      <alignment horizontal="right" vertical="center"/>
    </xf>
    <xf numFmtId="193" fontId="31" fillId="10" borderId="16" xfId="0" applyNumberFormat="1" applyFont="1" applyFill="1" applyBorder="1" applyAlignment="1">
      <alignment horizontal="right" vertical="center"/>
    </xf>
    <xf numFmtId="193" fontId="31" fillId="10" borderId="18" xfId="0" applyNumberFormat="1" applyFont="1" applyFill="1" applyBorder="1" applyAlignment="1">
      <alignment horizontal="right" vertical="center"/>
    </xf>
    <xf numFmtId="193" fontId="34" fillId="0" borderId="23" xfId="1" applyNumberFormat="1" applyFont="1" applyBorder="1" applyAlignment="1">
      <alignment horizontal="right" vertical="center"/>
    </xf>
    <xf numFmtId="193" fontId="29" fillId="0" borderId="24" xfId="0" applyNumberFormat="1" applyFont="1" applyFill="1" applyBorder="1" applyAlignment="1">
      <alignment horizontal="right" vertical="center"/>
    </xf>
    <xf numFmtId="193" fontId="29" fillId="0" borderId="17" xfId="0" applyNumberFormat="1" applyFont="1" applyFill="1" applyBorder="1" applyAlignment="1">
      <alignment horizontal="right" vertical="center"/>
    </xf>
    <xf numFmtId="193" fontId="28" fillId="0" borderId="23" xfId="1" applyNumberFormat="1" applyFont="1" applyBorder="1" applyAlignment="1">
      <alignment horizontal="right" vertical="center"/>
    </xf>
    <xf numFmtId="193" fontId="31" fillId="10" borderId="23" xfId="0" applyNumberFormat="1" applyFont="1" applyFill="1" applyBorder="1" applyAlignment="1">
      <alignment horizontal="right" vertical="center"/>
    </xf>
    <xf numFmtId="193" fontId="31" fillId="10" borderId="17" xfId="0" applyNumberFormat="1" applyFont="1" applyFill="1" applyBorder="1" applyAlignment="1">
      <alignment horizontal="right" vertical="center"/>
    </xf>
    <xf numFmtId="193" fontId="50" fillId="10" borderId="16" xfId="0" applyNumberFormat="1" applyFont="1" applyFill="1" applyBorder="1" applyAlignment="1">
      <alignment horizontal="right" vertical="center"/>
    </xf>
    <xf numFmtId="0" fontId="16" fillId="9" borderId="1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4" fontId="7" fillId="4" borderId="0" xfId="0" applyNumberFormat="1" applyFont="1" applyFill="1" applyAlignment="1">
      <alignment vertical="center"/>
    </xf>
    <xf numFmtId="0" fontId="7" fillId="4" borderId="5" xfId="0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87" fontId="7" fillId="4" borderId="5" xfId="0" applyNumberFormat="1" applyFont="1" applyFill="1" applyBorder="1" applyAlignment="1">
      <alignment horizontal="center" vertical="center"/>
    </xf>
    <xf numFmtId="187" fontId="7" fillId="0" borderId="5" xfId="0" applyNumberFormat="1" applyFont="1" applyBorder="1" applyAlignment="1">
      <alignment horizontal="right" vertical="center"/>
    </xf>
    <xf numFmtId="187" fontId="7" fillId="4" borderId="6" xfId="0" applyNumberFormat="1" applyFont="1" applyFill="1" applyBorder="1" applyAlignment="1">
      <alignment horizontal="right" vertical="center" wrapText="1"/>
    </xf>
    <xf numFmtId="187" fontId="7" fillId="4" borderId="5" xfId="0" applyNumberFormat="1" applyFont="1" applyFill="1" applyBorder="1" applyAlignment="1">
      <alignment horizontal="right" vertical="center"/>
    </xf>
    <xf numFmtId="188" fontId="7" fillId="0" borderId="5" xfId="0" applyNumberFormat="1" applyFont="1" applyBorder="1" applyAlignment="1">
      <alignment horizontal="right" vertical="center"/>
    </xf>
    <xf numFmtId="187" fontId="6" fillId="4" borderId="6" xfId="0" applyNumberFormat="1" applyFont="1" applyFill="1" applyBorder="1" applyAlignment="1">
      <alignment horizontal="right" vertical="center" wrapText="1"/>
    </xf>
    <xf numFmtId="4" fontId="47" fillId="0" borderId="9" xfId="1" applyNumberFormat="1" applyFont="1" applyFill="1" applyBorder="1" applyAlignment="1">
      <alignment horizontal="right" vertical="center" wrapText="1"/>
    </xf>
    <xf numFmtId="4" fontId="47" fillId="0" borderId="16" xfId="0" applyNumberFormat="1" applyFont="1" applyFill="1" applyBorder="1" applyAlignment="1">
      <alignment horizontal="right" vertical="center"/>
    </xf>
    <xf numFmtId="4" fontId="47" fillId="0" borderId="16" xfId="1" applyNumberFormat="1" applyFont="1" applyFill="1" applyBorder="1" applyAlignment="1">
      <alignment horizontal="right" vertical="center"/>
    </xf>
    <xf numFmtId="4" fontId="47" fillId="0" borderId="1" xfId="1" applyNumberFormat="1" applyFont="1" applyFill="1" applyBorder="1" applyAlignment="1">
      <alignment horizontal="right" vertical="center" wrapText="1"/>
    </xf>
    <xf numFmtId="0" fontId="27" fillId="4" borderId="4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/>
    </xf>
    <xf numFmtId="4" fontId="47" fillId="8" borderId="16" xfId="0" applyNumberFormat="1" applyFont="1" applyFill="1" applyBorder="1" applyAlignment="1">
      <alignment horizontal="right" vertical="center"/>
    </xf>
    <xf numFmtId="4" fontId="47" fillId="8" borderId="16" xfId="1" applyNumberFormat="1" applyFont="1" applyFill="1" applyBorder="1" applyAlignment="1">
      <alignment horizontal="right" vertical="center"/>
    </xf>
    <xf numFmtId="4" fontId="9" fillId="8" borderId="16" xfId="0" applyNumberFormat="1" applyFont="1" applyFill="1" applyBorder="1" applyAlignment="1">
      <alignment horizontal="right" vertical="center"/>
    </xf>
    <xf numFmtId="4" fontId="9" fillId="8" borderId="16" xfId="1" applyNumberFormat="1" applyFont="1" applyFill="1" applyBorder="1" applyAlignment="1">
      <alignment horizontal="right" vertical="center"/>
    </xf>
    <xf numFmtId="187" fontId="7" fillId="4" borderId="15" xfId="0" applyNumberFormat="1" applyFont="1" applyFill="1" applyBorder="1" applyAlignment="1">
      <alignment horizontal="center" vertical="center" wrapText="1"/>
    </xf>
    <xf numFmtId="195" fontId="7" fillId="0" borderId="5" xfId="0" applyNumberFormat="1" applyFont="1" applyBorder="1" applyAlignment="1">
      <alignment horizontal="right" vertical="center"/>
    </xf>
    <xf numFmtId="0" fontId="27" fillId="4" borderId="10" xfId="0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horizontal="center" vertical="center"/>
    </xf>
    <xf numFmtId="187" fontId="7" fillId="4" borderId="8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187" fontId="7" fillId="4" borderId="10" xfId="0" applyNumberFormat="1" applyFont="1" applyFill="1" applyBorder="1" applyAlignment="1">
      <alignment horizontal="center" vertical="center"/>
    </xf>
    <xf numFmtId="187" fontId="7" fillId="4" borderId="13" xfId="0" applyNumberFormat="1" applyFont="1" applyFill="1" applyBorder="1" applyAlignment="1">
      <alignment horizontal="center" vertical="center" wrapText="1"/>
    </xf>
    <xf numFmtId="187" fontId="7" fillId="0" borderId="10" xfId="0" applyNumberFormat="1" applyFont="1" applyBorder="1" applyAlignment="1">
      <alignment horizontal="right" vertical="center"/>
    </xf>
    <xf numFmtId="187" fontId="7" fillId="4" borderId="13" xfId="0" applyNumberFormat="1" applyFont="1" applyFill="1" applyBorder="1" applyAlignment="1">
      <alignment horizontal="right" vertical="center" wrapText="1"/>
    </xf>
    <xf numFmtId="187" fontId="7" fillId="4" borderId="10" xfId="0" applyNumberFormat="1" applyFont="1" applyFill="1" applyBorder="1" applyAlignment="1">
      <alignment horizontal="right" vertical="center"/>
    </xf>
    <xf numFmtId="188" fontId="7" fillId="0" borderId="10" xfId="0" applyNumberFormat="1" applyFont="1" applyBorder="1" applyAlignment="1">
      <alignment horizontal="right" vertical="center"/>
    </xf>
    <xf numFmtId="187" fontId="6" fillId="4" borderId="13" xfId="0" applyNumberFormat="1" applyFont="1" applyFill="1" applyBorder="1" applyAlignment="1">
      <alignment horizontal="right" vertical="center" wrapText="1"/>
    </xf>
    <xf numFmtId="4" fontId="47" fillId="8" borderId="20" xfId="0" applyNumberFormat="1" applyFont="1" applyFill="1" applyBorder="1" applyAlignment="1">
      <alignment horizontal="right" vertical="center"/>
    </xf>
    <xf numFmtId="4" fontId="47" fillId="8" borderId="20" xfId="1" applyNumberFormat="1" applyFont="1" applyFill="1" applyBorder="1" applyAlignment="1">
      <alignment horizontal="right" vertical="center"/>
    </xf>
    <xf numFmtId="0" fontId="16" fillId="10" borderId="5" xfId="0" applyFont="1" applyFill="1" applyBorder="1" applyAlignment="1">
      <alignment vertical="center"/>
    </xf>
    <xf numFmtId="4" fontId="3" fillId="10" borderId="5" xfId="0" applyNumberFormat="1" applyFont="1" applyFill="1" applyBorder="1" applyAlignment="1">
      <alignment horizontal="center" vertical="center"/>
    </xf>
    <xf numFmtId="4" fontId="3" fillId="10" borderId="5" xfId="0" applyNumberFormat="1" applyFont="1" applyFill="1" applyBorder="1" applyAlignment="1">
      <alignment horizontal="center" vertical="center" wrapText="1"/>
    </xf>
    <xf numFmtId="3" fontId="3" fillId="10" borderId="5" xfId="0" applyNumberFormat="1" applyFont="1" applyFill="1" applyBorder="1" applyAlignment="1">
      <alignment horizontal="center" vertical="center" wrapText="1"/>
    </xf>
    <xf numFmtId="3" fontId="3" fillId="10" borderId="5" xfId="0" applyNumberFormat="1" applyFont="1" applyFill="1" applyBorder="1" applyAlignment="1">
      <alignment horizontal="center" vertical="center"/>
    </xf>
    <xf numFmtId="187" fontId="3" fillId="10" borderId="5" xfId="0" applyNumberFormat="1" applyFont="1" applyFill="1" applyBorder="1" applyAlignment="1">
      <alignment horizontal="center" vertical="center"/>
    </xf>
    <xf numFmtId="187" fontId="3" fillId="10" borderId="5" xfId="0" applyNumberFormat="1" applyFont="1" applyFill="1" applyBorder="1" applyAlignment="1">
      <alignment horizontal="center" vertical="center" wrapText="1"/>
    </xf>
    <xf numFmtId="187" fontId="3" fillId="10" borderId="5" xfId="0" applyNumberFormat="1" applyFont="1" applyFill="1" applyBorder="1" applyAlignment="1">
      <alignment horizontal="right" vertical="center"/>
    </xf>
    <xf numFmtId="187" fontId="3" fillId="10" borderId="5" xfId="0" applyNumberFormat="1" applyFont="1" applyFill="1" applyBorder="1" applyAlignment="1">
      <alignment horizontal="right" vertical="center" wrapText="1"/>
    </xf>
    <xf numFmtId="187" fontId="5" fillId="10" borderId="5" xfId="0" applyNumberFormat="1" applyFont="1" applyFill="1" applyBorder="1" applyAlignment="1">
      <alignment horizontal="right" vertical="center" wrapText="1"/>
    </xf>
    <xf numFmtId="187" fontId="5" fillId="10" borderId="5" xfId="0" applyNumberFormat="1" applyFont="1" applyFill="1" applyBorder="1" applyAlignment="1">
      <alignment horizontal="right" vertical="center"/>
    </xf>
    <xf numFmtId="0" fontId="4" fillId="11" borderId="11" xfId="0" applyFont="1" applyFill="1" applyBorder="1" applyAlignment="1"/>
    <xf numFmtId="0" fontId="4" fillId="11" borderId="2" xfId="0" applyFont="1" applyFill="1" applyBorder="1" applyAlignment="1"/>
    <xf numFmtId="0" fontId="16" fillId="11" borderId="2" xfId="0" applyFont="1" applyFill="1" applyBorder="1" applyAlignment="1"/>
    <xf numFmtId="0" fontId="0" fillId="12" borderId="2" xfId="0" applyFill="1" applyBorder="1" applyAlignment="1"/>
    <xf numFmtId="0" fontId="21" fillId="11" borderId="2" xfId="0" applyFont="1" applyFill="1" applyBorder="1" applyAlignment="1">
      <alignment horizontal="center"/>
    </xf>
    <xf numFmtId="193" fontId="26" fillId="10" borderId="16" xfId="0" applyNumberFormat="1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center" vertical="justify"/>
    </xf>
    <xf numFmtId="0" fontId="46" fillId="0" borderId="19" xfId="0" applyFont="1" applyBorder="1" applyAlignment="1">
      <alignment vertical="center"/>
    </xf>
    <xf numFmtId="0" fontId="46" fillId="0" borderId="21" xfId="0" applyFont="1" applyBorder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right"/>
    </xf>
    <xf numFmtId="4" fontId="24" fillId="8" borderId="0" xfId="1" applyNumberFormat="1" applyFont="1" applyFill="1" applyBorder="1" applyAlignment="1">
      <alignment horizontal="right" vertical="center"/>
    </xf>
    <xf numFmtId="4" fontId="16" fillId="10" borderId="16" xfId="1" applyNumberFormat="1" applyFont="1" applyFill="1" applyBorder="1" applyAlignment="1">
      <alignment horizontal="right" vertical="center" wrapText="1"/>
    </xf>
    <xf numFmtId="193" fontId="28" fillId="0" borderId="20" xfId="0" applyNumberFormat="1" applyFont="1" applyFill="1" applyBorder="1" applyAlignment="1">
      <alignment horizontal="right" vertical="center"/>
    </xf>
    <xf numFmtId="193" fontId="28" fillId="0" borderId="22" xfId="0" applyNumberFormat="1" applyFont="1" applyFill="1" applyBorder="1" applyAlignment="1">
      <alignment horizontal="right" vertical="center"/>
    </xf>
    <xf numFmtId="193" fontId="34" fillId="0" borderId="25" xfId="1" applyNumberFormat="1" applyFont="1" applyBorder="1" applyAlignment="1">
      <alignment horizontal="right" vertical="center"/>
    </xf>
    <xf numFmtId="193" fontId="34" fillId="0" borderId="26" xfId="1" applyNumberFormat="1" applyFont="1" applyBorder="1" applyAlignment="1">
      <alignment horizontal="right" vertical="center"/>
    </xf>
    <xf numFmtId="4" fontId="25" fillId="10" borderId="16" xfId="0" applyNumberFormat="1" applyFont="1" applyFill="1" applyBorder="1" applyAlignment="1">
      <alignment horizontal="right" vertical="center" wrapText="1"/>
    </xf>
    <xf numFmtId="0" fontId="33" fillId="19" borderId="17" xfId="0" applyFont="1" applyFill="1" applyBorder="1" applyAlignment="1">
      <alignment horizontal="center" vertical="center"/>
    </xf>
    <xf numFmtId="4" fontId="6" fillId="19" borderId="16" xfId="0" applyNumberFormat="1" applyFont="1" applyFill="1" applyBorder="1" applyAlignment="1">
      <alignment vertical="center"/>
    </xf>
    <xf numFmtId="190" fontId="6" fillId="19" borderId="16" xfId="1" applyNumberFormat="1" applyFont="1" applyFill="1" applyBorder="1" applyAlignment="1">
      <alignment horizontal="center" vertical="center"/>
    </xf>
    <xf numFmtId="191" fontId="6" fillId="19" borderId="16" xfId="1" applyNumberFormat="1" applyFont="1" applyFill="1" applyBorder="1" applyAlignment="1">
      <alignment horizontal="center" vertical="center"/>
    </xf>
    <xf numFmtId="194" fontId="6" fillId="19" borderId="16" xfId="1" applyNumberFormat="1" applyFont="1" applyFill="1" applyBorder="1" applyAlignment="1">
      <alignment horizontal="right" vertical="center"/>
    </xf>
    <xf numFmtId="193" fontId="6" fillId="19" borderId="16" xfId="1" applyNumberFormat="1" applyFont="1" applyFill="1" applyBorder="1" applyAlignment="1">
      <alignment horizontal="right" vertical="center"/>
    </xf>
    <xf numFmtId="193" fontId="6" fillId="19" borderId="16" xfId="0" applyNumberFormat="1" applyFont="1" applyFill="1" applyBorder="1" applyAlignment="1">
      <alignment horizontal="right" vertical="center"/>
    </xf>
    <xf numFmtId="193" fontId="28" fillId="19" borderId="16" xfId="0" applyNumberFormat="1" applyFont="1" applyFill="1" applyBorder="1" applyAlignment="1">
      <alignment horizontal="right" vertical="center"/>
    </xf>
    <xf numFmtId="193" fontId="34" fillId="19" borderId="16" xfId="0" applyNumberFormat="1" applyFont="1" applyFill="1" applyBorder="1" applyAlignment="1">
      <alignment horizontal="right" vertical="center"/>
    </xf>
    <xf numFmtId="193" fontId="29" fillId="19" borderId="16" xfId="0" applyNumberFormat="1" applyFont="1" applyFill="1" applyBorder="1" applyAlignment="1">
      <alignment horizontal="right" vertical="center"/>
    </xf>
    <xf numFmtId="193" fontId="47" fillId="19" borderId="16" xfId="0" applyNumberFormat="1" applyFont="1" applyFill="1" applyBorder="1" applyAlignment="1">
      <alignment horizontal="right" vertical="center"/>
    </xf>
    <xf numFmtId="193" fontId="34" fillId="19" borderId="23" xfId="1" applyNumberFormat="1" applyFont="1" applyFill="1" applyBorder="1" applyAlignment="1">
      <alignment horizontal="right" vertical="center"/>
    </xf>
    <xf numFmtId="193" fontId="31" fillId="19" borderId="17" xfId="0" applyNumberFormat="1" applyFont="1" applyFill="1" applyBorder="1" applyAlignment="1">
      <alignment horizontal="right" vertical="center"/>
    </xf>
    <xf numFmtId="193" fontId="31" fillId="19" borderId="16" xfId="0" applyNumberFormat="1" applyFont="1" applyFill="1" applyBorder="1" applyAlignment="1">
      <alignment horizontal="right" vertical="center"/>
    </xf>
    <xf numFmtId="193" fontId="31" fillId="19" borderId="1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8" fillId="0" borderId="0" xfId="4" applyFont="1" applyAlignment="1">
      <alignment horizontal="left" vertical="center"/>
    </xf>
    <xf numFmtId="0" fontId="48" fillId="17" borderId="0" xfId="0" applyFont="1" applyFill="1" applyBorder="1" applyAlignment="1">
      <alignment vertical="center"/>
    </xf>
    <xf numFmtId="0" fontId="24" fillId="7" borderId="0" xfId="2" applyFont="1" applyFill="1" applyBorder="1" applyAlignment="1">
      <alignment vertical="center"/>
    </xf>
    <xf numFmtId="187" fontId="21" fillId="4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4" fillId="4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top" wrapText="1"/>
    </xf>
    <xf numFmtId="4" fontId="26" fillId="10" borderId="7" xfId="1" applyNumberFormat="1" applyFont="1" applyFill="1" applyBorder="1" applyAlignment="1">
      <alignment horizontal="right" vertical="center" wrapText="1"/>
    </xf>
    <xf numFmtId="4" fontId="31" fillId="10" borderId="16" xfId="1" applyNumberFormat="1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/>
    </xf>
    <xf numFmtId="193" fontId="50" fillId="10" borderId="24" xfId="0" applyNumberFormat="1" applyFont="1" applyFill="1" applyBorder="1" applyAlignment="1">
      <alignment horizontal="right" vertical="center"/>
    </xf>
    <xf numFmtId="193" fontId="50" fillId="10" borderId="23" xfId="0" applyNumberFormat="1" applyFont="1" applyFill="1" applyBorder="1" applyAlignment="1">
      <alignment horizontal="right" vertical="center"/>
    </xf>
    <xf numFmtId="193" fontId="78" fillId="9" borderId="5" xfId="1" applyNumberFormat="1" applyFont="1" applyFill="1" applyBorder="1" applyAlignment="1">
      <alignment horizontal="right" vertical="center"/>
    </xf>
    <xf numFmtId="193" fontId="79" fillId="9" borderId="5" xfId="1" applyNumberFormat="1" applyFont="1" applyFill="1" applyBorder="1" applyAlignment="1">
      <alignment horizontal="right" vertical="center"/>
    </xf>
    <xf numFmtId="193" fontId="46" fillId="9" borderId="5" xfId="1" applyNumberFormat="1" applyFont="1" applyFill="1" applyBorder="1" applyAlignment="1">
      <alignment horizontal="right" vertical="center"/>
    </xf>
    <xf numFmtId="193" fontId="80" fillId="9" borderId="3" xfId="1" applyNumberFormat="1" applyFont="1" applyFill="1" applyBorder="1" applyAlignment="1">
      <alignment horizontal="right" vertical="center"/>
    </xf>
    <xf numFmtId="193" fontId="81" fillId="9" borderId="3" xfId="1" applyNumberFormat="1" applyFont="1" applyFill="1" applyBorder="1" applyAlignment="1">
      <alignment horizontal="right" vertical="center"/>
    </xf>
    <xf numFmtId="193" fontId="42" fillId="9" borderId="3" xfId="1" applyNumberFormat="1" applyFont="1" applyFill="1" applyBorder="1" applyAlignment="1">
      <alignment horizontal="right" vertical="center"/>
    </xf>
    <xf numFmtId="0" fontId="77" fillId="2" borderId="0" xfId="0" applyFont="1" applyFill="1" applyBorder="1" applyAlignment="1"/>
    <xf numFmtId="0" fontId="82" fillId="2" borderId="0" xfId="0" applyFont="1" applyFill="1" applyBorder="1" applyAlignment="1"/>
    <xf numFmtId="193" fontId="50" fillId="19" borderId="16" xfId="0" applyNumberFormat="1" applyFont="1" applyFill="1" applyBorder="1" applyAlignment="1">
      <alignment horizontal="right" vertical="center"/>
    </xf>
    <xf numFmtId="193" fontId="50" fillId="19" borderId="24" xfId="0" applyNumberFormat="1" applyFont="1" applyFill="1" applyBorder="1" applyAlignment="1">
      <alignment horizontal="right" vertical="center"/>
    </xf>
    <xf numFmtId="193" fontId="50" fillId="19" borderId="23" xfId="0" applyNumberFormat="1" applyFont="1" applyFill="1" applyBorder="1" applyAlignment="1">
      <alignment horizontal="right" vertical="center"/>
    </xf>
    <xf numFmtId="4" fontId="8" fillId="8" borderId="16" xfId="1" applyNumberFormat="1" applyFont="1" applyFill="1" applyBorder="1" applyAlignment="1">
      <alignment horizontal="right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4" fontId="83" fillId="18" borderId="30" xfId="0" applyNumberFormat="1" applyFont="1" applyFill="1" applyBorder="1" applyAlignment="1">
      <alignment horizontal="right" vertical="center" wrapText="1" shrinkToFit="1"/>
    </xf>
    <xf numFmtId="4" fontId="8" fillId="8" borderId="16" xfId="0" applyNumberFormat="1" applyFont="1" applyFill="1" applyBorder="1" applyAlignment="1">
      <alignment horizontal="right" vertical="center"/>
    </xf>
    <xf numFmtId="4" fontId="8" fillId="8" borderId="16" xfId="1" applyNumberFormat="1" applyFont="1" applyFill="1" applyBorder="1" applyAlignment="1">
      <alignment horizontal="right" vertical="center" wrapText="1"/>
    </xf>
    <xf numFmtId="4" fontId="47" fillId="8" borderId="1" xfId="1" applyNumberFormat="1" applyFont="1" applyFill="1" applyBorder="1" applyAlignment="1">
      <alignment horizontal="right" vertical="center" wrapText="1"/>
    </xf>
    <xf numFmtId="4" fontId="47" fillId="0" borderId="7" xfId="0" applyNumberFormat="1" applyFont="1" applyFill="1" applyBorder="1" applyAlignment="1">
      <alignment horizontal="right" vertical="center"/>
    </xf>
    <xf numFmtId="4" fontId="8" fillId="0" borderId="16" xfId="1" applyNumberFormat="1" applyFont="1" applyFill="1" applyBorder="1" applyAlignment="1">
      <alignment horizontal="right" vertical="center" wrapText="1"/>
    </xf>
    <xf numFmtId="4" fontId="85" fillId="18" borderId="16" xfId="0" applyNumberFormat="1" applyFont="1" applyFill="1" applyBorder="1" applyAlignment="1">
      <alignment horizontal="right" vertical="center" wrapText="1" shrinkToFit="1"/>
    </xf>
    <xf numFmtId="4" fontId="8" fillId="8" borderId="18" xfId="1" applyNumberFormat="1" applyFont="1" applyFill="1" applyBorder="1" applyAlignment="1">
      <alignment horizontal="right" vertical="center" wrapText="1"/>
    </xf>
    <xf numFmtId="4" fontId="8" fillId="0" borderId="18" xfId="1" applyNumberFormat="1" applyFont="1" applyFill="1" applyBorder="1" applyAlignment="1">
      <alignment horizontal="right" vertical="center" wrapText="1"/>
    </xf>
    <xf numFmtId="4" fontId="8" fillId="8" borderId="18" xfId="0" applyNumberFormat="1" applyFont="1" applyFill="1" applyBorder="1" applyAlignment="1">
      <alignment horizontal="right" vertical="center"/>
    </xf>
    <xf numFmtId="0" fontId="27" fillId="9" borderId="7" xfId="0" applyFont="1" applyFill="1" applyBorder="1" applyAlignment="1">
      <alignment horizontal="center" wrapText="1"/>
    </xf>
    <xf numFmtId="4" fontId="8" fillId="0" borderId="23" xfId="1" applyNumberFormat="1" applyFont="1" applyFill="1" applyBorder="1" applyAlignment="1">
      <alignment horizontal="right" vertical="center" wrapText="1"/>
    </xf>
    <xf numFmtId="4" fontId="8" fillId="0" borderId="17" xfId="1" applyNumberFormat="1" applyFont="1" applyFill="1" applyBorder="1" applyAlignment="1">
      <alignment horizontal="right" vertical="center" wrapText="1"/>
    </xf>
    <xf numFmtId="4" fontId="8" fillId="0" borderId="17" xfId="1" applyNumberFormat="1" applyFont="1" applyFill="1" applyBorder="1" applyAlignment="1">
      <alignment horizontal="right" vertical="center"/>
    </xf>
    <xf numFmtId="4" fontId="8" fillId="0" borderId="23" xfId="1" applyNumberFormat="1" applyFont="1" applyFill="1" applyBorder="1" applyAlignment="1">
      <alignment horizontal="right" vertical="center"/>
    </xf>
    <xf numFmtId="193" fontId="28" fillId="0" borderId="17" xfId="0" applyNumberFormat="1" applyFont="1" applyFill="1" applyBorder="1" applyAlignment="1">
      <alignment horizontal="right" vertical="center"/>
    </xf>
    <xf numFmtId="193" fontId="30" fillId="19" borderId="17" xfId="0" applyNumberFormat="1" applyFont="1" applyFill="1" applyBorder="1" applyAlignment="1">
      <alignment horizontal="right" vertical="center"/>
    </xf>
    <xf numFmtId="193" fontId="30" fillId="19" borderId="16" xfId="0" applyNumberFormat="1" applyFont="1" applyFill="1" applyBorder="1" applyAlignment="1">
      <alignment horizontal="right" vertical="center"/>
    </xf>
    <xf numFmtId="193" fontId="30" fillId="19" borderId="18" xfId="0" applyNumberFormat="1" applyFont="1" applyFill="1" applyBorder="1" applyAlignment="1">
      <alignment horizontal="right" vertical="center"/>
    </xf>
    <xf numFmtId="4" fontId="84" fillId="18" borderId="16" xfId="0" applyNumberFormat="1" applyFont="1" applyFill="1" applyBorder="1" applyAlignment="1">
      <alignment horizontal="right" vertical="center" wrapText="1" shrinkToFit="1"/>
    </xf>
    <xf numFmtId="193" fontId="30" fillId="19" borderId="23" xfId="0" applyNumberFormat="1" applyFont="1" applyFill="1" applyBorder="1" applyAlignment="1">
      <alignment horizontal="right" vertical="center"/>
    </xf>
    <xf numFmtId="193" fontId="28" fillId="0" borderId="17" xfId="1" applyNumberFormat="1" applyFont="1" applyBorder="1" applyAlignment="1">
      <alignment horizontal="right" vertical="center"/>
    </xf>
    <xf numFmtId="0" fontId="25" fillId="11" borderId="4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71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3" fillId="4" borderId="0" xfId="0" applyFont="1" applyFill="1" applyBorder="1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/>
    <xf numFmtId="0" fontId="5" fillId="10" borderId="9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192" fontId="4" fillId="3" borderId="3" xfId="0" applyNumberFormat="1" applyFont="1" applyFill="1" applyBorder="1"/>
    <xf numFmtId="192" fontId="2" fillId="3" borderId="3" xfId="0" applyNumberFormat="1" applyFont="1" applyFill="1" applyBorder="1" applyAlignment="1">
      <alignment horizontal="center"/>
    </xf>
    <xf numFmtId="192" fontId="2" fillId="3" borderId="3" xfId="1" applyNumberFormat="1" applyFont="1" applyFill="1" applyBorder="1" applyAlignment="1">
      <alignment horizontal="center"/>
    </xf>
    <xf numFmtId="192" fontId="2" fillId="3" borderId="3" xfId="1" applyNumberFormat="1" applyFont="1" applyFill="1" applyBorder="1" applyAlignment="1">
      <alignment horizontal="center" vertical="center"/>
    </xf>
    <xf numFmtId="192" fontId="2" fillId="3" borderId="3" xfId="1" applyNumberFormat="1" applyFont="1" applyFill="1" applyBorder="1" applyAlignment="1">
      <alignment horizontal="right" vertical="center"/>
    </xf>
    <xf numFmtId="192" fontId="2" fillId="3" borderId="12" xfId="1" applyNumberFormat="1" applyFont="1" applyFill="1" applyBorder="1" applyAlignment="1">
      <alignment horizontal="right" vertical="center"/>
    </xf>
    <xf numFmtId="192" fontId="2" fillId="14" borderId="12" xfId="1" applyNumberFormat="1" applyFont="1" applyFill="1" applyBorder="1" applyAlignment="1">
      <alignment horizontal="right" vertical="center"/>
    </xf>
    <xf numFmtId="192" fontId="2" fillId="14" borderId="3" xfId="1" applyNumberFormat="1" applyFont="1" applyFill="1" applyBorder="1" applyAlignment="1">
      <alignment horizontal="right" vertical="center"/>
    </xf>
    <xf numFmtId="192" fontId="6" fillId="14" borderId="3" xfId="1" applyNumberFormat="1" applyFont="1" applyFill="1" applyBorder="1" applyAlignment="1">
      <alignment horizontal="right" vertical="center"/>
    </xf>
    <xf numFmtId="192" fontId="6" fillId="14" borderId="28" xfId="1" applyNumberFormat="1" applyFont="1" applyFill="1" applyBorder="1" applyAlignment="1">
      <alignment horizontal="right" vertical="center"/>
    </xf>
    <xf numFmtId="192" fontId="7" fillId="3" borderId="3" xfId="0" applyNumberFormat="1" applyFont="1" applyFill="1" applyBorder="1" applyAlignment="1">
      <alignment horizontal="right" vertical="center"/>
    </xf>
    <xf numFmtId="192" fontId="11" fillId="3" borderId="3" xfId="0" applyNumberFormat="1" applyFont="1" applyFill="1" applyBorder="1" applyAlignment="1">
      <alignment horizontal="right" vertical="center"/>
    </xf>
    <xf numFmtId="192" fontId="13" fillId="3" borderId="3" xfId="0" applyNumberFormat="1" applyFont="1" applyFill="1" applyBorder="1" applyAlignment="1">
      <alignment horizontal="right" vertical="center"/>
    </xf>
    <xf numFmtId="192" fontId="4" fillId="3" borderId="3" xfId="0" applyNumberFormat="1" applyFont="1" applyFill="1" applyBorder="1" applyAlignment="1">
      <alignment horizontal="left" indent="1"/>
    </xf>
    <xf numFmtId="192" fontId="2" fillId="0" borderId="3" xfId="1" applyNumberFormat="1" applyFont="1" applyFill="1" applyBorder="1" applyAlignment="1">
      <alignment horizontal="center"/>
    </xf>
    <xf numFmtId="192" fontId="2" fillId="0" borderId="12" xfId="1" applyNumberFormat="1" applyFont="1" applyFill="1" applyBorder="1" applyAlignment="1">
      <alignment horizontal="center" vertical="center"/>
    </xf>
    <xf numFmtId="192" fontId="2" fillId="5" borderId="3" xfId="1" applyNumberFormat="1" applyFont="1" applyFill="1" applyBorder="1" applyAlignment="1">
      <alignment horizontal="center" vertical="center"/>
    </xf>
    <xf numFmtId="192" fontId="2" fillId="5" borderId="13" xfId="1" applyNumberFormat="1" applyFont="1" applyFill="1" applyBorder="1" applyAlignment="1">
      <alignment horizontal="center" vertical="center"/>
    </xf>
    <xf numFmtId="192" fontId="2" fillId="5" borderId="12" xfId="1" applyNumberFormat="1" applyFont="1" applyFill="1" applyBorder="1" applyAlignment="1">
      <alignment horizontal="right" vertical="center"/>
    </xf>
    <xf numFmtId="192" fontId="10" fillId="4" borderId="12" xfId="1" applyNumberFormat="1" applyFont="1" applyFill="1" applyBorder="1" applyAlignment="1">
      <alignment horizontal="right" vertical="center"/>
    </xf>
    <xf numFmtId="192" fontId="10" fillId="5" borderId="3" xfId="1" applyNumberFormat="1" applyFont="1" applyFill="1" applyBorder="1" applyAlignment="1">
      <alignment horizontal="right" vertical="center"/>
    </xf>
    <xf numFmtId="192" fontId="2" fillId="15" borderId="12" xfId="1" applyNumberFormat="1" applyFont="1" applyFill="1" applyBorder="1" applyAlignment="1">
      <alignment horizontal="right" vertical="center"/>
    </xf>
    <xf numFmtId="192" fontId="2" fillId="15" borderId="3" xfId="1" applyNumberFormat="1" applyFont="1" applyFill="1" applyBorder="1" applyAlignment="1">
      <alignment horizontal="right" vertical="center"/>
    </xf>
    <xf numFmtId="192" fontId="2" fillId="0" borderId="3" xfId="1" applyNumberFormat="1" applyFont="1" applyFill="1" applyBorder="1" applyAlignment="1">
      <alignment horizontal="right" vertical="center"/>
    </xf>
    <xf numFmtId="192" fontId="7" fillId="3" borderId="28" xfId="0" applyNumberFormat="1" applyFont="1" applyFill="1" applyBorder="1" applyAlignment="1">
      <alignment horizontal="right" vertical="center"/>
    </xf>
    <xf numFmtId="192" fontId="67" fillId="3" borderId="3" xfId="0" applyNumberFormat="1" applyFont="1" applyFill="1" applyBorder="1" applyAlignment="1">
      <alignment horizontal="right" vertical="center"/>
    </xf>
    <xf numFmtId="192" fontId="66" fillId="3" borderId="3" xfId="0" applyNumberFormat="1" applyFont="1" applyFill="1" applyBorder="1" applyAlignment="1">
      <alignment horizontal="right" vertical="center"/>
    </xf>
    <xf numFmtId="192" fontId="4" fillId="3" borderId="4" xfId="0" applyNumberFormat="1" applyFont="1" applyFill="1" applyBorder="1" applyAlignment="1">
      <alignment horizontal="left" indent="1"/>
    </xf>
    <xf numFmtId="192" fontId="2" fillId="3" borderId="4" xfId="0" applyNumberFormat="1" applyFont="1" applyFill="1" applyBorder="1" applyAlignment="1">
      <alignment horizontal="center"/>
    </xf>
    <xf numFmtId="192" fontId="2" fillId="3" borderId="4" xfId="1" applyNumberFormat="1" applyFont="1" applyFill="1" applyBorder="1" applyAlignment="1">
      <alignment horizontal="center"/>
    </xf>
    <xf numFmtId="192" fontId="2" fillId="3" borderId="4" xfId="1" applyNumberFormat="1" applyFont="1" applyFill="1" applyBorder="1" applyAlignment="1">
      <alignment horizontal="center" vertical="center"/>
    </xf>
    <xf numFmtId="192" fontId="2" fillId="3" borderId="4" xfId="1" applyNumberFormat="1" applyFont="1" applyFill="1" applyBorder="1" applyAlignment="1">
      <alignment horizontal="right" vertical="center"/>
    </xf>
    <xf numFmtId="192" fontId="2" fillId="3" borderId="14" xfId="1" applyNumberFormat="1" applyFont="1" applyFill="1" applyBorder="1" applyAlignment="1">
      <alignment horizontal="right" vertical="center"/>
    </xf>
    <xf numFmtId="192" fontId="2" fillId="14" borderId="4" xfId="1" applyNumberFormat="1" applyFont="1" applyFill="1" applyBorder="1" applyAlignment="1">
      <alignment horizontal="right" vertical="center"/>
    </xf>
    <xf numFmtId="192" fontId="6" fillId="14" borderId="4" xfId="1" applyNumberFormat="1" applyFont="1" applyFill="1" applyBorder="1" applyAlignment="1">
      <alignment horizontal="right" vertical="center"/>
    </xf>
    <xf numFmtId="192" fontId="6" fillId="14" borderId="29" xfId="1" applyNumberFormat="1" applyFont="1" applyFill="1" applyBorder="1" applyAlignment="1">
      <alignment horizontal="right" vertical="center"/>
    </xf>
    <xf numFmtId="192" fontId="3" fillId="3" borderId="3" xfId="0" applyNumberFormat="1" applyFont="1" applyFill="1" applyBorder="1" applyAlignment="1">
      <alignment horizontal="right" vertical="center"/>
    </xf>
    <xf numFmtId="192" fontId="2" fillId="14" borderId="13" xfId="1" applyNumberFormat="1" applyFont="1" applyFill="1" applyBorder="1" applyAlignment="1">
      <alignment horizontal="right" vertical="center"/>
    </xf>
    <xf numFmtId="192" fontId="6" fillId="14" borderId="13" xfId="1" applyNumberFormat="1" applyFont="1" applyFill="1" applyBorder="1" applyAlignment="1">
      <alignment horizontal="right" vertical="center"/>
    </xf>
    <xf numFmtId="192" fontId="11" fillId="0" borderId="3" xfId="1" applyNumberFormat="1" applyFont="1" applyFill="1" applyBorder="1" applyAlignment="1">
      <alignment horizontal="right" vertical="center"/>
    </xf>
    <xf numFmtId="192" fontId="13" fillId="0" borderId="3" xfId="1" applyNumberFormat="1" applyFont="1" applyFill="1" applyBorder="1" applyAlignment="1">
      <alignment horizontal="right" vertical="center"/>
    </xf>
    <xf numFmtId="192" fontId="2" fillId="5" borderId="3" xfId="0" applyNumberFormat="1" applyFont="1" applyFill="1" applyBorder="1" applyAlignment="1">
      <alignment horizontal="center"/>
    </xf>
    <xf numFmtId="192" fontId="2" fillId="5" borderId="0" xfId="1" applyNumberFormat="1" applyFont="1" applyFill="1" applyBorder="1" applyAlignment="1">
      <alignment horizontal="center"/>
    </xf>
    <xf numFmtId="192" fontId="2" fillId="5" borderId="0" xfId="1" applyNumberFormat="1" applyFont="1" applyFill="1" applyBorder="1" applyAlignment="1">
      <alignment horizontal="center" vertical="center"/>
    </xf>
    <xf numFmtId="192" fontId="2" fillId="5" borderId="3" xfId="1" applyNumberFormat="1" applyFont="1" applyFill="1" applyBorder="1" applyAlignment="1">
      <alignment horizontal="right" vertical="center"/>
    </xf>
    <xf numFmtId="192" fontId="38" fillId="6" borderId="3" xfId="1" applyNumberFormat="1" applyFont="1" applyFill="1" applyBorder="1" applyAlignment="1">
      <alignment horizontal="right" vertical="center"/>
    </xf>
    <xf numFmtId="192" fontId="38" fillId="14" borderId="13" xfId="1" applyNumberFormat="1" applyFont="1" applyFill="1" applyBorder="1" applyAlignment="1">
      <alignment horizontal="right" vertical="center"/>
    </xf>
    <xf numFmtId="192" fontId="38" fillId="0" borderId="13" xfId="1" applyNumberFormat="1" applyFont="1" applyFill="1" applyBorder="1" applyAlignment="1">
      <alignment horizontal="right" vertical="center"/>
    </xf>
    <xf numFmtId="192" fontId="6" fillId="8" borderId="12" xfId="0" applyNumberFormat="1" applyFont="1" applyFill="1" applyBorder="1" applyAlignment="1">
      <alignment horizontal="right" vertical="center"/>
    </xf>
    <xf numFmtId="192" fontId="6" fillId="8" borderId="12" xfId="0" applyNumberFormat="1" applyFont="1" applyFill="1" applyBorder="1" applyAlignment="1">
      <alignment vertical="center"/>
    </xf>
    <xf numFmtId="192" fontId="2" fillId="14" borderId="6" xfId="1" applyNumberFormat="1" applyFont="1" applyFill="1" applyBorder="1" applyAlignment="1">
      <alignment horizontal="right" vertical="center"/>
    </xf>
    <xf numFmtId="192" fontId="6" fillId="14" borderId="6" xfId="1" applyNumberFormat="1" applyFont="1" applyFill="1" applyBorder="1" applyAlignment="1">
      <alignment horizontal="right" vertical="center"/>
    </xf>
    <xf numFmtId="192" fontId="57" fillId="3" borderId="4" xfId="0" applyNumberFormat="1" applyFont="1" applyFill="1" applyBorder="1" applyAlignment="1">
      <alignment horizontal="right" vertical="center"/>
    </xf>
    <xf numFmtId="192" fontId="3" fillId="3" borderId="4" xfId="0" applyNumberFormat="1" applyFont="1" applyFill="1" applyBorder="1" applyAlignment="1">
      <alignment horizontal="right" vertical="center"/>
    </xf>
    <xf numFmtId="192" fontId="11" fillId="3" borderId="4" xfId="0" applyNumberFormat="1" applyFont="1" applyFill="1" applyBorder="1" applyAlignment="1">
      <alignment horizontal="right" vertical="center"/>
    </xf>
    <xf numFmtId="192" fontId="13" fillId="3" borderId="4" xfId="0" applyNumberFormat="1" applyFont="1" applyFill="1" applyBorder="1" applyAlignment="1">
      <alignment horizontal="right" vertical="center"/>
    </xf>
    <xf numFmtId="193" fontId="28" fillId="0" borderId="16" xfId="0" applyNumberFormat="1" applyFont="1" applyFill="1" applyBorder="1" applyAlignment="1">
      <alignment horizontal="right" vertical="center"/>
    </xf>
    <xf numFmtId="193" fontId="28" fillId="0" borderId="23" xfId="1" applyNumberFormat="1" applyFont="1" applyBorder="1" applyAlignment="1">
      <alignment horizontal="right" vertical="center"/>
    </xf>
    <xf numFmtId="4" fontId="26" fillId="10" borderId="9" xfId="1" applyNumberFormat="1" applyFont="1" applyFill="1" applyBorder="1" applyAlignment="1">
      <alignment horizontal="right" vertical="center"/>
    </xf>
    <xf numFmtId="4" fontId="8" fillId="8" borderId="17" xfId="1" applyNumberFormat="1" applyFont="1" applyFill="1" applyBorder="1" applyAlignment="1">
      <alignment horizontal="right" vertical="center" wrapText="1"/>
    </xf>
    <xf numFmtId="4" fontId="25" fillId="10" borderId="16" xfId="0" applyNumberFormat="1" applyFont="1" applyFill="1" applyBorder="1" applyAlignment="1">
      <alignment horizontal="right" vertical="center"/>
    </xf>
    <xf numFmtId="4" fontId="8" fillId="18" borderId="16" xfId="0" applyNumberFormat="1" applyFont="1" applyFill="1" applyBorder="1" applyAlignment="1">
      <alignment horizontal="right" vertical="center" wrapText="1" shrinkToFit="1"/>
    </xf>
    <xf numFmtId="193" fontId="28" fillId="0" borderId="16" xfId="1" applyNumberFormat="1" applyFont="1" applyBorder="1" applyAlignment="1">
      <alignment horizontal="right" vertical="center"/>
    </xf>
    <xf numFmtId="193" fontId="46" fillId="10" borderId="16" xfId="0" applyNumberFormat="1" applyFont="1" applyFill="1" applyBorder="1" applyAlignment="1">
      <alignment horizontal="right" vertical="center"/>
    </xf>
    <xf numFmtId="193" fontId="31" fillId="19" borderId="24" xfId="0" applyNumberFormat="1" applyFont="1" applyFill="1" applyBorder="1" applyAlignment="1">
      <alignment horizontal="right" vertical="center"/>
    </xf>
    <xf numFmtId="193" fontId="28" fillId="0" borderId="24" xfId="0" applyNumberFormat="1" applyFont="1" applyFill="1" applyBorder="1" applyAlignment="1">
      <alignment horizontal="right" vertical="center"/>
    </xf>
    <xf numFmtId="193" fontId="31" fillId="10" borderId="24" xfId="0" applyNumberFormat="1" applyFont="1" applyFill="1" applyBorder="1" applyAlignment="1">
      <alignment horizontal="right" vertical="center"/>
    </xf>
    <xf numFmtId="4" fontId="28" fillId="18" borderId="16" xfId="0" applyNumberFormat="1" applyFont="1" applyFill="1" applyBorder="1" applyAlignment="1">
      <alignment horizontal="right" vertical="center" wrapText="1" shrinkToFit="1"/>
    </xf>
    <xf numFmtId="4" fontId="83" fillId="18" borderId="31" xfId="0" applyNumberFormat="1" applyFont="1" applyFill="1" applyBorder="1" applyAlignment="1">
      <alignment horizontal="right" vertical="center" wrapText="1" shrinkToFit="1"/>
    </xf>
    <xf numFmtId="193" fontId="28" fillId="0" borderId="15" xfId="0" applyNumberFormat="1" applyFont="1" applyFill="1" applyBorder="1" applyAlignment="1">
      <alignment horizontal="right" vertical="center"/>
    </xf>
    <xf numFmtId="193" fontId="31" fillId="19" borderId="1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justify"/>
    </xf>
    <xf numFmtId="0" fontId="6" fillId="10" borderId="5" xfId="0" applyFont="1" applyFill="1" applyBorder="1" applyAlignment="1">
      <alignment horizontal="center" vertical="justify"/>
    </xf>
    <xf numFmtId="4" fontId="5" fillId="0" borderId="5" xfId="1" applyNumberFormat="1" applyFont="1" applyBorder="1" applyAlignment="1">
      <alignment horizontal="right" vertical="center"/>
    </xf>
    <xf numFmtId="0" fontId="87" fillId="17" borderId="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187" fontId="38" fillId="0" borderId="9" xfId="0" applyNumberFormat="1" applyFont="1" applyBorder="1" applyAlignment="1">
      <alignment horizontal="right" vertical="center"/>
    </xf>
    <xf numFmtId="187" fontId="24" fillId="0" borderId="0" xfId="0" applyNumberFormat="1" applyFont="1" applyBorder="1" applyAlignment="1">
      <alignment vertical="center"/>
    </xf>
    <xf numFmtId="187" fontId="35" fillId="0" borderId="0" xfId="0" applyNumberFormat="1" applyFont="1" applyBorder="1" applyAlignment="1">
      <alignment vertical="center"/>
    </xf>
    <xf numFmtId="187" fontId="38" fillId="0" borderId="0" xfId="0" applyNumberFormat="1" applyFont="1" applyBorder="1" applyAlignment="1">
      <alignment horizontal="right" vertical="center"/>
    </xf>
    <xf numFmtId="187" fontId="9" fillId="0" borderId="0" xfId="0" applyNumberFormat="1" applyFont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68" fillId="0" borderId="0" xfId="0" applyFont="1" applyFill="1" applyAlignment="1">
      <alignment horizontal="right" vertical="center"/>
    </xf>
    <xf numFmtId="0" fontId="68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4" fontId="68" fillId="0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8" fillId="4" borderId="0" xfId="0" applyFont="1" applyFill="1" applyAlignment="1">
      <alignment vertical="center"/>
    </xf>
    <xf numFmtId="4" fontId="76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192" fontId="9" fillId="4" borderId="0" xfId="0" applyNumberFormat="1" applyFont="1" applyFill="1" applyAlignment="1">
      <alignment vertical="center"/>
    </xf>
    <xf numFmtId="0" fontId="7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71" fillId="2" borderId="0" xfId="0" applyFont="1" applyFill="1" applyBorder="1" applyAlignment="1">
      <alignment vertical="center"/>
    </xf>
    <xf numFmtId="0" fontId="77" fillId="2" borderId="0" xfId="0" applyFont="1" applyFill="1" applyBorder="1" applyAlignment="1">
      <alignment vertical="center"/>
    </xf>
    <xf numFmtId="0" fontId="82" fillId="2" borderId="0" xfId="0" applyFont="1" applyFill="1" applyBorder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54" fillId="2" borderId="0" xfId="0" applyFont="1" applyFill="1" applyAlignment="1">
      <alignment horizontal="right" vertical="center"/>
    </xf>
    <xf numFmtId="193" fontId="28" fillId="0" borderId="23" xfId="1" applyNumberFormat="1" applyFont="1" applyBorder="1" applyAlignment="1">
      <alignment horizontal="right" vertical="center"/>
    </xf>
    <xf numFmtId="4" fontId="25" fillId="10" borderId="23" xfId="1" applyNumberFormat="1" applyFont="1" applyFill="1" applyBorder="1" applyAlignment="1">
      <alignment horizontal="right" vertical="center"/>
    </xf>
    <xf numFmtId="193" fontId="46" fillId="10" borderId="23" xfId="0" applyNumberFormat="1" applyFont="1" applyFill="1" applyBorder="1" applyAlignment="1">
      <alignment horizontal="right" vertical="center"/>
    </xf>
    <xf numFmtId="0" fontId="3" fillId="9" borderId="5" xfId="0" applyFont="1" applyFill="1" applyBorder="1" applyAlignment="1">
      <alignment horizontal="center" vertical="center"/>
    </xf>
    <xf numFmtId="49" fontId="83" fillId="18" borderId="30" xfId="0" applyNumberFormat="1" applyFont="1" applyFill="1" applyBorder="1" applyAlignment="1">
      <alignment horizontal="left" vertical="center" wrapText="1" shrinkToFit="1"/>
    </xf>
    <xf numFmtId="22" fontId="83" fillId="18" borderId="30" xfId="0" applyNumberFormat="1" applyFont="1" applyFill="1" applyBorder="1" applyAlignment="1">
      <alignment horizontal="left" vertical="center" wrapText="1" shrinkToFit="1"/>
    </xf>
    <xf numFmtId="49" fontId="90" fillId="22" borderId="30" xfId="0" applyNumberFormat="1" applyFont="1" applyFill="1" applyBorder="1" applyAlignment="1">
      <alignment horizontal="right" vertical="center" wrapText="1" shrinkToFit="1"/>
    </xf>
    <xf numFmtId="0" fontId="3" fillId="9" borderId="17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92" fillId="0" borderId="0" xfId="0" applyFont="1"/>
    <xf numFmtId="0" fontId="6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27" fillId="10" borderId="16" xfId="1" applyNumberFormat="1" applyFont="1" applyFill="1" applyBorder="1" applyAlignment="1">
      <alignment horizontal="right" vertical="center" wrapText="1"/>
    </xf>
    <xf numFmtId="4" fontId="27" fillId="10" borderId="16" xfId="1" applyNumberFormat="1" applyFont="1" applyFill="1" applyBorder="1" applyAlignment="1">
      <alignment horizontal="right" vertical="center"/>
    </xf>
    <xf numFmtId="4" fontId="27" fillId="10" borderId="15" xfId="1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47" fillId="4" borderId="0" xfId="0" applyFont="1" applyFill="1" applyAlignment="1">
      <alignment vertical="center"/>
    </xf>
    <xf numFmtId="0" fontId="47" fillId="0" borderId="0" xfId="0" applyFont="1"/>
    <xf numFmtId="0" fontId="94" fillId="0" borderId="0" xfId="0" applyFont="1" applyAlignment="1">
      <alignment vertical="center"/>
    </xf>
    <xf numFmtId="0" fontId="94" fillId="4" borderId="0" xfId="0" applyFont="1" applyFill="1" applyAlignment="1">
      <alignment vertical="center"/>
    </xf>
    <xf numFmtId="0" fontId="94" fillId="0" borderId="0" xfId="0" applyFont="1"/>
    <xf numFmtId="193" fontId="28" fillId="0" borderId="23" xfId="1" applyNumberFormat="1" applyFont="1" applyBorder="1" applyAlignment="1">
      <alignment horizontal="right" vertical="center"/>
    </xf>
    <xf numFmtId="193" fontId="28" fillId="0" borderId="17" xfId="0" applyNumberFormat="1" applyFont="1" applyFill="1" applyBorder="1" applyAlignment="1">
      <alignment horizontal="right" vertical="center"/>
    </xf>
    <xf numFmtId="4" fontId="28" fillId="18" borderId="16" xfId="0" applyNumberFormat="1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right" vertical="center"/>
    </xf>
    <xf numFmtId="192" fontId="28" fillId="0" borderId="0" xfId="0" applyNumberFormat="1" applyFont="1" applyAlignment="1">
      <alignment horizontal="right" vertical="center"/>
    </xf>
    <xf numFmtId="192" fontId="28" fillId="0" borderId="0" xfId="0" applyNumberFormat="1" applyFont="1"/>
    <xf numFmtId="192" fontId="30" fillId="0" borderId="0" xfId="0" applyNumberFormat="1" applyFont="1" applyAlignment="1">
      <alignment horizontal="right" vertical="center"/>
    </xf>
    <xf numFmtId="192" fontId="30" fillId="9" borderId="1" xfId="0" applyNumberFormat="1" applyFont="1" applyFill="1" applyBorder="1" applyAlignment="1">
      <alignment horizontal="center" vertical="center" wrapText="1"/>
    </xf>
    <xf numFmtId="192" fontId="30" fillId="9" borderId="16" xfId="0" applyNumberFormat="1" applyFont="1" applyFill="1" applyBorder="1" applyAlignment="1">
      <alignment horizontal="center" vertical="center" wrapText="1"/>
    </xf>
    <xf numFmtId="192" fontId="33" fillId="9" borderId="16" xfId="0" quotePrefix="1" applyNumberFormat="1" applyFont="1" applyFill="1" applyBorder="1" applyAlignment="1">
      <alignment horizontal="center" vertical="center" wrapText="1"/>
    </xf>
    <xf numFmtId="192" fontId="30" fillId="9" borderId="6" xfId="0" applyNumberFormat="1" applyFont="1" applyFill="1" applyBorder="1" applyAlignment="1">
      <alignment horizontal="center" vertical="center" wrapText="1"/>
    </xf>
    <xf numFmtId="192" fontId="28" fillId="3" borderId="0" xfId="0" applyNumberFormat="1" applyFont="1" applyFill="1" applyAlignment="1">
      <alignment horizontal="right"/>
    </xf>
    <xf numFmtId="192" fontId="28" fillId="2" borderId="0" xfId="0" applyNumberFormat="1" applyFont="1" applyFill="1" applyAlignment="1">
      <alignment horizontal="right" vertical="center"/>
    </xf>
    <xf numFmtId="4" fontId="25" fillId="10" borderId="9" xfId="1" applyNumberFormat="1" applyFont="1" applyFill="1" applyBorder="1" applyAlignment="1">
      <alignment horizontal="right" vertical="center"/>
    </xf>
    <xf numFmtId="49" fontId="5" fillId="10" borderId="5" xfId="0" applyNumberFormat="1" applyFont="1" applyFill="1" applyBorder="1" applyAlignment="1">
      <alignment horizontal="left" vertical="center" wrapText="1" shrinkToFit="1"/>
    </xf>
    <xf numFmtId="4" fontId="5" fillId="10" borderId="5" xfId="1" applyNumberFormat="1" applyFont="1" applyFill="1" applyBorder="1" applyAlignment="1">
      <alignment horizontal="right" vertical="center"/>
    </xf>
    <xf numFmtId="192" fontId="28" fillId="0" borderId="17" xfId="0" applyNumberFormat="1" applyFont="1" applyFill="1" applyBorder="1" applyAlignment="1">
      <alignment horizontal="right" vertical="center"/>
    </xf>
    <xf numFmtId="192" fontId="8" fillId="0" borderId="16" xfId="1" applyNumberFormat="1" applyFont="1" applyBorder="1" applyAlignment="1">
      <alignment horizontal="right" vertical="center"/>
    </xf>
    <xf numFmtId="192" fontId="28" fillId="0" borderId="18" xfId="1" applyNumberFormat="1" applyFont="1" applyBorder="1" applyAlignment="1">
      <alignment horizontal="right" vertical="center"/>
    </xf>
    <xf numFmtId="192" fontId="8" fillId="0" borderId="17" xfId="0" applyNumberFormat="1" applyFont="1" applyFill="1" applyBorder="1" applyAlignment="1">
      <alignment horizontal="right" vertical="center"/>
    </xf>
    <xf numFmtId="192" fontId="8" fillId="8" borderId="16" xfId="0" applyNumberFormat="1" applyFont="1" applyFill="1" applyBorder="1" applyAlignment="1">
      <alignment horizontal="right" vertical="center"/>
    </xf>
    <xf numFmtId="192" fontId="8" fillId="0" borderId="18" xfId="1" applyNumberFormat="1" applyFont="1" applyBorder="1" applyAlignment="1">
      <alignment horizontal="right" vertical="center"/>
    </xf>
    <xf numFmtId="192" fontId="30" fillId="19" borderId="17" xfId="0" applyNumberFormat="1" applyFont="1" applyFill="1" applyBorder="1" applyAlignment="1">
      <alignment horizontal="right" vertical="center"/>
    </xf>
    <xf numFmtId="192" fontId="30" fillId="19" borderId="16" xfId="0" applyNumberFormat="1" applyFont="1" applyFill="1" applyBorder="1" applyAlignment="1">
      <alignment horizontal="right" vertical="center"/>
    </xf>
    <xf numFmtId="192" fontId="25" fillId="19" borderId="16" xfId="0" applyNumberFormat="1" applyFont="1" applyFill="1" applyBorder="1" applyAlignment="1">
      <alignment horizontal="right" vertical="center"/>
    </xf>
    <xf numFmtId="192" fontId="30" fillId="19" borderId="18" xfId="0" applyNumberFormat="1" applyFont="1" applyFill="1" applyBorder="1" applyAlignment="1">
      <alignment horizontal="right" vertical="center"/>
    </xf>
    <xf numFmtId="192" fontId="8" fillId="0" borderId="16" xfId="1" applyNumberFormat="1" applyFont="1" applyBorder="1" applyAlignment="1">
      <alignment horizontal="right" vertical="center"/>
    </xf>
    <xf numFmtId="192" fontId="8" fillId="0" borderId="16" xfId="0" applyNumberFormat="1" applyFont="1" applyFill="1" applyBorder="1" applyAlignment="1">
      <alignment horizontal="right" vertical="center"/>
    </xf>
    <xf numFmtId="192" fontId="95" fillId="0" borderId="16" xfId="1" applyNumberFormat="1" applyFont="1" applyBorder="1" applyAlignment="1">
      <alignment horizontal="right" vertical="center"/>
    </xf>
    <xf numFmtId="192" fontId="77" fillId="0" borderId="16" xfId="1" applyNumberFormat="1" applyFont="1" applyBorder="1" applyAlignment="1">
      <alignment horizontal="right" vertical="center"/>
    </xf>
    <xf numFmtId="192" fontId="33" fillId="19" borderId="17" xfId="0" applyNumberFormat="1" applyFont="1" applyFill="1" applyBorder="1" applyAlignment="1">
      <alignment horizontal="right" vertical="center"/>
    </xf>
    <xf numFmtId="192" fontId="33" fillId="19" borderId="16" xfId="0" applyNumberFormat="1" applyFont="1" applyFill="1" applyBorder="1" applyAlignment="1">
      <alignment horizontal="right" vertical="center"/>
    </xf>
    <xf numFmtId="192" fontId="28" fillId="0" borderId="16" xfId="1" applyNumberFormat="1" applyFont="1" applyBorder="1" applyAlignment="1">
      <alignment horizontal="right" vertical="center"/>
    </xf>
    <xf numFmtId="192" fontId="25" fillId="19" borderId="17" xfId="0" applyNumberFormat="1" applyFont="1" applyFill="1" applyBorder="1" applyAlignment="1">
      <alignment horizontal="right" vertical="center"/>
    </xf>
    <xf numFmtId="192" fontId="30" fillId="19" borderId="16" xfId="1" applyNumberFormat="1" applyFont="1" applyFill="1" applyBorder="1" applyAlignment="1">
      <alignment horizontal="right" vertical="center"/>
    </xf>
    <xf numFmtId="192" fontId="25" fillId="19" borderId="18" xfId="0" applyNumberFormat="1" applyFont="1" applyFill="1" applyBorder="1" applyAlignment="1">
      <alignment horizontal="right" vertical="center"/>
    </xf>
    <xf numFmtId="192" fontId="30" fillId="9" borderId="5" xfId="1" applyNumberFormat="1" applyFont="1" applyFill="1" applyBorder="1" applyAlignment="1">
      <alignment horizontal="right" vertical="center"/>
    </xf>
    <xf numFmtId="192" fontId="30" fillId="0" borderId="5" xfId="1" applyNumberFormat="1" applyFont="1" applyFill="1" applyBorder="1" applyAlignment="1">
      <alignment horizontal="right" vertical="center"/>
    </xf>
    <xf numFmtId="192" fontId="28" fillId="0" borderId="5" xfId="1" applyNumberFormat="1" applyFont="1" applyBorder="1" applyAlignment="1">
      <alignment horizontal="right" vertical="center"/>
    </xf>
    <xf numFmtId="192" fontId="30" fillId="9" borderId="3" xfId="1" applyNumberFormat="1" applyFont="1" applyFill="1" applyBorder="1" applyAlignment="1">
      <alignment horizontal="right" vertical="center"/>
    </xf>
    <xf numFmtId="192" fontId="30" fillId="0" borderId="3" xfId="1" applyNumberFormat="1" applyFont="1" applyFill="1" applyBorder="1" applyAlignment="1">
      <alignment horizontal="right" vertical="center"/>
    </xf>
    <xf numFmtId="192" fontId="30" fillId="9" borderId="4" xfId="1" applyNumberFormat="1" applyFont="1" applyFill="1" applyBorder="1" applyAlignment="1">
      <alignment horizontal="right" vertical="center"/>
    </xf>
    <xf numFmtId="192" fontId="30" fillId="0" borderId="4" xfId="1" applyNumberFormat="1" applyFont="1" applyBorder="1" applyAlignment="1">
      <alignment horizontal="right" vertical="center"/>
    </xf>
    <xf numFmtId="192" fontId="28" fillId="2" borderId="0" xfId="0" applyNumberFormat="1" applyFont="1" applyFill="1" applyBorder="1" applyAlignment="1"/>
    <xf numFmtId="192" fontId="28" fillId="2" borderId="0" xfId="0" applyNumberFormat="1" applyFont="1" applyFill="1" applyBorder="1" applyAlignment="1">
      <alignment vertical="center"/>
    </xf>
    <xf numFmtId="192" fontId="28" fillId="0" borderId="0" xfId="0" applyNumberFormat="1" applyFont="1" applyAlignment="1">
      <alignment vertical="center"/>
    </xf>
    <xf numFmtId="192" fontId="46" fillId="10" borderId="18" xfId="0" applyNumberFormat="1" applyFont="1" applyFill="1" applyBorder="1" applyAlignment="1">
      <alignment horizontal="right" vertical="center"/>
    </xf>
    <xf numFmtId="192" fontId="46" fillId="10" borderId="17" xfId="0" applyNumberFormat="1" applyFont="1" applyFill="1" applyBorder="1" applyAlignment="1">
      <alignment horizontal="right" vertical="center"/>
    </xf>
    <xf numFmtId="192" fontId="46" fillId="10" borderId="16" xfId="0" applyNumberFormat="1" applyFont="1" applyFill="1" applyBorder="1" applyAlignment="1">
      <alignment horizontal="right" vertical="center"/>
    </xf>
    <xf numFmtId="192" fontId="46" fillId="10" borderId="16" xfId="0" applyNumberFormat="1" applyFont="1" applyFill="1" applyBorder="1" applyAlignment="1">
      <alignment horizontal="right"/>
    </xf>
    <xf numFmtId="0" fontId="91" fillId="21" borderId="30" xfId="0" applyNumberFormat="1" applyFont="1" applyFill="1" applyBorder="1" applyAlignment="1">
      <alignment horizontal="center" vertical="center" wrapText="1" shrinkToFit="1"/>
    </xf>
    <xf numFmtId="49" fontId="90" fillId="22" borderId="30" xfId="0" applyNumberFormat="1" applyFont="1" applyFill="1" applyBorder="1" applyAlignment="1">
      <alignment horizontal="left" vertical="center" wrapText="1" shrinkToFit="1"/>
    </xf>
    <xf numFmtId="4" fontId="8" fillId="0" borderId="18" xfId="1" applyNumberFormat="1" applyFont="1" applyFill="1" applyBorder="1" applyAlignment="1">
      <alignment horizontal="right" vertical="center"/>
    </xf>
    <xf numFmtId="193" fontId="96" fillId="19" borderId="15" xfId="0" applyNumberFormat="1" applyFont="1" applyFill="1" applyBorder="1" applyAlignment="1">
      <alignment horizontal="right" vertical="center"/>
    </xf>
    <xf numFmtId="192" fontId="33" fillId="10" borderId="16" xfId="0" applyNumberFormat="1" applyFont="1" applyFill="1" applyBorder="1" applyAlignment="1">
      <alignment horizontal="right"/>
    </xf>
    <xf numFmtId="192" fontId="59" fillId="14" borderId="12" xfId="1" applyNumberFormat="1" applyFont="1" applyFill="1" applyBorder="1" applyAlignment="1">
      <alignment horizontal="right" vertical="center"/>
    </xf>
    <xf numFmtId="192" fontId="59" fillId="14" borderId="27" xfId="1" applyNumberFormat="1" applyFont="1" applyFill="1" applyBorder="1" applyAlignment="1">
      <alignment horizontal="right" vertical="center"/>
    </xf>
    <xf numFmtId="192" fontId="57" fillId="3" borderId="12" xfId="0" applyNumberFormat="1" applyFont="1" applyFill="1" applyBorder="1" applyAlignment="1">
      <alignment horizontal="right" vertical="center"/>
    </xf>
    <xf numFmtId="192" fontId="57" fillId="3" borderId="28" xfId="0" applyNumberFormat="1" applyFont="1" applyFill="1" applyBorder="1" applyAlignment="1">
      <alignment horizontal="right" vertical="center"/>
    </xf>
    <xf numFmtId="192" fontId="59" fillId="14" borderId="14" xfId="1" applyNumberFormat="1" applyFont="1" applyFill="1" applyBorder="1" applyAlignment="1">
      <alignment horizontal="right" vertical="center"/>
    </xf>
    <xf numFmtId="192" fontId="59" fillId="14" borderId="29" xfId="1" applyNumberFormat="1" applyFont="1" applyFill="1" applyBorder="1" applyAlignment="1">
      <alignment horizontal="right" vertical="center"/>
    </xf>
    <xf numFmtId="192" fontId="59" fillId="14" borderId="0" xfId="1" applyNumberFormat="1" applyFont="1" applyFill="1" applyBorder="1" applyAlignment="1">
      <alignment horizontal="right" vertical="center"/>
    </xf>
    <xf numFmtId="192" fontId="59" fillId="8" borderId="12" xfId="0" applyNumberFormat="1" applyFont="1" applyFill="1" applyBorder="1" applyAlignment="1">
      <alignment vertical="center"/>
    </xf>
    <xf numFmtId="192" fontId="59" fillId="8" borderId="28" xfId="0" applyNumberFormat="1" applyFont="1" applyFill="1" applyBorder="1" applyAlignment="1">
      <alignment vertical="center"/>
    </xf>
    <xf numFmtId="192" fontId="59" fillId="14" borderId="1" xfId="1" applyNumberFormat="1" applyFont="1" applyFill="1" applyBorder="1" applyAlignment="1">
      <alignment horizontal="right" vertical="center"/>
    </xf>
    <xf numFmtId="4" fontId="8" fillId="24" borderId="17" xfId="1" applyNumberFormat="1" applyFont="1" applyFill="1" applyBorder="1" applyAlignment="1">
      <alignment horizontal="right" vertical="center" wrapText="1"/>
    </xf>
    <xf numFmtId="4" fontId="8" fillId="24" borderId="16" xfId="0" applyNumberFormat="1" applyFont="1" applyFill="1" applyBorder="1" applyAlignment="1">
      <alignment horizontal="right" vertical="center"/>
    </xf>
    <xf numFmtId="4" fontId="8" fillId="24" borderId="16" xfId="1" applyNumberFormat="1" applyFont="1" applyFill="1" applyBorder="1" applyAlignment="1">
      <alignment horizontal="right" vertical="center"/>
    </xf>
    <xf numFmtId="4" fontId="8" fillId="24" borderId="16" xfId="1" applyNumberFormat="1" applyFont="1" applyFill="1" applyBorder="1" applyAlignment="1">
      <alignment horizontal="right" vertical="center" wrapText="1"/>
    </xf>
    <xf numFmtId="4" fontId="8" fillId="24" borderId="18" xfId="1" applyNumberFormat="1" applyFont="1" applyFill="1" applyBorder="1" applyAlignment="1">
      <alignment horizontal="right" vertical="center" wrapText="1"/>
    </xf>
    <xf numFmtId="192" fontId="54" fillId="0" borderId="17" xfId="1" applyNumberFormat="1" applyFont="1" applyFill="1" applyBorder="1" applyAlignment="1">
      <alignment horizontal="right" vertical="center"/>
    </xf>
    <xf numFmtId="4" fontId="54" fillId="18" borderId="16" xfId="0" applyNumberFormat="1" applyFont="1" applyFill="1" applyBorder="1" applyAlignment="1">
      <alignment horizontal="right" vertical="center" wrapText="1" shrinkToFit="1"/>
    </xf>
    <xf numFmtId="192" fontId="54" fillId="0" borderId="16" xfId="1" applyNumberFormat="1" applyFont="1" applyFill="1" applyBorder="1" applyAlignment="1">
      <alignment horizontal="right" vertical="center"/>
    </xf>
    <xf numFmtId="192" fontId="54" fillId="0" borderId="18" xfId="1" applyNumberFormat="1" applyFont="1" applyFill="1" applyBorder="1" applyAlignment="1">
      <alignment horizontal="right" vertical="center"/>
    </xf>
    <xf numFmtId="192" fontId="54" fillId="8" borderId="17" xfId="1" applyNumberFormat="1" applyFont="1" applyFill="1" applyBorder="1" applyAlignment="1">
      <alignment horizontal="right" vertical="center"/>
    </xf>
    <xf numFmtId="192" fontId="54" fillId="8" borderId="16" xfId="1" applyNumberFormat="1" applyFont="1" applyFill="1" applyBorder="1" applyAlignment="1">
      <alignment horizontal="right" vertical="center"/>
    </xf>
    <xf numFmtId="192" fontId="60" fillId="10" borderId="17" xfId="1" applyNumberFormat="1" applyFont="1" applyFill="1" applyBorder="1" applyAlignment="1">
      <alignment horizontal="right" vertical="center"/>
    </xf>
    <xf numFmtId="192" fontId="97" fillId="10" borderId="16" xfId="0" applyNumberFormat="1" applyFont="1" applyFill="1" applyBorder="1" applyAlignment="1">
      <alignment horizontal="right" vertical="center"/>
    </xf>
    <xf numFmtId="192" fontId="60" fillId="10" borderId="16" xfId="1" applyNumberFormat="1" applyFont="1" applyFill="1" applyBorder="1" applyAlignment="1">
      <alignment horizontal="right" vertical="center"/>
    </xf>
    <xf numFmtId="192" fontId="60" fillId="10" borderId="16" xfId="0" applyNumberFormat="1" applyFont="1" applyFill="1" applyBorder="1" applyAlignment="1">
      <alignment horizontal="right" vertical="center" wrapText="1"/>
    </xf>
    <xf numFmtId="192" fontId="97" fillId="10" borderId="18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12" fillId="11" borderId="10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189" fontId="36" fillId="13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4" fillId="11" borderId="3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7" fillId="11" borderId="2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left"/>
    </xf>
    <xf numFmtId="0" fontId="4" fillId="13" borderId="7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192" fontId="4" fillId="13" borderId="9" xfId="0" applyNumberFormat="1" applyFont="1" applyFill="1" applyBorder="1" applyAlignment="1">
      <alignment horizontal="left"/>
    </xf>
    <xf numFmtId="192" fontId="4" fillId="13" borderId="7" xfId="0" applyNumberFormat="1" applyFont="1" applyFill="1" applyBorder="1" applyAlignment="1">
      <alignment horizontal="left"/>
    </xf>
    <xf numFmtId="192" fontId="4" fillId="13" borderId="15" xfId="0" applyNumberFormat="1" applyFont="1" applyFill="1" applyBorder="1" applyAlignment="1">
      <alignment horizontal="left"/>
    </xf>
    <xf numFmtId="0" fontId="12" fillId="11" borderId="8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37" fillId="9" borderId="9" xfId="0" applyFont="1" applyFill="1" applyBorder="1" applyAlignment="1">
      <alignment horizontal="center" vertical="center" wrapText="1"/>
    </xf>
    <xf numFmtId="0" fontId="37" fillId="9" borderId="7" xfId="0" applyFont="1" applyFill="1" applyBorder="1" applyAlignment="1">
      <alignment horizontal="center" vertical="center" wrapText="1"/>
    </xf>
    <xf numFmtId="0" fontId="37" fillId="9" borderId="15" xfId="0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/>
    </xf>
    <xf numFmtId="0" fontId="37" fillId="9" borderId="7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 wrapText="1"/>
    </xf>
    <xf numFmtId="0" fontId="90" fillId="18" borderId="0" xfId="0" applyNumberFormat="1" applyFont="1" applyFill="1" applyBorder="1" applyAlignment="1">
      <alignment horizontal="left" vertical="top" wrapText="1" shrinkToFit="1"/>
    </xf>
    <xf numFmtId="0" fontId="91" fillId="21" borderId="30" xfId="0" applyNumberFormat="1" applyFont="1" applyFill="1" applyBorder="1" applyAlignment="1">
      <alignment horizontal="center" vertical="center" wrapText="1" shrinkToFit="1"/>
    </xf>
    <xf numFmtId="0" fontId="39" fillId="4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vertical="center"/>
    </xf>
    <xf numFmtId="0" fontId="41" fillId="9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vertical="center"/>
    </xf>
    <xf numFmtId="0" fontId="40" fillId="9" borderId="15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top" wrapText="1"/>
    </xf>
    <xf numFmtId="0" fontId="83" fillId="23" borderId="30" xfId="0" applyNumberFormat="1" applyFont="1" applyFill="1" applyBorder="1" applyAlignment="1">
      <alignment horizontal="left" vertical="center" wrapText="1" shrinkToFit="1"/>
    </xf>
    <xf numFmtId="49" fontId="90" fillId="22" borderId="30" xfId="0" applyNumberFormat="1" applyFont="1" applyFill="1" applyBorder="1" applyAlignment="1">
      <alignment horizontal="left" vertical="center" wrapText="1" shrinkToFit="1"/>
    </xf>
    <xf numFmtId="0" fontId="3" fillId="20" borderId="17" xfId="0" applyFont="1" applyFill="1" applyBorder="1" applyAlignment="1">
      <alignment horizontal="left" vertical="center"/>
    </xf>
    <xf numFmtId="0" fontId="3" fillId="20" borderId="16" xfId="0" applyFont="1" applyFill="1" applyBorder="1" applyAlignment="1">
      <alignment horizontal="left" vertical="center"/>
    </xf>
    <xf numFmtId="0" fontId="3" fillId="20" borderId="18" xfId="0" applyFont="1" applyFill="1" applyBorder="1" applyAlignment="1">
      <alignment horizontal="left" vertical="center"/>
    </xf>
    <xf numFmtId="0" fontId="3" fillId="9" borderId="9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horizontal="center" vertical="top" wrapText="1"/>
    </xf>
    <xf numFmtId="192" fontId="30" fillId="9" borderId="9" xfId="0" applyNumberFormat="1" applyFont="1" applyFill="1" applyBorder="1" applyAlignment="1">
      <alignment horizontal="center" vertical="top" wrapText="1"/>
    </xf>
    <xf numFmtId="192" fontId="30" fillId="9" borderId="7" xfId="0" applyNumberFormat="1" applyFont="1" applyFill="1" applyBorder="1" applyAlignment="1">
      <alignment horizontal="center" vertical="top" wrapText="1"/>
    </xf>
    <xf numFmtId="192" fontId="30" fillId="9" borderId="15" xfId="0" applyNumberFormat="1" applyFont="1" applyFill="1" applyBorder="1" applyAlignment="1">
      <alignment horizontal="center" vertical="top" wrapText="1"/>
    </xf>
    <xf numFmtId="193" fontId="29" fillId="0" borderId="19" xfId="0" applyNumberFormat="1" applyFont="1" applyFill="1" applyBorder="1" applyAlignment="1">
      <alignment horizontal="right" vertical="center"/>
    </xf>
    <xf numFmtId="193" fontId="29" fillId="0" borderId="21" xfId="0" applyNumberFormat="1" applyFont="1" applyFill="1" applyBorder="1" applyAlignment="1">
      <alignment horizontal="right" vertical="center"/>
    </xf>
    <xf numFmtId="193" fontId="28" fillId="0" borderId="20" xfId="0" applyNumberFormat="1" applyFont="1" applyFill="1" applyBorder="1" applyAlignment="1">
      <alignment horizontal="right" vertical="center"/>
    </xf>
    <xf numFmtId="193" fontId="28" fillId="0" borderId="22" xfId="0" applyNumberFormat="1" applyFont="1" applyFill="1" applyBorder="1" applyAlignment="1">
      <alignment horizontal="right" vertical="center"/>
    </xf>
    <xf numFmtId="193" fontId="34" fillId="0" borderId="27" xfId="1" applyNumberFormat="1" applyFont="1" applyBorder="1" applyAlignment="1">
      <alignment horizontal="right" vertical="center"/>
    </xf>
    <xf numFmtId="193" fontId="34" fillId="0" borderId="29" xfId="1" applyNumberFormat="1" applyFont="1" applyBorder="1" applyAlignment="1">
      <alignment horizontal="right" vertical="center"/>
    </xf>
    <xf numFmtId="193" fontId="28" fillId="0" borderId="23" xfId="1" applyNumberFormat="1" applyFont="1" applyBorder="1" applyAlignment="1">
      <alignment horizontal="right" vertical="center"/>
    </xf>
    <xf numFmtId="192" fontId="8" fillId="0" borderId="17" xfId="0" applyNumberFormat="1" applyFont="1" applyFill="1" applyBorder="1" applyAlignment="1">
      <alignment horizontal="right" vertical="center"/>
    </xf>
    <xf numFmtId="192" fontId="8" fillId="0" borderId="16" xfId="0" applyNumberFormat="1" applyFont="1" applyFill="1" applyBorder="1" applyAlignment="1">
      <alignment horizontal="right" vertical="center"/>
    </xf>
    <xf numFmtId="192" fontId="8" fillId="0" borderId="16" xfId="1" applyNumberFormat="1" applyFont="1" applyBorder="1" applyAlignment="1">
      <alignment horizontal="right" vertical="center"/>
    </xf>
    <xf numFmtId="193" fontId="28" fillId="0" borderId="17" xfId="0" applyNumberFormat="1" applyFont="1" applyFill="1" applyBorder="1" applyAlignment="1">
      <alignment horizontal="right" vertical="center"/>
    </xf>
    <xf numFmtId="193" fontId="28" fillId="0" borderId="19" xfId="0" applyNumberFormat="1" applyFont="1" applyFill="1" applyBorder="1" applyAlignment="1">
      <alignment horizontal="right" vertical="center"/>
    </xf>
    <xf numFmtId="193" fontId="28" fillId="0" borderId="21" xfId="0" applyNumberFormat="1" applyFont="1" applyFill="1" applyBorder="1" applyAlignment="1">
      <alignment horizontal="right" vertical="center"/>
    </xf>
    <xf numFmtId="4" fontId="28" fillId="18" borderId="16" xfId="0" applyNumberFormat="1" applyFont="1" applyFill="1" applyBorder="1" applyAlignment="1">
      <alignment horizontal="right" vertical="center" wrapText="1" shrinkToFit="1"/>
    </xf>
    <xf numFmtId="193" fontId="28" fillId="0" borderId="23" xfId="1" applyNumberFormat="1" applyFont="1" applyBorder="1" applyAlignment="1">
      <alignment horizontal="center" vertical="center"/>
    </xf>
    <xf numFmtId="193" fontId="28" fillId="0" borderId="17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193" fontId="28" fillId="0" borderId="10" xfId="0" applyNumberFormat="1" applyFont="1" applyFill="1" applyBorder="1" applyAlignment="1">
      <alignment horizontal="right" vertical="center"/>
    </xf>
    <xf numFmtId="193" fontId="28" fillId="0" borderId="4" xfId="0" applyNumberFormat="1" applyFont="1" applyFill="1" applyBorder="1" applyAlignment="1">
      <alignment horizontal="right" vertical="center"/>
    </xf>
    <xf numFmtId="193" fontId="28" fillId="0" borderId="16" xfId="0" applyNumberFormat="1" applyFont="1" applyFill="1" applyBorder="1" applyAlignment="1">
      <alignment horizontal="right" vertical="center"/>
    </xf>
    <xf numFmtId="192" fontId="28" fillId="0" borderId="18" xfId="1" applyNumberFormat="1" applyFont="1" applyBorder="1" applyAlignment="1">
      <alignment horizontal="right" vertical="center"/>
    </xf>
    <xf numFmtId="0" fontId="3" fillId="9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10" borderId="10" xfId="0" quotePrefix="1" applyFont="1" applyFill="1" applyBorder="1" applyAlignment="1">
      <alignment horizontal="center" vertical="center" wrapText="1"/>
    </xf>
    <xf numFmtId="0" fontId="5" fillId="10" borderId="3" xfId="0" quotePrefix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49" fontId="98" fillId="18" borderId="5" xfId="0" applyNumberFormat="1" applyFont="1" applyFill="1" applyBorder="1" applyAlignment="1">
      <alignment horizontal="left" vertical="center" wrapText="1" shrinkToFit="1"/>
    </xf>
    <xf numFmtId="4" fontId="98" fillId="18" borderId="5" xfId="0" applyNumberFormat="1" applyFont="1" applyFill="1" applyBorder="1" applyAlignment="1">
      <alignment horizontal="right" vertical="center" wrapText="1" shrinkToFit="1"/>
    </xf>
    <xf numFmtId="4" fontId="99" fillId="18" borderId="5" xfId="0" applyNumberFormat="1" applyFont="1" applyFill="1" applyBorder="1" applyAlignment="1">
      <alignment horizontal="right" vertical="center" wrapText="1" shrinkToFit="1"/>
    </xf>
    <xf numFmtId="4" fontId="99" fillId="10" borderId="5" xfId="0" applyNumberFormat="1" applyFont="1" applyFill="1" applyBorder="1" applyAlignment="1">
      <alignment horizontal="right" vertical="center" wrapText="1" shrinkToFit="1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114300</xdr:rowOff>
    </xdr:from>
    <xdr:to>
      <xdr:col>2</xdr:col>
      <xdr:colOff>0</xdr:colOff>
      <xdr:row>6</xdr:row>
      <xdr:rowOff>247650</xdr:rowOff>
    </xdr:to>
    <xdr:sp macro="" textlink="">
      <xdr:nvSpPr>
        <xdr:cNvPr id="66190" name="AutoShape 1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0</xdr:colOff>
      <xdr:row>6</xdr:row>
      <xdr:rowOff>247650</xdr:rowOff>
    </xdr:to>
    <xdr:sp macro="" textlink="">
      <xdr:nvSpPr>
        <xdr:cNvPr id="66191" name="AutoShape 2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0</xdr:colOff>
      <xdr:row>6</xdr:row>
      <xdr:rowOff>247650</xdr:rowOff>
    </xdr:to>
    <xdr:sp macro="" textlink="">
      <xdr:nvSpPr>
        <xdr:cNvPr id="66192" name="AutoShape 3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6</xdr:row>
      <xdr:rowOff>114300</xdr:rowOff>
    </xdr:from>
    <xdr:to>
      <xdr:col>7</xdr:col>
      <xdr:colOff>276225</xdr:colOff>
      <xdr:row>6</xdr:row>
      <xdr:rowOff>247650</xdr:rowOff>
    </xdr:to>
    <xdr:sp macro="" textlink="">
      <xdr:nvSpPr>
        <xdr:cNvPr id="66193" name="AutoShape 4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6</xdr:row>
      <xdr:rowOff>114300</xdr:rowOff>
    </xdr:from>
    <xdr:to>
      <xdr:col>10</xdr:col>
      <xdr:colOff>247650</xdr:colOff>
      <xdr:row>6</xdr:row>
      <xdr:rowOff>247650</xdr:rowOff>
    </xdr:to>
    <xdr:sp macro="" textlink="">
      <xdr:nvSpPr>
        <xdr:cNvPr id="66194" name="AutoShape 5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6</xdr:row>
      <xdr:rowOff>114300</xdr:rowOff>
    </xdr:from>
    <xdr:to>
      <xdr:col>14</xdr:col>
      <xdr:colOff>209550</xdr:colOff>
      <xdr:row>6</xdr:row>
      <xdr:rowOff>247650</xdr:rowOff>
    </xdr:to>
    <xdr:sp macro="" textlink="">
      <xdr:nvSpPr>
        <xdr:cNvPr id="66195" name="AutoShape 6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6</xdr:row>
      <xdr:rowOff>114300</xdr:rowOff>
    </xdr:from>
    <xdr:to>
      <xdr:col>17</xdr:col>
      <xdr:colOff>180975</xdr:colOff>
      <xdr:row>6</xdr:row>
      <xdr:rowOff>247650</xdr:rowOff>
    </xdr:to>
    <xdr:sp macro="" textlink="">
      <xdr:nvSpPr>
        <xdr:cNvPr id="66196" name="AutoShape 7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6</xdr:row>
      <xdr:rowOff>114300</xdr:rowOff>
    </xdr:from>
    <xdr:to>
      <xdr:col>21</xdr:col>
      <xdr:colOff>209550</xdr:colOff>
      <xdr:row>6</xdr:row>
      <xdr:rowOff>247650</xdr:rowOff>
    </xdr:to>
    <xdr:sp macro="" textlink="">
      <xdr:nvSpPr>
        <xdr:cNvPr id="66197" name="AutoShape 8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6</xdr:row>
      <xdr:rowOff>114300</xdr:rowOff>
    </xdr:from>
    <xdr:to>
      <xdr:col>24</xdr:col>
      <xdr:colOff>209550</xdr:colOff>
      <xdr:row>6</xdr:row>
      <xdr:rowOff>247650</xdr:rowOff>
    </xdr:to>
    <xdr:sp macro="" textlink="">
      <xdr:nvSpPr>
        <xdr:cNvPr id="66198" name="AutoShape 9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21</xdr:row>
      <xdr:rowOff>85725</xdr:rowOff>
    </xdr:from>
    <xdr:to>
      <xdr:col>34</xdr:col>
      <xdr:colOff>142875</xdr:colOff>
      <xdr:row>21</xdr:row>
      <xdr:rowOff>190500</xdr:rowOff>
    </xdr:to>
    <xdr:sp macro="" textlink="">
      <xdr:nvSpPr>
        <xdr:cNvPr id="66199" name="AutoShape 10"/>
        <xdr:cNvSpPr>
          <a:spLocks noChangeArrowheads="1"/>
        </xdr:cNvSpPr>
      </xdr:nvSpPr>
      <xdr:spPr bwMode="auto">
        <a:xfrm>
          <a:off x="476250" y="8258175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6</xdr:row>
      <xdr:rowOff>95250</xdr:rowOff>
    </xdr:from>
    <xdr:to>
      <xdr:col>28</xdr:col>
      <xdr:colOff>190500</xdr:colOff>
      <xdr:row>6</xdr:row>
      <xdr:rowOff>228600</xdr:rowOff>
    </xdr:to>
    <xdr:sp macro="" textlink="">
      <xdr:nvSpPr>
        <xdr:cNvPr id="66200" name="AutoShape 11"/>
        <xdr:cNvSpPr>
          <a:spLocks noChangeArrowheads="1"/>
        </xdr:cNvSpPr>
      </xdr:nvSpPr>
      <xdr:spPr bwMode="auto">
        <a:xfrm>
          <a:off x="476250" y="2495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66675</xdr:colOff>
      <xdr:row>6</xdr:row>
      <xdr:rowOff>104775</xdr:rowOff>
    </xdr:from>
    <xdr:to>
      <xdr:col>31</xdr:col>
      <xdr:colOff>171450</xdr:colOff>
      <xdr:row>6</xdr:row>
      <xdr:rowOff>238125</xdr:rowOff>
    </xdr:to>
    <xdr:sp macro="" textlink="">
      <xdr:nvSpPr>
        <xdr:cNvPr id="66201" name="AutoShape 12"/>
        <xdr:cNvSpPr>
          <a:spLocks noChangeArrowheads="1"/>
        </xdr:cNvSpPr>
      </xdr:nvSpPr>
      <xdr:spPr bwMode="auto">
        <a:xfrm>
          <a:off x="476250" y="250507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76200</xdr:colOff>
      <xdr:row>6</xdr:row>
      <xdr:rowOff>95250</xdr:rowOff>
    </xdr:from>
    <xdr:to>
      <xdr:col>38</xdr:col>
      <xdr:colOff>180975</xdr:colOff>
      <xdr:row>6</xdr:row>
      <xdr:rowOff>228600</xdr:rowOff>
    </xdr:to>
    <xdr:sp macro="" textlink="">
      <xdr:nvSpPr>
        <xdr:cNvPr id="66202" name="AutoShape 15"/>
        <xdr:cNvSpPr>
          <a:spLocks noChangeArrowheads="1"/>
        </xdr:cNvSpPr>
      </xdr:nvSpPr>
      <xdr:spPr bwMode="auto">
        <a:xfrm>
          <a:off x="476250" y="2495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57150</xdr:colOff>
      <xdr:row>6</xdr:row>
      <xdr:rowOff>114300</xdr:rowOff>
    </xdr:from>
    <xdr:to>
      <xdr:col>35</xdr:col>
      <xdr:colOff>152400</xdr:colOff>
      <xdr:row>6</xdr:row>
      <xdr:rowOff>247650</xdr:rowOff>
    </xdr:to>
    <xdr:sp macro="" textlink="">
      <xdr:nvSpPr>
        <xdr:cNvPr id="66203" name="AutoShape 16"/>
        <xdr:cNvSpPr>
          <a:spLocks noChangeArrowheads="1"/>
        </xdr:cNvSpPr>
      </xdr:nvSpPr>
      <xdr:spPr bwMode="auto">
        <a:xfrm>
          <a:off x="476250" y="25146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133350</xdr:colOff>
      <xdr:row>21</xdr:row>
      <xdr:rowOff>76200</xdr:rowOff>
    </xdr:from>
    <xdr:to>
      <xdr:col>40</xdr:col>
      <xdr:colOff>238125</xdr:colOff>
      <xdr:row>21</xdr:row>
      <xdr:rowOff>209550</xdr:rowOff>
    </xdr:to>
    <xdr:sp macro="" textlink="">
      <xdr:nvSpPr>
        <xdr:cNvPr id="66204" name="AutoShape 13"/>
        <xdr:cNvSpPr>
          <a:spLocks noChangeArrowheads="1"/>
        </xdr:cNvSpPr>
      </xdr:nvSpPr>
      <xdr:spPr bwMode="auto">
        <a:xfrm>
          <a:off x="476250" y="82486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142875</xdr:colOff>
      <xdr:row>21</xdr:row>
      <xdr:rowOff>38100</xdr:rowOff>
    </xdr:from>
    <xdr:to>
      <xdr:col>43</xdr:col>
      <xdr:colOff>247650</xdr:colOff>
      <xdr:row>21</xdr:row>
      <xdr:rowOff>171450</xdr:rowOff>
    </xdr:to>
    <xdr:sp macro="" textlink="">
      <xdr:nvSpPr>
        <xdr:cNvPr id="66205" name="AutoShape 13"/>
        <xdr:cNvSpPr>
          <a:spLocks noChangeArrowheads="1"/>
        </xdr:cNvSpPr>
      </xdr:nvSpPr>
      <xdr:spPr bwMode="auto">
        <a:xfrm>
          <a:off x="476250" y="8210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28575</xdr:colOff>
      <xdr:row>6</xdr:row>
      <xdr:rowOff>95250</xdr:rowOff>
    </xdr:from>
    <xdr:to>
      <xdr:col>55</xdr:col>
      <xdr:colOff>133350</xdr:colOff>
      <xdr:row>6</xdr:row>
      <xdr:rowOff>228600</xdr:rowOff>
    </xdr:to>
    <xdr:sp macro="" textlink="">
      <xdr:nvSpPr>
        <xdr:cNvPr id="66206" name="AutoShape 13"/>
        <xdr:cNvSpPr>
          <a:spLocks noChangeArrowheads="1"/>
        </xdr:cNvSpPr>
      </xdr:nvSpPr>
      <xdr:spPr bwMode="auto">
        <a:xfrm>
          <a:off x="476250" y="2495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133350</xdr:colOff>
      <xdr:row>21</xdr:row>
      <xdr:rowOff>38100</xdr:rowOff>
    </xdr:from>
    <xdr:to>
      <xdr:col>46</xdr:col>
      <xdr:colOff>228600</xdr:colOff>
      <xdr:row>21</xdr:row>
      <xdr:rowOff>171450</xdr:rowOff>
    </xdr:to>
    <xdr:sp macro="" textlink="">
      <xdr:nvSpPr>
        <xdr:cNvPr id="66207" name="AutoShape 10"/>
        <xdr:cNvSpPr>
          <a:spLocks noChangeArrowheads="1"/>
        </xdr:cNvSpPr>
      </xdr:nvSpPr>
      <xdr:spPr bwMode="auto">
        <a:xfrm>
          <a:off x="476250" y="8210550"/>
          <a:ext cx="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20</xdr:row>
      <xdr:rowOff>85725</xdr:rowOff>
    </xdr:from>
    <xdr:to>
      <xdr:col>34</xdr:col>
      <xdr:colOff>142875</xdr:colOff>
      <xdr:row>20</xdr:row>
      <xdr:rowOff>190500</xdr:rowOff>
    </xdr:to>
    <xdr:sp macro="" textlink="">
      <xdr:nvSpPr>
        <xdr:cNvPr id="66208" name="AutoShape 10"/>
        <xdr:cNvSpPr>
          <a:spLocks noChangeArrowheads="1"/>
        </xdr:cNvSpPr>
      </xdr:nvSpPr>
      <xdr:spPr bwMode="auto">
        <a:xfrm>
          <a:off x="476250" y="7972425"/>
          <a:ext cx="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133350</xdr:colOff>
      <xdr:row>20</xdr:row>
      <xdr:rowOff>76200</xdr:rowOff>
    </xdr:from>
    <xdr:to>
      <xdr:col>40</xdr:col>
      <xdr:colOff>238125</xdr:colOff>
      <xdr:row>20</xdr:row>
      <xdr:rowOff>209550</xdr:rowOff>
    </xdr:to>
    <xdr:sp macro="" textlink="">
      <xdr:nvSpPr>
        <xdr:cNvPr id="66209" name="AutoShape 13"/>
        <xdr:cNvSpPr>
          <a:spLocks noChangeArrowheads="1"/>
        </xdr:cNvSpPr>
      </xdr:nvSpPr>
      <xdr:spPr bwMode="auto">
        <a:xfrm>
          <a:off x="476250" y="79629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142875</xdr:colOff>
      <xdr:row>20</xdr:row>
      <xdr:rowOff>38100</xdr:rowOff>
    </xdr:from>
    <xdr:to>
      <xdr:col>43</xdr:col>
      <xdr:colOff>247650</xdr:colOff>
      <xdr:row>20</xdr:row>
      <xdr:rowOff>171450</xdr:rowOff>
    </xdr:to>
    <xdr:sp macro="" textlink="">
      <xdr:nvSpPr>
        <xdr:cNvPr id="66210" name="AutoShape 13"/>
        <xdr:cNvSpPr>
          <a:spLocks noChangeArrowheads="1"/>
        </xdr:cNvSpPr>
      </xdr:nvSpPr>
      <xdr:spPr bwMode="auto">
        <a:xfrm>
          <a:off x="476250" y="792480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133350</xdr:colOff>
      <xdr:row>20</xdr:row>
      <xdr:rowOff>38100</xdr:rowOff>
    </xdr:from>
    <xdr:to>
      <xdr:col>46</xdr:col>
      <xdr:colOff>228600</xdr:colOff>
      <xdr:row>20</xdr:row>
      <xdr:rowOff>171450</xdr:rowOff>
    </xdr:to>
    <xdr:sp macro="" textlink="">
      <xdr:nvSpPr>
        <xdr:cNvPr id="66211" name="AutoShape 10"/>
        <xdr:cNvSpPr>
          <a:spLocks noChangeArrowheads="1"/>
        </xdr:cNvSpPr>
      </xdr:nvSpPr>
      <xdr:spPr bwMode="auto">
        <a:xfrm>
          <a:off x="476250" y="7924800"/>
          <a:ext cx="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247650</xdr:colOff>
      <xdr:row>20</xdr:row>
      <xdr:rowOff>28575</xdr:rowOff>
    </xdr:from>
    <xdr:to>
      <xdr:col>49</xdr:col>
      <xdr:colOff>352425</xdr:colOff>
      <xdr:row>20</xdr:row>
      <xdr:rowOff>152400</xdr:rowOff>
    </xdr:to>
    <xdr:sp macro="" textlink="">
      <xdr:nvSpPr>
        <xdr:cNvPr id="66212" name="AutoShape 3"/>
        <xdr:cNvSpPr>
          <a:spLocks noChangeArrowheads="1"/>
        </xdr:cNvSpPr>
      </xdr:nvSpPr>
      <xdr:spPr bwMode="auto">
        <a:xfrm>
          <a:off x="476250" y="7915275"/>
          <a:ext cx="0" cy="123825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76200</xdr:colOff>
      <xdr:row>20</xdr:row>
      <xdr:rowOff>28575</xdr:rowOff>
    </xdr:from>
    <xdr:to>
      <xdr:col>53</xdr:col>
      <xdr:colOff>180975</xdr:colOff>
      <xdr:row>20</xdr:row>
      <xdr:rowOff>152400</xdr:rowOff>
    </xdr:to>
    <xdr:sp macro="" textlink="">
      <xdr:nvSpPr>
        <xdr:cNvPr id="66213" name="AutoShape 3"/>
        <xdr:cNvSpPr>
          <a:spLocks noChangeArrowheads="1"/>
        </xdr:cNvSpPr>
      </xdr:nvSpPr>
      <xdr:spPr bwMode="auto">
        <a:xfrm>
          <a:off x="476250" y="7915275"/>
          <a:ext cx="0" cy="123825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66214" name="AutoShape 1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66215" name="AutoShape 2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5</xdr:row>
      <xdr:rowOff>247650</xdr:rowOff>
    </xdr:to>
    <xdr:sp macro="" textlink="">
      <xdr:nvSpPr>
        <xdr:cNvPr id="66216" name="AutoShape 3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114300</xdr:rowOff>
    </xdr:from>
    <xdr:to>
      <xdr:col>3</xdr:col>
      <xdr:colOff>0</xdr:colOff>
      <xdr:row>5</xdr:row>
      <xdr:rowOff>247650</xdr:rowOff>
    </xdr:to>
    <xdr:sp macro="" textlink="">
      <xdr:nvSpPr>
        <xdr:cNvPr id="66217" name="AutoShape 4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180975</xdr:rowOff>
    </xdr:from>
    <xdr:to>
      <xdr:col>4</xdr:col>
      <xdr:colOff>0</xdr:colOff>
      <xdr:row>5</xdr:row>
      <xdr:rowOff>314325</xdr:rowOff>
    </xdr:to>
    <xdr:sp macro="" textlink="">
      <xdr:nvSpPr>
        <xdr:cNvPr id="66218" name="AutoShape 5"/>
        <xdr:cNvSpPr>
          <a:spLocks noChangeArrowheads="1"/>
        </xdr:cNvSpPr>
      </xdr:nvSpPr>
      <xdr:spPr bwMode="auto">
        <a:xfrm>
          <a:off x="476250" y="218122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5</xdr:row>
      <xdr:rowOff>114300</xdr:rowOff>
    </xdr:from>
    <xdr:to>
      <xdr:col>7</xdr:col>
      <xdr:colOff>276225</xdr:colOff>
      <xdr:row>5</xdr:row>
      <xdr:rowOff>247650</xdr:rowOff>
    </xdr:to>
    <xdr:sp macro="" textlink="">
      <xdr:nvSpPr>
        <xdr:cNvPr id="66219" name="AutoShape 6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5</xdr:row>
      <xdr:rowOff>114300</xdr:rowOff>
    </xdr:from>
    <xdr:to>
      <xdr:col>10</xdr:col>
      <xdr:colOff>247650</xdr:colOff>
      <xdr:row>5</xdr:row>
      <xdr:rowOff>247650</xdr:rowOff>
    </xdr:to>
    <xdr:sp macro="" textlink="">
      <xdr:nvSpPr>
        <xdr:cNvPr id="66220" name="AutoShape 7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161925</xdr:colOff>
      <xdr:row>5</xdr:row>
      <xdr:rowOff>114300</xdr:rowOff>
    </xdr:from>
    <xdr:to>
      <xdr:col>14</xdr:col>
      <xdr:colOff>266700</xdr:colOff>
      <xdr:row>5</xdr:row>
      <xdr:rowOff>247650</xdr:rowOff>
    </xdr:to>
    <xdr:sp macro="" textlink="">
      <xdr:nvSpPr>
        <xdr:cNvPr id="66221" name="AutoShape 8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142875</xdr:colOff>
      <xdr:row>5</xdr:row>
      <xdr:rowOff>114300</xdr:rowOff>
    </xdr:from>
    <xdr:to>
      <xdr:col>17</xdr:col>
      <xdr:colOff>247650</xdr:colOff>
      <xdr:row>5</xdr:row>
      <xdr:rowOff>247650</xdr:rowOff>
    </xdr:to>
    <xdr:sp macro="" textlink="">
      <xdr:nvSpPr>
        <xdr:cNvPr id="66222" name="AutoShape 9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142875</xdr:colOff>
      <xdr:row>5</xdr:row>
      <xdr:rowOff>104775</xdr:rowOff>
    </xdr:from>
    <xdr:to>
      <xdr:col>21</xdr:col>
      <xdr:colOff>266700</xdr:colOff>
      <xdr:row>5</xdr:row>
      <xdr:rowOff>247650</xdr:rowOff>
    </xdr:to>
    <xdr:sp macro="" textlink="">
      <xdr:nvSpPr>
        <xdr:cNvPr id="66223" name="AutoShape 11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5</xdr:row>
      <xdr:rowOff>104775</xdr:rowOff>
    </xdr:from>
    <xdr:to>
      <xdr:col>24</xdr:col>
      <xdr:colOff>238125</xdr:colOff>
      <xdr:row>5</xdr:row>
      <xdr:rowOff>247650</xdr:rowOff>
    </xdr:to>
    <xdr:sp macro="" textlink="">
      <xdr:nvSpPr>
        <xdr:cNvPr id="66224" name="AutoShape 12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76200</xdr:colOff>
      <xdr:row>5</xdr:row>
      <xdr:rowOff>104775</xdr:rowOff>
    </xdr:from>
    <xdr:to>
      <xdr:col>28</xdr:col>
      <xdr:colOff>200025</xdr:colOff>
      <xdr:row>5</xdr:row>
      <xdr:rowOff>247650</xdr:rowOff>
    </xdr:to>
    <xdr:sp macro="" textlink="">
      <xdr:nvSpPr>
        <xdr:cNvPr id="66225" name="AutoShape 13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66675</xdr:colOff>
      <xdr:row>5</xdr:row>
      <xdr:rowOff>104775</xdr:rowOff>
    </xdr:from>
    <xdr:to>
      <xdr:col>31</xdr:col>
      <xdr:colOff>190500</xdr:colOff>
      <xdr:row>5</xdr:row>
      <xdr:rowOff>247650</xdr:rowOff>
    </xdr:to>
    <xdr:sp macro="" textlink="">
      <xdr:nvSpPr>
        <xdr:cNvPr id="66226" name="AutoShape 14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57150</xdr:colOff>
      <xdr:row>5</xdr:row>
      <xdr:rowOff>95250</xdr:rowOff>
    </xdr:from>
    <xdr:to>
      <xdr:col>35</xdr:col>
      <xdr:colOff>180975</xdr:colOff>
      <xdr:row>5</xdr:row>
      <xdr:rowOff>238125</xdr:rowOff>
    </xdr:to>
    <xdr:sp macro="" textlink="">
      <xdr:nvSpPr>
        <xdr:cNvPr id="66227" name="AutoShape 13"/>
        <xdr:cNvSpPr>
          <a:spLocks noChangeArrowheads="1"/>
        </xdr:cNvSpPr>
      </xdr:nvSpPr>
      <xdr:spPr bwMode="auto">
        <a:xfrm>
          <a:off x="476250" y="2095500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95250</xdr:colOff>
      <xdr:row>5</xdr:row>
      <xdr:rowOff>104775</xdr:rowOff>
    </xdr:from>
    <xdr:to>
      <xdr:col>38</xdr:col>
      <xdr:colOff>219075</xdr:colOff>
      <xdr:row>5</xdr:row>
      <xdr:rowOff>247650</xdr:rowOff>
    </xdr:to>
    <xdr:sp macro="" textlink="">
      <xdr:nvSpPr>
        <xdr:cNvPr id="66228" name="AutoShape 14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238125</xdr:colOff>
      <xdr:row>20</xdr:row>
      <xdr:rowOff>47625</xdr:rowOff>
    </xdr:from>
    <xdr:to>
      <xdr:col>34</xdr:col>
      <xdr:colOff>381000</xdr:colOff>
      <xdr:row>20</xdr:row>
      <xdr:rowOff>180975</xdr:rowOff>
    </xdr:to>
    <xdr:sp macro="" textlink="">
      <xdr:nvSpPr>
        <xdr:cNvPr id="66229" name="AutoShape 13"/>
        <xdr:cNvSpPr>
          <a:spLocks noChangeArrowheads="1"/>
        </xdr:cNvSpPr>
      </xdr:nvSpPr>
      <xdr:spPr bwMode="auto">
        <a:xfrm>
          <a:off x="476250" y="7934325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76200</xdr:colOff>
      <xdr:row>20</xdr:row>
      <xdr:rowOff>57150</xdr:rowOff>
    </xdr:from>
    <xdr:to>
      <xdr:col>50</xdr:col>
      <xdr:colOff>190500</xdr:colOff>
      <xdr:row>20</xdr:row>
      <xdr:rowOff>209550</xdr:rowOff>
    </xdr:to>
    <xdr:sp macro="" textlink="">
      <xdr:nvSpPr>
        <xdr:cNvPr id="66230" name="AutoShape 23"/>
        <xdr:cNvSpPr>
          <a:spLocks noChangeArrowheads="1"/>
        </xdr:cNvSpPr>
      </xdr:nvSpPr>
      <xdr:spPr bwMode="auto">
        <a:xfrm>
          <a:off x="476250" y="7943850"/>
          <a:ext cx="0" cy="152400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95250</xdr:colOff>
      <xdr:row>5</xdr:row>
      <xdr:rowOff>114300</xdr:rowOff>
    </xdr:from>
    <xdr:to>
      <xdr:col>54</xdr:col>
      <xdr:colOff>200025</xdr:colOff>
      <xdr:row>5</xdr:row>
      <xdr:rowOff>247650</xdr:rowOff>
    </xdr:to>
    <xdr:sp macro="" textlink="">
      <xdr:nvSpPr>
        <xdr:cNvPr id="66231" name="AutoShape 16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95250</xdr:colOff>
      <xdr:row>5</xdr:row>
      <xdr:rowOff>114300</xdr:rowOff>
    </xdr:from>
    <xdr:to>
      <xdr:col>54</xdr:col>
      <xdr:colOff>200025</xdr:colOff>
      <xdr:row>5</xdr:row>
      <xdr:rowOff>247650</xdr:rowOff>
    </xdr:to>
    <xdr:sp macro="" textlink="">
      <xdr:nvSpPr>
        <xdr:cNvPr id="66232" name="AutoShape 18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95250</xdr:colOff>
      <xdr:row>5</xdr:row>
      <xdr:rowOff>114300</xdr:rowOff>
    </xdr:from>
    <xdr:to>
      <xdr:col>54</xdr:col>
      <xdr:colOff>200025</xdr:colOff>
      <xdr:row>5</xdr:row>
      <xdr:rowOff>247650</xdr:rowOff>
    </xdr:to>
    <xdr:sp macro="" textlink="">
      <xdr:nvSpPr>
        <xdr:cNvPr id="66233" name="AutoShape 20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95250</xdr:colOff>
      <xdr:row>5</xdr:row>
      <xdr:rowOff>114300</xdr:rowOff>
    </xdr:from>
    <xdr:to>
      <xdr:col>52</xdr:col>
      <xdr:colOff>200025</xdr:colOff>
      <xdr:row>5</xdr:row>
      <xdr:rowOff>247650</xdr:rowOff>
    </xdr:to>
    <xdr:sp macro="" textlink="">
      <xdr:nvSpPr>
        <xdr:cNvPr id="66234" name="AutoShape 21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95250</xdr:colOff>
      <xdr:row>5</xdr:row>
      <xdr:rowOff>114300</xdr:rowOff>
    </xdr:from>
    <xdr:to>
      <xdr:col>52</xdr:col>
      <xdr:colOff>200025</xdr:colOff>
      <xdr:row>5</xdr:row>
      <xdr:rowOff>247650</xdr:rowOff>
    </xdr:to>
    <xdr:sp macro="" textlink="">
      <xdr:nvSpPr>
        <xdr:cNvPr id="66235" name="AutoShape 22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76200</xdr:colOff>
      <xdr:row>5</xdr:row>
      <xdr:rowOff>104775</xdr:rowOff>
    </xdr:from>
    <xdr:to>
      <xdr:col>52</xdr:col>
      <xdr:colOff>200025</xdr:colOff>
      <xdr:row>5</xdr:row>
      <xdr:rowOff>247650</xdr:rowOff>
    </xdr:to>
    <xdr:sp macro="" textlink="">
      <xdr:nvSpPr>
        <xdr:cNvPr id="66236" name="AutoShape 23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95250</xdr:colOff>
      <xdr:row>5</xdr:row>
      <xdr:rowOff>114300</xdr:rowOff>
    </xdr:from>
    <xdr:to>
      <xdr:col>60</xdr:col>
      <xdr:colOff>200025</xdr:colOff>
      <xdr:row>5</xdr:row>
      <xdr:rowOff>247650</xdr:rowOff>
    </xdr:to>
    <xdr:sp macro="" textlink="">
      <xdr:nvSpPr>
        <xdr:cNvPr id="66237" name="AutoShape 16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95250</xdr:colOff>
      <xdr:row>5</xdr:row>
      <xdr:rowOff>114300</xdr:rowOff>
    </xdr:from>
    <xdr:to>
      <xdr:col>60</xdr:col>
      <xdr:colOff>200025</xdr:colOff>
      <xdr:row>5</xdr:row>
      <xdr:rowOff>247650</xdr:rowOff>
    </xdr:to>
    <xdr:sp macro="" textlink="">
      <xdr:nvSpPr>
        <xdr:cNvPr id="66238" name="AutoShape 18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95250</xdr:colOff>
      <xdr:row>5</xdr:row>
      <xdr:rowOff>114300</xdr:rowOff>
    </xdr:from>
    <xdr:to>
      <xdr:col>60</xdr:col>
      <xdr:colOff>200025</xdr:colOff>
      <xdr:row>5</xdr:row>
      <xdr:rowOff>247650</xdr:rowOff>
    </xdr:to>
    <xdr:sp macro="" textlink="">
      <xdr:nvSpPr>
        <xdr:cNvPr id="66239" name="AutoShape 20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95250</xdr:colOff>
      <xdr:row>5</xdr:row>
      <xdr:rowOff>114300</xdr:rowOff>
    </xdr:from>
    <xdr:to>
      <xdr:col>58</xdr:col>
      <xdr:colOff>200025</xdr:colOff>
      <xdr:row>5</xdr:row>
      <xdr:rowOff>247650</xdr:rowOff>
    </xdr:to>
    <xdr:sp macro="" textlink="">
      <xdr:nvSpPr>
        <xdr:cNvPr id="66240" name="AutoShape 21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95250</xdr:colOff>
      <xdr:row>5</xdr:row>
      <xdr:rowOff>114300</xdr:rowOff>
    </xdr:from>
    <xdr:to>
      <xdr:col>58</xdr:col>
      <xdr:colOff>200025</xdr:colOff>
      <xdr:row>5</xdr:row>
      <xdr:rowOff>247650</xdr:rowOff>
    </xdr:to>
    <xdr:sp macro="" textlink="">
      <xdr:nvSpPr>
        <xdr:cNvPr id="66241" name="AutoShape 22"/>
        <xdr:cNvSpPr>
          <a:spLocks noChangeArrowheads="1"/>
        </xdr:cNvSpPr>
      </xdr:nvSpPr>
      <xdr:spPr bwMode="auto">
        <a:xfrm>
          <a:off x="476250" y="2114550"/>
          <a:ext cx="0" cy="1333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76200</xdr:colOff>
      <xdr:row>5</xdr:row>
      <xdr:rowOff>104775</xdr:rowOff>
    </xdr:from>
    <xdr:to>
      <xdr:col>58</xdr:col>
      <xdr:colOff>200025</xdr:colOff>
      <xdr:row>5</xdr:row>
      <xdr:rowOff>247650</xdr:rowOff>
    </xdr:to>
    <xdr:sp macro="" textlink="">
      <xdr:nvSpPr>
        <xdr:cNvPr id="66242" name="AutoShape 23"/>
        <xdr:cNvSpPr>
          <a:spLocks noChangeArrowheads="1"/>
        </xdr:cNvSpPr>
      </xdr:nvSpPr>
      <xdr:spPr bwMode="auto">
        <a:xfrm>
          <a:off x="476250" y="2105025"/>
          <a:ext cx="0" cy="142875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13</xdr:row>
      <xdr:rowOff>19050</xdr:rowOff>
    </xdr:from>
    <xdr:to>
      <xdr:col>22</xdr:col>
      <xdr:colOff>133350</xdr:colOff>
      <xdr:row>13</xdr:row>
      <xdr:rowOff>190500</xdr:rowOff>
    </xdr:to>
    <xdr:sp macro="" textlink="">
      <xdr:nvSpPr>
        <xdr:cNvPr id="37783" name="AutoShape 13"/>
        <xdr:cNvSpPr>
          <a:spLocks noChangeArrowheads="1"/>
        </xdr:cNvSpPr>
      </xdr:nvSpPr>
      <xdr:spPr bwMode="auto">
        <a:xfrm>
          <a:off x="561975" y="5810250"/>
          <a:ext cx="0" cy="171450"/>
        </a:xfrm>
        <a:prstGeom prst="flowChartExtra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3</xdr:row>
      <xdr:rowOff>47625</xdr:rowOff>
    </xdr:from>
    <xdr:to>
      <xdr:col>15</xdr:col>
      <xdr:colOff>228600</xdr:colOff>
      <xdr:row>3</xdr:row>
      <xdr:rowOff>171450</xdr:rowOff>
    </xdr:to>
    <xdr:sp macro="" textlink="">
      <xdr:nvSpPr>
        <xdr:cNvPr id="64606" name="AutoShape 4"/>
        <xdr:cNvSpPr>
          <a:spLocks noChangeArrowheads="1"/>
        </xdr:cNvSpPr>
      </xdr:nvSpPr>
      <xdr:spPr bwMode="auto">
        <a:xfrm>
          <a:off x="1247775" y="962025"/>
          <a:ext cx="0" cy="123825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514350</xdr:colOff>
      <xdr:row>37</xdr:row>
      <xdr:rowOff>38100</xdr:rowOff>
    </xdr:from>
    <xdr:to>
      <xdr:col>0</xdr:col>
      <xdr:colOff>619125</xdr:colOff>
      <xdr:row>37</xdr:row>
      <xdr:rowOff>161925</xdr:rowOff>
    </xdr:to>
    <xdr:sp macro="" textlink="">
      <xdr:nvSpPr>
        <xdr:cNvPr id="64607" name="AutoShape 3"/>
        <xdr:cNvSpPr>
          <a:spLocks noChangeArrowheads="1"/>
        </xdr:cNvSpPr>
      </xdr:nvSpPr>
      <xdr:spPr bwMode="auto">
        <a:xfrm>
          <a:off x="514350" y="8505825"/>
          <a:ext cx="104775" cy="0"/>
        </a:xfrm>
        <a:prstGeom prst="flowChartExtra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8107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view="pageLayout" topLeftCell="A11" zoomScale="150" zoomScaleNormal="94" zoomScalePageLayoutView="150" workbookViewId="0">
      <selection activeCell="U15" sqref="U15:V18"/>
    </sheetView>
  </sheetViews>
  <sheetFormatPr defaultColWidth="9.125" defaultRowHeight="32.25" customHeight="1" x14ac:dyDescent="0.5"/>
  <cols>
    <col min="1" max="1" width="11.75" style="1" customWidth="1"/>
    <col min="2" max="3" width="0" style="1" hidden="1" customWidth="1"/>
    <col min="4" max="4" width="6.875" style="1" hidden="1" customWidth="1"/>
    <col min="5" max="5" width="6.75" style="1" hidden="1" customWidth="1"/>
    <col min="6" max="6" width="7.125" style="1" hidden="1" customWidth="1"/>
    <col min="7" max="7" width="2.375" style="1" hidden="1" customWidth="1"/>
    <col min="8" max="8" width="8.625" style="1" hidden="1" customWidth="1"/>
    <col min="9" max="9" width="8.125" style="1" hidden="1" customWidth="1"/>
    <col min="10" max="10" width="8" style="1" hidden="1" customWidth="1"/>
    <col min="11" max="11" width="8.625" style="1" hidden="1" customWidth="1"/>
    <col min="12" max="13" width="8.125" style="1" hidden="1" customWidth="1"/>
    <col min="14" max="14" width="11.75" style="1" hidden="1" customWidth="1"/>
    <col min="15" max="15" width="0" style="1" hidden="1" customWidth="1"/>
    <col min="16" max="16" width="12.625" style="1" hidden="1" customWidth="1"/>
    <col min="17" max="18" width="10.25" style="1" hidden="1" customWidth="1"/>
    <col min="19" max="22" width="10.25" style="1" customWidth="1"/>
    <col min="23" max="23" width="5.75" style="1" hidden="1" customWidth="1"/>
    <col min="24" max="25" width="7.125" style="1" hidden="1" customWidth="1"/>
    <col min="26" max="28" width="6.5" style="1" customWidth="1"/>
    <col min="29" max="29" width="0" style="1" hidden="1" customWidth="1"/>
    <col min="30" max="32" width="7.75" style="1" hidden="1" customWidth="1"/>
    <col min="33" max="35" width="6.625" style="1" customWidth="1"/>
    <col min="36" max="16384" width="9.125" style="1"/>
  </cols>
  <sheetData>
    <row r="1" spans="1:35" ht="26.25" customHeight="1" x14ac:dyDescent="0.6">
      <c r="A1" s="657" t="s">
        <v>66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</row>
    <row r="2" spans="1:35" s="186" customFormat="1" ht="26.25" customHeight="1" x14ac:dyDescent="0.2">
      <c r="A2" s="658" t="s">
        <v>95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</row>
    <row r="3" spans="1:35" s="186" customFormat="1" ht="26.25" customHeight="1" x14ac:dyDescent="0.2">
      <c r="A3" s="667" t="s">
        <v>321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</row>
    <row r="4" spans="1:35" ht="26.25" customHeight="1" x14ac:dyDescent="0.5">
      <c r="Q4" s="42"/>
      <c r="R4" s="42"/>
      <c r="S4" s="42"/>
      <c r="T4" s="42"/>
      <c r="X4" s="42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181" t="s">
        <v>26</v>
      </c>
    </row>
    <row r="5" spans="1:35" ht="28.5" customHeight="1" x14ac:dyDescent="0.5">
      <c r="A5" s="655" t="s">
        <v>7</v>
      </c>
      <c r="B5" s="39"/>
      <c r="C5" s="39"/>
      <c r="D5" s="43" t="s">
        <v>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655">
        <v>2556</v>
      </c>
      <c r="P5" s="674" t="s">
        <v>8</v>
      </c>
      <c r="Q5" s="675"/>
      <c r="R5" s="675"/>
      <c r="S5" s="675"/>
      <c r="T5" s="675"/>
      <c r="U5" s="675"/>
      <c r="V5" s="663"/>
      <c r="W5" s="44"/>
      <c r="X5" s="668" t="s">
        <v>41</v>
      </c>
      <c r="Y5" s="668"/>
      <c r="Z5" s="668"/>
      <c r="AA5" s="668"/>
      <c r="AB5" s="669"/>
      <c r="AC5" s="45"/>
      <c r="AD5" s="660" t="s">
        <v>93</v>
      </c>
      <c r="AE5" s="660"/>
      <c r="AF5" s="661"/>
      <c r="AG5" s="661"/>
      <c r="AH5" s="661"/>
      <c r="AI5" s="662"/>
    </row>
    <row r="6" spans="1:35" ht="28.5" customHeight="1" x14ac:dyDescent="0.5">
      <c r="A6" s="659"/>
      <c r="B6" s="39"/>
      <c r="C6" s="39"/>
      <c r="D6" s="345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659"/>
      <c r="P6" s="676"/>
      <c r="Q6" s="677"/>
      <c r="R6" s="677"/>
      <c r="S6" s="677"/>
      <c r="T6" s="677"/>
      <c r="U6" s="677"/>
      <c r="V6" s="664"/>
      <c r="W6" s="347"/>
      <c r="X6" s="670"/>
      <c r="Y6" s="670"/>
      <c r="Z6" s="670"/>
      <c r="AA6" s="670"/>
      <c r="AB6" s="671"/>
      <c r="AC6" s="348"/>
      <c r="AD6" s="349"/>
      <c r="AE6" s="349"/>
      <c r="AF6" s="672" t="s">
        <v>94</v>
      </c>
      <c r="AG6" s="672"/>
      <c r="AH6" s="672"/>
      <c r="AI6" s="673"/>
    </row>
    <row r="7" spans="1:35" s="2" customFormat="1" ht="28.5" customHeight="1" x14ac:dyDescent="0.2">
      <c r="A7" s="659"/>
      <c r="B7" s="655">
        <v>2544</v>
      </c>
      <c r="C7" s="655">
        <v>2545</v>
      </c>
      <c r="D7" s="655">
        <v>2546</v>
      </c>
      <c r="E7" s="655">
        <v>2547</v>
      </c>
      <c r="F7" s="655">
        <v>2548</v>
      </c>
      <c r="G7" s="655">
        <v>2549</v>
      </c>
      <c r="H7" s="655">
        <v>2550</v>
      </c>
      <c r="I7" s="655">
        <v>2551</v>
      </c>
      <c r="J7" s="649">
        <v>2551</v>
      </c>
      <c r="K7" s="649">
        <v>2552</v>
      </c>
      <c r="L7" s="655">
        <v>2553</v>
      </c>
      <c r="M7" s="655">
        <v>2554</v>
      </c>
      <c r="N7" s="655">
        <v>2555</v>
      </c>
      <c r="O7" s="659"/>
      <c r="P7" s="655">
        <v>2557</v>
      </c>
      <c r="Q7" s="663">
        <v>2558</v>
      </c>
      <c r="R7" s="684">
        <v>2559</v>
      </c>
      <c r="S7" s="684">
        <v>2560</v>
      </c>
      <c r="T7" s="684">
        <v>2561</v>
      </c>
      <c r="U7" s="407">
        <v>2561</v>
      </c>
      <c r="V7" s="408">
        <v>2562</v>
      </c>
      <c r="W7" s="653" t="s">
        <v>32</v>
      </c>
      <c r="X7" s="653" t="s">
        <v>37</v>
      </c>
      <c r="Y7" s="665" t="s">
        <v>40</v>
      </c>
      <c r="Z7" s="665" t="s">
        <v>101</v>
      </c>
      <c r="AA7" s="665" t="s">
        <v>102</v>
      </c>
      <c r="AB7" s="387" t="s">
        <v>107</v>
      </c>
      <c r="AC7" s="649">
        <v>2556</v>
      </c>
      <c r="AD7" s="651">
        <v>2557</v>
      </c>
      <c r="AE7" s="651">
        <v>2558</v>
      </c>
      <c r="AF7" s="653">
        <v>2559</v>
      </c>
      <c r="AG7" s="653">
        <v>2560</v>
      </c>
      <c r="AH7" s="653">
        <v>2561</v>
      </c>
      <c r="AI7" s="386">
        <v>2562</v>
      </c>
    </row>
    <row r="8" spans="1:35" s="2" customFormat="1" ht="28.5" customHeight="1" x14ac:dyDescent="0.2">
      <c r="A8" s="656"/>
      <c r="B8" s="656"/>
      <c r="C8" s="656"/>
      <c r="D8" s="656"/>
      <c r="E8" s="656"/>
      <c r="F8" s="656"/>
      <c r="G8" s="656"/>
      <c r="H8" s="656"/>
      <c r="I8" s="656"/>
      <c r="J8" s="650"/>
      <c r="K8" s="650"/>
      <c r="L8" s="656"/>
      <c r="M8" s="656"/>
      <c r="N8" s="656"/>
      <c r="O8" s="656"/>
      <c r="P8" s="656"/>
      <c r="Q8" s="664"/>
      <c r="R8" s="685"/>
      <c r="S8" s="685"/>
      <c r="T8" s="685"/>
      <c r="U8" s="686" t="s">
        <v>322</v>
      </c>
      <c r="V8" s="686"/>
      <c r="W8" s="654"/>
      <c r="X8" s="654"/>
      <c r="Y8" s="666"/>
      <c r="Z8" s="666"/>
      <c r="AA8" s="666"/>
      <c r="AB8" s="431" t="s">
        <v>323</v>
      </c>
      <c r="AC8" s="650"/>
      <c r="AD8" s="652"/>
      <c r="AE8" s="652"/>
      <c r="AF8" s="654"/>
      <c r="AG8" s="654"/>
      <c r="AH8" s="654"/>
      <c r="AI8" s="431" t="s">
        <v>323</v>
      </c>
    </row>
    <row r="9" spans="1:35" s="2" customFormat="1" ht="32.25" customHeight="1" x14ac:dyDescent="0.5">
      <c r="A9" s="678" t="s">
        <v>96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80"/>
    </row>
    <row r="10" spans="1:35" s="3" customFormat="1" ht="32.25" customHeight="1" x14ac:dyDescent="0.5">
      <c r="A10" s="440" t="s">
        <v>9</v>
      </c>
      <c r="B10" s="441">
        <f t="shared" ref="B10:J10" si="0">+B11+B12</f>
        <v>21316.2</v>
      </c>
      <c r="C10" s="442">
        <f t="shared" si="0"/>
        <v>22622.3</v>
      </c>
      <c r="D10" s="443">
        <f t="shared" si="0"/>
        <v>29186.1</v>
      </c>
      <c r="E10" s="443">
        <f t="shared" si="0"/>
        <v>30203.98</v>
      </c>
      <c r="F10" s="443">
        <f t="shared" si="0"/>
        <v>38071.410000000003</v>
      </c>
      <c r="G10" s="443">
        <f t="shared" si="0"/>
        <v>48325.764999999999</v>
      </c>
      <c r="H10" s="444">
        <f t="shared" si="0"/>
        <v>48397.617000000006</v>
      </c>
      <c r="I10" s="445">
        <f t="shared" si="0"/>
        <v>70033.05</v>
      </c>
      <c r="J10" s="444">
        <f t="shared" si="0"/>
        <v>70033.05</v>
      </c>
      <c r="K10" s="444">
        <f>+K11+K12+0.01</f>
        <v>56577.350000000006</v>
      </c>
      <c r="L10" s="446">
        <f t="shared" ref="L10:R10" si="1">+L11+L12</f>
        <v>81135.03</v>
      </c>
      <c r="M10" s="447">
        <f t="shared" si="1"/>
        <v>86611.74</v>
      </c>
      <c r="N10" s="447">
        <f t="shared" si="1"/>
        <v>124580.26</v>
      </c>
      <c r="O10" s="447">
        <f t="shared" si="1"/>
        <v>139563.37</v>
      </c>
      <c r="P10" s="447">
        <f t="shared" si="1"/>
        <v>164667.53</v>
      </c>
      <c r="Q10" s="447">
        <f t="shared" si="1"/>
        <v>188641.54</v>
      </c>
      <c r="R10" s="448">
        <f t="shared" si="1"/>
        <v>197117.15</v>
      </c>
      <c r="S10" s="448">
        <f>+S11+S12</f>
        <v>209822.24000000002</v>
      </c>
      <c r="T10" s="449">
        <f>+T11+T12</f>
        <v>269539.22000000003</v>
      </c>
      <c r="U10" s="622">
        <f>+U11+U12</f>
        <v>248190.7</v>
      </c>
      <c r="V10" s="623">
        <f>+V11+V12</f>
        <v>266910.66000000003</v>
      </c>
      <c r="W10" s="450">
        <f>+(P10-O10)/O10*100</f>
        <v>17.987642459479165</v>
      </c>
      <c r="X10" s="450">
        <f>+(Q10-P10)*100/P10</f>
        <v>14.55903905281145</v>
      </c>
      <c r="Y10" s="450">
        <f t="shared" ref="Y10:AA12" si="2">+(R10-Q10)/Q10*100</f>
        <v>4.4929711663719374</v>
      </c>
      <c r="Z10" s="451">
        <f t="shared" si="2"/>
        <v>6.4454513470796559</v>
      </c>
      <c r="AA10" s="451">
        <f t="shared" si="2"/>
        <v>28.460748488816058</v>
      </c>
      <c r="AB10" s="452">
        <f>+(V10-U10)/U10*100</f>
        <v>7.5425710955325966</v>
      </c>
      <c r="AC10" s="450">
        <v>100</v>
      </c>
      <c r="AD10" s="450">
        <v>100</v>
      </c>
      <c r="AE10" s="450">
        <v>100</v>
      </c>
      <c r="AF10" s="450">
        <v>100</v>
      </c>
      <c r="AG10" s="450">
        <v>100</v>
      </c>
      <c r="AH10" s="450">
        <v>100</v>
      </c>
      <c r="AI10" s="450">
        <v>100</v>
      </c>
    </row>
    <row r="11" spans="1:35" s="3" customFormat="1" ht="32.25" customHeight="1" x14ac:dyDescent="0.5">
      <c r="A11" s="453" t="s">
        <v>1</v>
      </c>
      <c r="B11" s="454">
        <v>20771</v>
      </c>
      <c r="C11" s="454">
        <v>22140.799999999999</v>
      </c>
      <c r="D11" s="455">
        <v>28678.5</v>
      </c>
      <c r="E11" s="456">
        <v>29091.29</v>
      </c>
      <c r="F11" s="457">
        <v>36801.68</v>
      </c>
      <c r="G11" s="456">
        <v>47002.962</v>
      </c>
      <c r="H11" s="458">
        <v>46709.052000000003</v>
      </c>
      <c r="I11" s="459">
        <v>67025.570000000007</v>
      </c>
      <c r="J11" s="460">
        <v>67025.570000000007</v>
      </c>
      <c r="K11" s="460">
        <v>53917.760000000002</v>
      </c>
      <c r="L11" s="461">
        <v>74265.08</v>
      </c>
      <c r="M11" s="462">
        <v>81238.91</v>
      </c>
      <c r="N11" s="462">
        <v>116780.03</v>
      </c>
      <c r="O11" s="463">
        <v>128643.32</v>
      </c>
      <c r="P11" s="463">
        <v>145486.68</v>
      </c>
      <c r="Q11" s="463">
        <v>167048.28</v>
      </c>
      <c r="R11" s="450">
        <v>163770.84</v>
      </c>
      <c r="S11" s="450">
        <v>179082.76</v>
      </c>
      <c r="T11" s="464">
        <v>244618.48</v>
      </c>
      <c r="U11" s="624">
        <v>225131.91</v>
      </c>
      <c r="V11" s="625">
        <v>197651.94</v>
      </c>
      <c r="W11" s="450">
        <f>+(P11-O11)/O11*100</f>
        <v>13.09307004825434</v>
      </c>
      <c r="X11" s="450">
        <f>+(Q11-P11)*100/P11</f>
        <v>14.820325819518327</v>
      </c>
      <c r="Y11" s="450">
        <f t="shared" si="2"/>
        <v>-1.9619717126090748</v>
      </c>
      <c r="Z11" s="451">
        <f t="shared" si="2"/>
        <v>9.349600942389996</v>
      </c>
      <c r="AA11" s="451">
        <f t="shared" si="2"/>
        <v>36.595214413715759</v>
      </c>
      <c r="AB11" s="452">
        <f>+(V11-U11)/U11*100</f>
        <v>-12.206163932958237</v>
      </c>
      <c r="AC11" s="450">
        <v>100</v>
      </c>
      <c r="AD11" s="450">
        <v>100</v>
      </c>
      <c r="AE11" s="450">
        <v>100</v>
      </c>
      <c r="AF11" s="450">
        <v>100</v>
      </c>
      <c r="AG11" s="450">
        <v>100</v>
      </c>
      <c r="AH11" s="450">
        <v>100</v>
      </c>
      <c r="AI11" s="450">
        <v>100</v>
      </c>
    </row>
    <row r="12" spans="1:35" s="3" customFormat="1" ht="32.25" customHeight="1" x14ac:dyDescent="0.5">
      <c r="A12" s="453" t="s">
        <v>2</v>
      </c>
      <c r="B12" s="454">
        <v>545.20000000000005</v>
      </c>
      <c r="C12" s="454">
        <v>481.5</v>
      </c>
      <c r="D12" s="455">
        <v>507.6</v>
      </c>
      <c r="E12" s="456">
        <v>1112.69</v>
      </c>
      <c r="F12" s="457">
        <v>1269.73</v>
      </c>
      <c r="G12" s="456">
        <v>1322.8030000000001</v>
      </c>
      <c r="H12" s="458">
        <v>1688.5650000000001</v>
      </c>
      <c r="I12" s="459">
        <v>3007.48</v>
      </c>
      <c r="J12" s="460">
        <v>3007.48</v>
      </c>
      <c r="K12" s="460">
        <v>2659.58</v>
      </c>
      <c r="L12" s="461">
        <v>6869.95</v>
      </c>
      <c r="M12" s="462">
        <v>5372.83</v>
      </c>
      <c r="N12" s="462">
        <v>7800.23</v>
      </c>
      <c r="O12" s="463">
        <v>10920.05</v>
      </c>
      <c r="P12" s="463">
        <v>19180.849999999999</v>
      </c>
      <c r="Q12" s="463">
        <v>21593.26</v>
      </c>
      <c r="R12" s="450">
        <v>33346.31</v>
      </c>
      <c r="S12" s="450">
        <v>30739.48</v>
      </c>
      <c r="T12" s="464">
        <v>24920.74</v>
      </c>
      <c r="U12" s="624">
        <v>23058.79</v>
      </c>
      <c r="V12" s="625">
        <v>69258.720000000001</v>
      </c>
      <c r="W12" s="450">
        <f>+(P12-O12)/O12*100</f>
        <v>75.64800527470112</v>
      </c>
      <c r="X12" s="450">
        <f>+(Q12-P12)*100/P12</f>
        <v>12.577179843437596</v>
      </c>
      <c r="Y12" s="450">
        <f t="shared" si="2"/>
        <v>54.429252461184653</v>
      </c>
      <c r="Z12" s="465">
        <f t="shared" si="2"/>
        <v>-7.8174466680121375</v>
      </c>
      <c r="AA12" s="465">
        <f t="shared" si="2"/>
        <v>-18.929207650877629</v>
      </c>
      <c r="AB12" s="452">
        <f>+(V12-U12)/U12*100</f>
        <v>200.35713062133792</v>
      </c>
      <c r="AC12" s="450">
        <v>100</v>
      </c>
      <c r="AD12" s="450">
        <v>100</v>
      </c>
      <c r="AE12" s="450">
        <v>100</v>
      </c>
      <c r="AF12" s="450">
        <v>100</v>
      </c>
      <c r="AG12" s="450">
        <v>100</v>
      </c>
      <c r="AH12" s="450">
        <v>100</v>
      </c>
      <c r="AI12" s="450">
        <v>100</v>
      </c>
    </row>
    <row r="13" spans="1:35" s="3" customFormat="1" ht="32.25" customHeight="1" x14ac:dyDescent="0.5">
      <c r="A13" s="467" t="s">
        <v>3</v>
      </c>
      <c r="B13" s="468">
        <f>+B11-B12</f>
        <v>20225.8</v>
      </c>
      <c r="C13" s="469">
        <f>+C11-C12</f>
        <v>21659.3</v>
      </c>
      <c r="D13" s="470">
        <f>+D11-D12</f>
        <v>28170.9</v>
      </c>
      <c r="E13" s="470">
        <f t="shared" ref="E13:Q13" si="3">+E11-E12</f>
        <v>27978.600000000002</v>
      </c>
      <c r="F13" s="470">
        <f t="shared" si="3"/>
        <v>35531.949999999997</v>
      </c>
      <c r="G13" s="470">
        <f t="shared" si="3"/>
        <v>45680.159</v>
      </c>
      <c r="H13" s="471">
        <f t="shared" si="3"/>
        <v>45020.487000000001</v>
      </c>
      <c r="I13" s="472">
        <f t="shared" si="3"/>
        <v>64018.090000000004</v>
      </c>
      <c r="J13" s="471">
        <f t="shared" si="3"/>
        <v>64018.090000000004</v>
      </c>
      <c r="K13" s="471">
        <f t="shared" si="3"/>
        <v>51258.18</v>
      </c>
      <c r="L13" s="471">
        <f t="shared" si="3"/>
        <v>67395.13</v>
      </c>
      <c r="M13" s="473">
        <f t="shared" si="3"/>
        <v>75866.080000000002</v>
      </c>
      <c r="N13" s="473">
        <f t="shared" si="3"/>
        <v>108979.8</v>
      </c>
      <c r="O13" s="473">
        <f t="shared" si="3"/>
        <v>117723.27</v>
      </c>
      <c r="P13" s="473">
        <f>+P11-P12</f>
        <v>126305.82999999999</v>
      </c>
      <c r="Q13" s="473">
        <f t="shared" si="3"/>
        <v>145455.01999999999</v>
      </c>
      <c r="R13" s="474">
        <f>+R11-R12</f>
        <v>130424.53</v>
      </c>
      <c r="S13" s="474">
        <f>+S11-S12</f>
        <v>148343.28</v>
      </c>
      <c r="T13" s="475">
        <f>+T11-T12</f>
        <v>219697.74000000002</v>
      </c>
      <c r="U13" s="626">
        <f>+U11-U12</f>
        <v>202073.12</v>
      </c>
      <c r="V13" s="627">
        <f>+V11-V12</f>
        <v>128393.22</v>
      </c>
      <c r="W13" s="474"/>
      <c r="X13" s="474"/>
      <c r="Y13" s="476"/>
      <c r="Z13" s="451"/>
      <c r="AA13" s="451"/>
      <c r="AB13" s="452"/>
      <c r="AC13" s="476"/>
      <c r="AD13" s="476"/>
      <c r="AE13" s="476"/>
      <c r="AF13" s="476"/>
      <c r="AG13" s="451"/>
      <c r="AH13" s="451"/>
      <c r="AI13" s="452"/>
    </row>
    <row r="14" spans="1:35" s="3" customFormat="1" ht="32.25" customHeight="1" x14ac:dyDescent="0.5">
      <c r="A14" s="681" t="s">
        <v>42</v>
      </c>
      <c r="B14" s="682"/>
      <c r="C14" s="682"/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3"/>
    </row>
    <row r="15" spans="1:35" s="3" customFormat="1" ht="32.25" customHeight="1" x14ac:dyDescent="0.5">
      <c r="A15" s="440" t="s">
        <v>9</v>
      </c>
      <c r="B15" s="441">
        <f t="shared" ref="B15:J15" si="4">+B16+B17</f>
        <v>15774.820000000002</v>
      </c>
      <c r="C15" s="442">
        <f t="shared" si="4"/>
        <v>17726.849999999999</v>
      </c>
      <c r="D15" s="443">
        <f t="shared" si="4"/>
        <v>18092.11</v>
      </c>
      <c r="E15" s="443">
        <f t="shared" si="4"/>
        <v>23570.78</v>
      </c>
      <c r="F15" s="443">
        <f t="shared" si="4"/>
        <v>29473.88</v>
      </c>
      <c r="G15" s="443">
        <f t="shared" si="4"/>
        <v>34596.959999999999</v>
      </c>
      <c r="H15" s="444">
        <f t="shared" si="4"/>
        <v>34929.85</v>
      </c>
      <c r="I15" s="445">
        <f t="shared" si="4"/>
        <v>50307.360000000001</v>
      </c>
      <c r="J15" s="444">
        <f t="shared" si="4"/>
        <v>50307.360000000001</v>
      </c>
      <c r="K15" s="444">
        <v>45373.51</v>
      </c>
      <c r="L15" s="477">
        <f t="shared" ref="L15:Q15" si="5">+L16+L17</f>
        <v>55416.329999999994</v>
      </c>
      <c r="M15" s="447">
        <f t="shared" si="5"/>
        <v>63977.38</v>
      </c>
      <c r="N15" s="477">
        <f t="shared" si="5"/>
        <v>82089.070000000007</v>
      </c>
      <c r="O15" s="477">
        <f t="shared" si="5"/>
        <v>93836.31</v>
      </c>
      <c r="P15" s="477">
        <f t="shared" si="5"/>
        <v>115012.39</v>
      </c>
      <c r="Q15" s="477">
        <f t="shared" si="5"/>
        <v>125078.16</v>
      </c>
      <c r="R15" s="478">
        <f>+R16+R17</f>
        <v>121050.69</v>
      </c>
      <c r="S15" s="478">
        <f>+S16+S17</f>
        <v>125268.307988</v>
      </c>
      <c r="T15" s="449">
        <f>+T16+T17</f>
        <v>145382.33000000002</v>
      </c>
      <c r="U15" s="628">
        <f>+U16+U17</f>
        <v>131953.56</v>
      </c>
      <c r="V15" s="623">
        <f>+V16+V17</f>
        <v>146416</v>
      </c>
      <c r="W15" s="450">
        <f>+(P15-O15)/O15*100</f>
        <v>22.567042544618392</v>
      </c>
      <c r="X15" s="450">
        <f>+(Q15-P15)*100/P15</f>
        <v>8.7519005561053067</v>
      </c>
      <c r="Y15" s="450">
        <f t="shared" ref="Y15:AA17" si="6">+(R15-Q15)/Q15*100</f>
        <v>-3.2199626217718595</v>
      </c>
      <c r="Z15" s="451">
        <f t="shared" si="6"/>
        <v>3.4841750906169957</v>
      </c>
      <c r="AA15" s="451">
        <f t="shared" si="6"/>
        <v>16.056752370221865</v>
      </c>
      <c r="AB15" s="452">
        <f>+(V15-U15)/U15*100</f>
        <v>10.960249954605244</v>
      </c>
      <c r="AC15" s="479">
        <f t="shared" ref="AC15:AE17" si="7">+(O15/O10)*100</f>
        <v>67.235629234232448</v>
      </c>
      <c r="AD15" s="479">
        <f t="shared" si="7"/>
        <v>69.845214779137095</v>
      </c>
      <c r="AE15" s="479">
        <f t="shared" si="7"/>
        <v>66.30467499364137</v>
      </c>
      <c r="AF15" s="479">
        <f t="shared" ref="AF15:AH17" si="8">R15/R10*100</f>
        <v>61.410531757383865</v>
      </c>
      <c r="AG15" s="479">
        <f t="shared" si="8"/>
        <v>59.702111648412483</v>
      </c>
      <c r="AH15" s="479">
        <f t="shared" si="8"/>
        <v>53.93735650047514</v>
      </c>
      <c r="AI15" s="480">
        <f>V15/V10*100</f>
        <v>54.855808306794486</v>
      </c>
    </row>
    <row r="16" spans="1:35" s="3" customFormat="1" ht="32.25" customHeight="1" x14ac:dyDescent="0.5">
      <c r="A16" s="453" t="s">
        <v>1</v>
      </c>
      <c r="B16" s="481">
        <v>15298.04</v>
      </c>
      <c r="C16" s="482">
        <v>17281.25</v>
      </c>
      <c r="D16" s="456">
        <v>17613.96</v>
      </c>
      <c r="E16" s="483">
        <v>22608.57</v>
      </c>
      <c r="F16" s="456">
        <v>28271.59</v>
      </c>
      <c r="G16" s="483">
        <v>33359.86</v>
      </c>
      <c r="H16" s="484">
        <v>33283.47</v>
      </c>
      <c r="I16" s="458">
        <v>47371.8</v>
      </c>
      <c r="J16" s="485">
        <v>47371.8</v>
      </c>
      <c r="K16" s="485">
        <v>42878.66</v>
      </c>
      <c r="L16" s="486">
        <v>51112.45</v>
      </c>
      <c r="M16" s="486">
        <v>59065.32</v>
      </c>
      <c r="N16" s="486">
        <v>74921.52</v>
      </c>
      <c r="O16" s="487">
        <v>84087.9</v>
      </c>
      <c r="P16" s="487">
        <v>96778.89</v>
      </c>
      <c r="Q16" s="463">
        <v>104692.03</v>
      </c>
      <c r="R16" s="450">
        <v>101342.44</v>
      </c>
      <c r="S16" s="488">
        <v>101727.602084</v>
      </c>
      <c r="T16" s="489">
        <v>122602.57</v>
      </c>
      <c r="U16" s="629">
        <v>110900.54</v>
      </c>
      <c r="V16" s="630">
        <v>126905.23</v>
      </c>
      <c r="W16" s="450">
        <f>+(P16-O16)/O16*100</f>
        <v>15.092528175873113</v>
      </c>
      <c r="X16" s="450">
        <f>+(Q16-P16)*100/P16</f>
        <v>8.1765145270833344</v>
      </c>
      <c r="Y16" s="450">
        <f t="shared" si="6"/>
        <v>-3.1994699118930034</v>
      </c>
      <c r="Z16" s="451">
        <f t="shared" si="6"/>
        <v>0.3800600064494164</v>
      </c>
      <c r="AA16" s="451">
        <f t="shared" si="6"/>
        <v>20.520456088960817</v>
      </c>
      <c r="AB16" s="452">
        <f>+(V16-U16)/U16*100</f>
        <v>14.431570847175317</v>
      </c>
      <c r="AC16" s="479">
        <f t="shared" si="7"/>
        <v>65.365150712839181</v>
      </c>
      <c r="AD16" s="479">
        <f t="shared" si="7"/>
        <v>66.520790769299296</v>
      </c>
      <c r="AE16" s="479">
        <f t="shared" si="7"/>
        <v>62.671719816570395</v>
      </c>
      <c r="AF16" s="479">
        <f t="shared" si="8"/>
        <v>61.880637603128861</v>
      </c>
      <c r="AG16" s="479">
        <f t="shared" si="8"/>
        <v>56.804799124159132</v>
      </c>
      <c r="AH16" s="479">
        <f t="shared" si="8"/>
        <v>50.119913262481234</v>
      </c>
      <c r="AI16" s="480">
        <f>V16/V11*100</f>
        <v>64.206417604603317</v>
      </c>
    </row>
    <row r="17" spans="1:42" s="3" customFormat="1" ht="32.25" customHeight="1" x14ac:dyDescent="0.5">
      <c r="A17" s="453" t="s">
        <v>2</v>
      </c>
      <c r="B17" s="481">
        <v>476.78</v>
      </c>
      <c r="C17" s="482">
        <v>445.6</v>
      </c>
      <c r="D17" s="456">
        <v>478.15</v>
      </c>
      <c r="E17" s="483">
        <v>962.21</v>
      </c>
      <c r="F17" s="456">
        <v>1202.29</v>
      </c>
      <c r="G17" s="483">
        <v>1237.0999999999999</v>
      </c>
      <c r="H17" s="484">
        <v>1646.38</v>
      </c>
      <c r="I17" s="458">
        <v>2935.56</v>
      </c>
      <c r="J17" s="485">
        <v>2935.56</v>
      </c>
      <c r="K17" s="485">
        <v>2494.85</v>
      </c>
      <c r="L17" s="486">
        <v>4303.88</v>
      </c>
      <c r="M17" s="486">
        <v>4912.0600000000004</v>
      </c>
      <c r="N17" s="486">
        <v>7167.55</v>
      </c>
      <c r="O17" s="487">
        <v>9748.41</v>
      </c>
      <c r="P17" s="487">
        <v>18233.5</v>
      </c>
      <c r="Q17" s="463">
        <v>20386.13</v>
      </c>
      <c r="R17" s="450">
        <v>19708.25</v>
      </c>
      <c r="S17" s="488">
        <v>23540.705903999999</v>
      </c>
      <c r="T17" s="489">
        <v>22779.759999999998</v>
      </c>
      <c r="U17" s="629">
        <v>21053.02</v>
      </c>
      <c r="V17" s="630">
        <v>19510.77</v>
      </c>
      <c r="W17" s="450">
        <f>+(P17-O17)/O17*100</f>
        <v>87.040758441633045</v>
      </c>
      <c r="X17" s="450">
        <f>+(Q17-P17)*100/P17</f>
        <v>11.80590671017633</v>
      </c>
      <c r="Y17" s="450">
        <f t="shared" si="6"/>
        <v>-3.3252019878221168</v>
      </c>
      <c r="Z17" s="451">
        <f t="shared" si="6"/>
        <v>19.445947275886994</v>
      </c>
      <c r="AA17" s="465">
        <f t="shared" si="6"/>
        <v>-3.2324685041441406</v>
      </c>
      <c r="AB17" s="466">
        <f>+(V17-U17)/U17*100</f>
        <v>-7.3255523435592611</v>
      </c>
      <c r="AC17" s="479">
        <f t="shared" si="7"/>
        <v>89.270745097320997</v>
      </c>
      <c r="AD17" s="479">
        <f t="shared" si="7"/>
        <v>95.060959237989977</v>
      </c>
      <c r="AE17" s="479">
        <f t="shared" si="7"/>
        <v>94.409690801666827</v>
      </c>
      <c r="AF17" s="479">
        <f t="shared" si="8"/>
        <v>59.101741691959319</v>
      </c>
      <c r="AG17" s="479">
        <f t="shared" si="8"/>
        <v>76.581340686309588</v>
      </c>
      <c r="AH17" s="479">
        <f t="shared" si="8"/>
        <v>91.40884259456179</v>
      </c>
      <c r="AI17" s="480">
        <f>V17/V12*100</f>
        <v>28.170849822231769</v>
      </c>
    </row>
    <row r="18" spans="1:42" s="3" customFormat="1" ht="32.25" customHeight="1" x14ac:dyDescent="0.5">
      <c r="A18" s="467" t="s">
        <v>3</v>
      </c>
      <c r="B18" s="468">
        <f t="shared" ref="B18:Q18" si="9">+B16-B17</f>
        <v>14821.26</v>
      </c>
      <c r="C18" s="469">
        <f t="shared" si="9"/>
        <v>16835.650000000001</v>
      </c>
      <c r="D18" s="470">
        <f t="shared" si="9"/>
        <v>17135.809999999998</v>
      </c>
      <c r="E18" s="470">
        <f t="shared" si="9"/>
        <v>21646.36</v>
      </c>
      <c r="F18" s="470">
        <f t="shared" si="9"/>
        <v>27069.3</v>
      </c>
      <c r="G18" s="470">
        <f t="shared" si="9"/>
        <v>32122.760000000002</v>
      </c>
      <c r="H18" s="471">
        <f t="shared" si="9"/>
        <v>31637.09</v>
      </c>
      <c r="I18" s="472">
        <f t="shared" si="9"/>
        <v>44436.240000000005</v>
      </c>
      <c r="J18" s="471">
        <f t="shared" si="9"/>
        <v>44436.240000000005</v>
      </c>
      <c r="K18" s="471">
        <f t="shared" si="9"/>
        <v>40383.810000000005</v>
      </c>
      <c r="L18" s="471">
        <f t="shared" si="9"/>
        <v>46808.57</v>
      </c>
      <c r="M18" s="490">
        <f t="shared" si="9"/>
        <v>54153.26</v>
      </c>
      <c r="N18" s="490">
        <f t="shared" si="9"/>
        <v>67753.97</v>
      </c>
      <c r="O18" s="490">
        <f t="shared" si="9"/>
        <v>74339.489999999991</v>
      </c>
      <c r="P18" s="490">
        <f t="shared" si="9"/>
        <v>78545.39</v>
      </c>
      <c r="Q18" s="490">
        <f t="shared" si="9"/>
        <v>84305.9</v>
      </c>
      <c r="R18" s="491">
        <f>+R16-R17</f>
        <v>81634.19</v>
      </c>
      <c r="S18" s="491">
        <f>+S16-S17</f>
        <v>78186.896179999996</v>
      </c>
      <c r="T18" s="475">
        <f>+T16-T17+0.01</f>
        <v>99822.82</v>
      </c>
      <c r="U18" s="631">
        <f>+U16-U17-0.01</f>
        <v>89847.51</v>
      </c>
      <c r="V18" s="627">
        <f>+V16-V17</f>
        <v>107394.45999999999</v>
      </c>
      <c r="W18" s="492"/>
      <c r="X18" s="492"/>
      <c r="Y18" s="493"/>
      <c r="Z18" s="494"/>
      <c r="AA18" s="494"/>
      <c r="AB18" s="493"/>
      <c r="AC18" s="493"/>
      <c r="AD18" s="495"/>
      <c r="AE18" s="495"/>
      <c r="AF18" s="495"/>
      <c r="AG18" s="495"/>
      <c r="AH18" s="495"/>
      <c r="AI18" s="495"/>
    </row>
    <row r="19" spans="1:42" s="3" customFormat="1" ht="20.25" customHeight="1" x14ac:dyDescent="0.5">
      <c r="A19" s="184" t="s">
        <v>65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87"/>
      <c r="S19" s="187"/>
      <c r="T19" s="187"/>
      <c r="U19" s="190"/>
      <c r="V19" s="190"/>
      <c r="W19" s="4"/>
      <c r="X19" s="46"/>
      <c r="Y19" s="38"/>
      <c r="Z19" s="38"/>
      <c r="AA19" s="38"/>
      <c r="AB19" s="38"/>
      <c r="AC19" s="38"/>
      <c r="AD19" s="4"/>
      <c r="AE19" s="4"/>
      <c r="AF19" s="4"/>
      <c r="AG19" s="4"/>
      <c r="AH19" s="4"/>
      <c r="AI19" s="38" t="s">
        <v>67</v>
      </c>
      <c r="AJ19" s="50"/>
      <c r="AK19" s="50"/>
      <c r="AL19" s="50"/>
      <c r="AM19" s="50"/>
      <c r="AN19" s="50"/>
      <c r="AO19" s="50"/>
      <c r="AP19" s="50"/>
    </row>
    <row r="20" spans="1:42" s="4" customFormat="1" ht="16.5" customHeight="1" x14ac:dyDescent="0.4">
      <c r="A20" s="199" t="s">
        <v>68</v>
      </c>
      <c r="B20" s="200"/>
      <c r="C20" s="201"/>
      <c r="D20" s="201"/>
      <c r="E20" s="201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202" t="s">
        <v>33</v>
      </c>
      <c r="AJ20" s="49"/>
      <c r="AK20" s="49"/>
      <c r="AL20" s="49"/>
      <c r="AM20" s="49"/>
      <c r="AN20" s="49"/>
      <c r="AO20" s="49"/>
      <c r="AP20" s="49"/>
    </row>
    <row r="21" spans="1:42" s="4" customFormat="1" ht="16.5" customHeight="1" x14ac:dyDescent="0.4">
      <c r="A21" s="170" t="s">
        <v>69</v>
      </c>
      <c r="B21" s="200"/>
      <c r="C21" s="201"/>
      <c r="D21" s="201"/>
      <c r="E21" s="201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202" t="s">
        <v>6</v>
      </c>
    </row>
    <row r="22" spans="1:42" s="4" customFormat="1" ht="16.5" customHeight="1" x14ac:dyDescent="0.4">
      <c r="A22" s="199" t="s">
        <v>70</v>
      </c>
      <c r="B22" s="170"/>
      <c r="C22" s="10"/>
      <c r="D22" s="10"/>
      <c r="E22" s="10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</row>
    <row r="23" spans="1:42" s="4" customFormat="1" ht="16.5" customHeight="1" x14ac:dyDescent="0.4">
      <c r="A23" s="648" t="s">
        <v>117</v>
      </c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</row>
    <row r="24" spans="1:42" s="4" customFormat="1" ht="16.5" customHeight="1" x14ac:dyDescent="0.5">
      <c r="A24" s="514" t="s">
        <v>118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</sheetData>
  <mergeCells count="42">
    <mergeCell ref="AF6:AI6"/>
    <mergeCell ref="P5:V6"/>
    <mergeCell ref="A9:AI9"/>
    <mergeCell ref="A14:AI14"/>
    <mergeCell ref="G7:G8"/>
    <mergeCell ref="R7:R8"/>
    <mergeCell ref="W7:W8"/>
    <mergeCell ref="S7:S8"/>
    <mergeCell ref="T7:T8"/>
    <mergeCell ref="U8:V8"/>
    <mergeCell ref="AA7:AA8"/>
    <mergeCell ref="AH7:AH8"/>
    <mergeCell ref="A1:AI1"/>
    <mergeCell ref="A2:AI2"/>
    <mergeCell ref="A5:A8"/>
    <mergeCell ref="O5:O8"/>
    <mergeCell ref="AD5:AI5"/>
    <mergeCell ref="L7:L8"/>
    <mergeCell ref="Q7:Q8"/>
    <mergeCell ref="Z7:Z8"/>
    <mergeCell ref="AG7:AG8"/>
    <mergeCell ref="A3:AI3"/>
    <mergeCell ref="B7:B8"/>
    <mergeCell ref="C7:C8"/>
    <mergeCell ref="D7:D8"/>
    <mergeCell ref="K7:K8"/>
    <mergeCell ref="X5:AB6"/>
    <mergeCell ref="Y7:Y8"/>
    <mergeCell ref="A23:AI23"/>
    <mergeCell ref="AC7:AC8"/>
    <mergeCell ref="AD7:AD8"/>
    <mergeCell ref="AE7:AE8"/>
    <mergeCell ref="AF7:AF8"/>
    <mergeCell ref="N7:N8"/>
    <mergeCell ref="F7:F8"/>
    <mergeCell ref="P7:P8"/>
    <mergeCell ref="X7:X8"/>
    <mergeCell ref="H7:H8"/>
    <mergeCell ref="I7:I8"/>
    <mergeCell ref="J7:J8"/>
    <mergeCell ref="E7:E8"/>
    <mergeCell ref="M7:M8"/>
  </mergeCells>
  <phoneticPr fontId="19" type="noConversion"/>
  <pageMargins left="0.9055118110236221" right="0.23622047244094491" top="1.3385826771653544" bottom="0.74803149606299213" header="0.31496062992125984" footer="0.31496062992125984"/>
  <pageSetup scale="95" orientation="portrait" r:id="rId1"/>
  <headerFooter>
    <oddHeader xml:space="preserve">&amp;C&amp;"AngsanaUPC,Regular"&amp;16- 31-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5"/>
  <sheetViews>
    <sheetView view="pageLayout" topLeftCell="B1" zoomScale="120" zoomScaleNormal="79" zoomScalePageLayoutView="120" workbookViewId="0">
      <selection activeCell="CI5" sqref="CI5:CJ5"/>
    </sheetView>
  </sheetViews>
  <sheetFormatPr defaultColWidth="9.125" defaultRowHeight="31.5" customHeight="1" x14ac:dyDescent="0.5"/>
  <cols>
    <col min="1" max="1" width="1" style="15" hidden="1" customWidth="1"/>
    <col min="2" max="2" width="7.125" style="15" customWidth="1"/>
    <col min="3" max="4" width="6.625" style="15" hidden="1" customWidth="1"/>
    <col min="5" max="5" width="9.125" style="15" hidden="1" customWidth="1"/>
    <col min="6" max="6" width="7.125" style="15" hidden="1" customWidth="1"/>
    <col min="7" max="7" width="7.625" style="15" hidden="1" customWidth="1"/>
    <col min="8" max="8" width="6.75" style="15" hidden="1" customWidth="1"/>
    <col min="9" max="9" width="6.375" style="15" hidden="1" customWidth="1"/>
    <col min="10" max="10" width="7.875" style="15" hidden="1" customWidth="1"/>
    <col min="11" max="11" width="5.125" style="15" hidden="1" customWidth="1"/>
    <col min="12" max="12" width="9.125" style="15" hidden="1" customWidth="1"/>
    <col min="13" max="13" width="3.375" style="15" hidden="1" customWidth="1"/>
    <col min="14" max="14" width="8.875" style="15" hidden="1" customWidth="1"/>
    <col min="15" max="15" width="7" style="15" hidden="1" customWidth="1"/>
    <col min="16" max="16" width="5" style="15" hidden="1" customWidth="1"/>
    <col min="17" max="17" width="10" style="15" hidden="1" customWidth="1"/>
    <col min="18" max="18" width="7.125" style="15" hidden="1" customWidth="1"/>
    <col min="19" max="19" width="9.75" style="15" hidden="1" customWidth="1"/>
    <col min="20" max="20" width="7.625" style="15" hidden="1" customWidth="1"/>
    <col min="21" max="21" width="5.875" style="15" hidden="1" customWidth="1"/>
    <col min="22" max="22" width="6.75" style="15" hidden="1" customWidth="1"/>
    <col min="23" max="23" width="5.75" style="15" hidden="1" customWidth="1"/>
    <col min="24" max="24" width="5.625" style="15" hidden="1" customWidth="1"/>
    <col min="25" max="25" width="7.75" style="15" hidden="1" customWidth="1"/>
    <col min="26" max="26" width="7" style="15" hidden="1" customWidth="1"/>
    <col min="27" max="27" width="4.375" style="15" hidden="1" customWidth="1"/>
    <col min="28" max="28" width="5.625" style="15" hidden="1" customWidth="1"/>
    <col min="29" max="29" width="4.875" style="15" hidden="1" customWidth="1"/>
    <col min="30" max="30" width="1.875" style="15" hidden="1" customWidth="1"/>
    <col min="31" max="31" width="7.375" style="15" hidden="1" customWidth="1"/>
    <col min="32" max="32" width="5.125" style="15" hidden="1" customWidth="1"/>
    <col min="33" max="33" width="6.875" style="15" hidden="1" customWidth="1"/>
    <col min="34" max="34" width="8.875" style="15" hidden="1" customWidth="1"/>
    <col min="35" max="35" width="6.375" style="15" hidden="1" customWidth="1"/>
    <col min="36" max="36" width="5.125" style="15" hidden="1" customWidth="1"/>
    <col min="37" max="37" width="1" style="15" hidden="1" customWidth="1"/>
    <col min="38" max="38" width="6.125" style="15" hidden="1" customWidth="1"/>
    <col min="39" max="39" width="5.125" style="15" hidden="1" customWidth="1"/>
    <col min="40" max="40" width="7" style="15" hidden="1" customWidth="1"/>
    <col min="41" max="42" width="6.125" style="15" hidden="1" customWidth="1"/>
    <col min="43" max="43" width="7" style="15" hidden="1" customWidth="1"/>
    <col min="44" max="44" width="6.75" style="15" hidden="1" customWidth="1"/>
    <col min="45" max="45" width="7.375" style="15" hidden="1" customWidth="1"/>
    <col min="46" max="46" width="6.75" style="15" hidden="1" customWidth="1"/>
    <col min="47" max="47" width="6.625" style="15" hidden="1" customWidth="1"/>
    <col min="48" max="48" width="7.375" style="15" hidden="1" customWidth="1"/>
    <col min="49" max="49" width="6.75" style="15" hidden="1" customWidth="1"/>
    <col min="50" max="50" width="7.125" style="15" hidden="1" customWidth="1"/>
    <col min="51" max="51" width="6.125" style="15" hidden="1" customWidth="1"/>
    <col min="52" max="52" width="7.125" style="15" hidden="1" customWidth="1"/>
    <col min="53" max="53" width="7.375" style="15" hidden="1" customWidth="1"/>
    <col min="54" max="55" width="0" style="15" hidden="1" customWidth="1"/>
    <col min="56" max="56" width="5.75" style="15" hidden="1" customWidth="1"/>
    <col min="57" max="57" width="6.75" style="15" hidden="1" customWidth="1"/>
    <col min="58" max="58" width="6.375" style="15" hidden="1" customWidth="1"/>
    <col min="59" max="59" width="0" style="15" hidden="1" customWidth="1"/>
    <col min="60" max="60" width="7.375" style="15" hidden="1" customWidth="1"/>
    <col min="61" max="61" width="0" style="15" hidden="1" customWidth="1"/>
    <col min="62" max="66" width="6.625" style="15" hidden="1" customWidth="1"/>
    <col min="67" max="67" width="6" style="15" hidden="1" customWidth="1"/>
    <col min="68" max="69" width="6.375" style="15" hidden="1" customWidth="1"/>
    <col min="70" max="70" width="6" style="15" hidden="1" customWidth="1"/>
    <col min="71" max="73" width="6.375" style="15" customWidth="1"/>
    <col min="74" max="75" width="5.75" style="15" customWidth="1"/>
    <col min="76" max="76" width="6.125" style="15" customWidth="1"/>
    <col min="77" max="78" width="5.75" style="15" customWidth="1"/>
    <col min="79" max="79" width="7.125" style="15" customWidth="1"/>
    <col min="80" max="80" width="7" style="15" customWidth="1"/>
    <col min="81" max="81" width="5" style="15" customWidth="1"/>
    <col min="82" max="82" width="0" style="15" hidden="1" customWidth="1"/>
    <col min="83" max="83" width="6.875" style="15" customWidth="1"/>
    <col min="84" max="84" width="5.125" style="15" customWidth="1"/>
    <col min="85" max="85" width="7.125" style="15" customWidth="1"/>
    <col min="86" max="86" width="9.125" style="15"/>
    <col min="87" max="87" width="12" style="15" customWidth="1"/>
    <col min="88" max="88" width="11.75" style="15" customWidth="1"/>
    <col min="89" max="89" width="6" style="15" customWidth="1"/>
    <col min="90" max="16384" width="9.125" style="15"/>
  </cols>
  <sheetData>
    <row r="1" spans="2:108" ht="31.5" customHeight="1" x14ac:dyDescent="0.5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</row>
    <row r="2" spans="2:108" s="189" customFormat="1" ht="31.5" customHeight="1" x14ac:dyDescent="0.2">
      <c r="B2" s="704" t="s">
        <v>61</v>
      </c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704"/>
      <c r="BK2" s="704"/>
      <c r="BL2" s="704"/>
      <c r="BM2" s="704"/>
      <c r="BN2" s="704"/>
      <c r="BO2" s="704"/>
      <c r="BP2" s="704"/>
      <c r="BQ2" s="704"/>
      <c r="BR2" s="704"/>
      <c r="BS2" s="704"/>
      <c r="BT2" s="704"/>
      <c r="BU2" s="704"/>
      <c r="BV2" s="704"/>
      <c r="BW2" s="704"/>
      <c r="BX2" s="704"/>
      <c r="BY2" s="704"/>
      <c r="BZ2" s="704"/>
      <c r="CA2" s="704"/>
      <c r="CB2" s="704"/>
      <c r="CC2" s="704"/>
      <c r="CD2" s="704"/>
      <c r="CE2" s="704"/>
      <c r="CF2" s="704"/>
      <c r="CG2" s="704"/>
      <c r="CL2" s="694" t="s">
        <v>239</v>
      </c>
      <c r="CM2" s="694"/>
      <c r="CN2" s="694"/>
      <c r="CO2" s="694"/>
      <c r="CP2" s="694"/>
      <c r="CQ2" s="694"/>
      <c r="CR2" s="694"/>
      <c r="CS2" s="694"/>
      <c r="CT2" s="694"/>
      <c r="CU2" s="694"/>
      <c r="CV2" s="694"/>
      <c r="CW2" s="694"/>
      <c r="CX2" s="694"/>
      <c r="CY2" s="694"/>
      <c r="CZ2" s="694"/>
      <c r="DA2" s="694"/>
      <c r="DB2"/>
      <c r="DC2"/>
      <c r="DD2"/>
    </row>
    <row r="3" spans="2:108" s="189" customFormat="1" ht="31.5" customHeight="1" x14ac:dyDescent="0.2">
      <c r="B3" s="704" t="s">
        <v>321</v>
      </c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4"/>
      <c r="BI3" s="704"/>
      <c r="BJ3" s="704"/>
      <c r="BK3" s="704"/>
      <c r="BL3" s="704"/>
      <c r="BM3" s="704"/>
      <c r="BN3" s="704"/>
      <c r="BO3" s="704"/>
      <c r="BP3" s="704"/>
      <c r="BQ3" s="704"/>
      <c r="BR3" s="704"/>
      <c r="BS3" s="704"/>
      <c r="BT3" s="704"/>
      <c r="BU3" s="704"/>
      <c r="BV3" s="704"/>
      <c r="BW3" s="704"/>
      <c r="BX3" s="704"/>
      <c r="BY3" s="704"/>
      <c r="BZ3" s="704"/>
      <c r="CA3" s="704"/>
      <c r="CB3" s="704"/>
      <c r="CC3" s="704"/>
      <c r="CD3" s="704"/>
      <c r="CE3" s="704"/>
      <c r="CF3" s="704"/>
      <c r="CG3" s="704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2:108" ht="31.5" customHeight="1" x14ac:dyDescent="0.5">
      <c r="B4" s="18"/>
      <c r="D4" s="19"/>
      <c r="E4" s="19"/>
      <c r="F4" s="17"/>
      <c r="J4" s="19"/>
      <c r="K4" s="20"/>
      <c r="L4" s="21"/>
      <c r="M4" s="21"/>
      <c r="N4" s="21"/>
      <c r="O4" s="21"/>
      <c r="P4" s="21"/>
      <c r="Q4" s="21"/>
      <c r="R4" s="21"/>
      <c r="S4" s="21"/>
      <c r="T4" s="21"/>
      <c r="AA4" s="2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G4" s="182" t="s">
        <v>43</v>
      </c>
      <c r="CL4" s="695" t="s">
        <v>8</v>
      </c>
      <c r="CM4" s="695"/>
      <c r="CN4" s="695"/>
      <c r="CO4" s="695"/>
      <c r="CP4" s="695"/>
      <c r="CQ4" s="695"/>
      <c r="CR4" s="695"/>
      <c r="CS4" s="695"/>
      <c r="CT4" s="695"/>
      <c r="CU4" s="695"/>
      <c r="CV4" s="695"/>
      <c r="CW4" s="695"/>
      <c r="CX4" s="695"/>
      <c r="CY4" s="695"/>
      <c r="CZ4" s="695"/>
      <c r="DA4" s="695"/>
      <c r="DB4" s="695"/>
      <c r="DC4" s="695" t="s">
        <v>240</v>
      </c>
      <c r="DD4" s="695"/>
    </row>
    <row r="5" spans="2:108" ht="31.5" customHeight="1" x14ac:dyDescent="0.55000000000000004">
      <c r="B5" s="705" t="s">
        <v>10</v>
      </c>
      <c r="C5" s="697">
        <v>2547</v>
      </c>
      <c r="D5" s="698"/>
      <c r="E5" s="699"/>
      <c r="F5" s="33"/>
      <c r="G5" s="697">
        <v>2548</v>
      </c>
      <c r="H5" s="698"/>
      <c r="I5" s="698"/>
      <c r="J5" s="698"/>
      <c r="K5" s="698"/>
      <c r="L5" s="699"/>
      <c r="M5" s="40"/>
      <c r="N5" s="697">
        <v>2549</v>
      </c>
      <c r="O5" s="698"/>
      <c r="P5" s="698"/>
      <c r="Q5" s="698"/>
      <c r="R5" s="698"/>
      <c r="S5" s="699"/>
      <c r="T5" s="40"/>
      <c r="U5" s="697">
        <v>2550</v>
      </c>
      <c r="V5" s="698"/>
      <c r="W5" s="698"/>
      <c r="X5" s="698"/>
      <c r="Y5" s="698"/>
      <c r="Z5" s="700"/>
      <c r="AA5" s="40"/>
      <c r="AB5" s="701">
        <v>2551</v>
      </c>
      <c r="AC5" s="702"/>
      <c r="AD5" s="702"/>
      <c r="AE5" s="702"/>
      <c r="AF5" s="702"/>
      <c r="AG5" s="703"/>
      <c r="AH5" s="52"/>
      <c r="AI5" s="691">
        <v>2552</v>
      </c>
      <c r="AJ5" s="691"/>
      <c r="AK5" s="691"/>
      <c r="AL5" s="691"/>
      <c r="AM5" s="691"/>
      <c r="AN5" s="692"/>
      <c r="AO5" s="690">
        <v>2553</v>
      </c>
      <c r="AP5" s="691"/>
      <c r="AQ5" s="692"/>
      <c r="AR5" s="690">
        <v>2554</v>
      </c>
      <c r="AS5" s="691"/>
      <c r="AT5" s="692"/>
      <c r="AU5" s="693">
        <v>2555</v>
      </c>
      <c r="AV5" s="693"/>
      <c r="AW5" s="693"/>
      <c r="AX5" s="693"/>
      <c r="AY5" s="687">
        <v>2556</v>
      </c>
      <c r="AZ5" s="688"/>
      <c r="BA5" s="688"/>
      <c r="BB5" s="688"/>
      <c r="BC5" s="688"/>
      <c r="BD5" s="689"/>
      <c r="BE5" s="687">
        <v>2557</v>
      </c>
      <c r="BF5" s="688"/>
      <c r="BG5" s="688"/>
      <c r="BH5" s="688"/>
      <c r="BI5" s="688"/>
      <c r="BJ5" s="689"/>
      <c r="BK5" s="687">
        <v>2558</v>
      </c>
      <c r="BL5" s="688"/>
      <c r="BM5" s="688"/>
      <c r="BN5" s="689"/>
      <c r="BO5" s="687">
        <v>2559</v>
      </c>
      <c r="BP5" s="688"/>
      <c r="BQ5" s="688"/>
      <c r="BR5" s="689"/>
      <c r="BS5" s="687">
        <v>2560</v>
      </c>
      <c r="BT5" s="688"/>
      <c r="BU5" s="688"/>
      <c r="BV5" s="689"/>
      <c r="BW5" s="687">
        <v>2561</v>
      </c>
      <c r="BX5" s="688"/>
      <c r="BY5" s="688"/>
      <c r="BZ5" s="689"/>
      <c r="CA5" s="687" t="s">
        <v>324</v>
      </c>
      <c r="CB5" s="688"/>
      <c r="CC5" s="688"/>
      <c r="CD5" s="688"/>
      <c r="CE5" s="688"/>
      <c r="CF5" s="688"/>
      <c r="CG5" s="689"/>
      <c r="CI5" s="696" t="s">
        <v>325</v>
      </c>
      <c r="CJ5" s="696"/>
      <c r="CL5" s="695" t="s">
        <v>10</v>
      </c>
      <c r="CM5" s="695">
        <v>2560</v>
      </c>
      <c r="CN5" s="695"/>
      <c r="CO5" s="695"/>
      <c r="CP5" s="695"/>
      <c r="CQ5" s="695">
        <v>2561</v>
      </c>
      <c r="CR5" s="695"/>
      <c r="CS5" s="695"/>
      <c r="CT5" s="695"/>
      <c r="CU5" s="695" t="s">
        <v>241</v>
      </c>
      <c r="CV5" s="695"/>
      <c r="CW5" s="695"/>
      <c r="CX5" s="695"/>
      <c r="CY5" s="695"/>
      <c r="CZ5" s="695"/>
      <c r="DA5" s="695"/>
      <c r="DB5" s="695"/>
      <c r="DC5" s="695" t="s">
        <v>1</v>
      </c>
      <c r="DD5" s="695" t="s">
        <v>2</v>
      </c>
    </row>
    <row r="6" spans="2:108" ht="31.5" customHeight="1" x14ac:dyDescent="0.55000000000000004">
      <c r="B6" s="706"/>
      <c r="C6" s="34" t="s">
        <v>1</v>
      </c>
      <c r="D6" s="34" t="s">
        <v>2</v>
      </c>
      <c r="E6" s="34" t="s">
        <v>3</v>
      </c>
      <c r="F6" s="34">
        <v>47</v>
      </c>
      <c r="G6" s="34" t="s">
        <v>1</v>
      </c>
      <c r="H6" s="35" t="s">
        <v>11</v>
      </c>
      <c r="I6" s="34">
        <v>47</v>
      </c>
      <c r="J6" s="34" t="s">
        <v>2</v>
      </c>
      <c r="K6" s="35" t="s">
        <v>11</v>
      </c>
      <c r="L6" s="34" t="s">
        <v>3</v>
      </c>
      <c r="M6" s="34">
        <v>48</v>
      </c>
      <c r="N6" s="34" t="s">
        <v>1</v>
      </c>
      <c r="O6" s="34" t="s">
        <v>12</v>
      </c>
      <c r="P6" s="34">
        <v>48</v>
      </c>
      <c r="Q6" s="34" t="s">
        <v>2</v>
      </c>
      <c r="R6" s="35" t="s">
        <v>11</v>
      </c>
      <c r="S6" s="34" t="s">
        <v>3</v>
      </c>
      <c r="T6" s="34">
        <v>49</v>
      </c>
      <c r="U6" s="34" t="s">
        <v>1</v>
      </c>
      <c r="V6" s="34" t="s">
        <v>12</v>
      </c>
      <c r="W6" s="34">
        <v>49</v>
      </c>
      <c r="X6" s="34" t="s">
        <v>2</v>
      </c>
      <c r="Y6" s="34" t="s">
        <v>12</v>
      </c>
      <c r="Z6" s="36" t="s">
        <v>3</v>
      </c>
      <c r="AA6" s="34">
        <v>50</v>
      </c>
      <c r="AB6" s="34" t="s">
        <v>1</v>
      </c>
      <c r="AC6" s="35" t="s">
        <v>12</v>
      </c>
      <c r="AD6" s="34">
        <v>50</v>
      </c>
      <c r="AE6" s="34" t="s">
        <v>2</v>
      </c>
      <c r="AF6" s="35" t="s">
        <v>12</v>
      </c>
      <c r="AG6" s="36" t="s">
        <v>3</v>
      </c>
      <c r="AH6" s="34">
        <v>51</v>
      </c>
      <c r="AI6" s="34" t="s">
        <v>1</v>
      </c>
      <c r="AJ6" s="35" t="s">
        <v>12</v>
      </c>
      <c r="AK6" s="34">
        <v>51</v>
      </c>
      <c r="AL6" s="34" t="s">
        <v>2</v>
      </c>
      <c r="AM6" s="35" t="s">
        <v>12</v>
      </c>
      <c r="AN6" s="36" t="s">
        <v>3</v>
      </c>
      <c r="AO6" s="53" t="s">
        <v>1</v>
      </c>
      <c r="AP6" s="53" t="s">
        <v>2</v>
      </c>
      <c r="AQ6" s="54" t="s">
        <v>3</v>
      </c>
      <c r="AR6" s="53" t="s">
        <v>1</v>
      </c>
      <c r="AS6" s="53" t="s">
        <v>2</v>
      </c>
      <c r="AT6" s="54" t="s">
        <v>3</v>
      </c>
      <c r="AU6" s="53" t="s">
        <v>1</v>
      </c>
      <c r="AV6" s="55" t="s">
        <v>12</v>
      </c>
      <c r="AW6" s="53" t="s">
        <v>2</v>
      </c>
      <c r="AX6" s="54" t="s">
        <v>3</v>
      </c>
      <c r="AY6" s="53" t="s">
        <v>5</v>
      </c>
      <c r="AZ6" s="53" t="s">
        <v>1</v>
      </c>
      <c r="BA6" s="55" t="s">
        <v>12</v>
      </c>
      <c r="BB6" s="53" t="s">
        <v>2</v>
      </c>
      <c r="BC6" s="55" t="s">
        <v>12</v>
      </c>
      <c r="BD6" s="56" t="s">
        <v>3</v>
      </c>
      <c r="BE6" s="53" t="s">
        <v>5</v>
      </c>
      <c r="BF6" s="53" t="s">
        <v>1</v>
      </c>
      <c r="BG6" s="55" t="s">
        <v>12</v>
      </c>
      <c r="BH6" s="53" t="s">
        <v>2</v>
      </c>
      <c r="BI6" s="55" t="s">
        <v>12</v>
      </c>
      <c r="BJ6" s="56" t="s">
        <v>3</v>
      </c>
      <c r="BK6" s="53" t="s">
        <v>5</v>
      </c>
      <c r="BL6" s="53" t="s">
        <v>1</v>
      </c>
      <c r="BM6" s="53" t="s">
        <v>2</v>
      </c>
      <c r="BN6" s="56" t="s">
        <v>3</v>
      </c>
      <c r="BO6" s="212" t="s">
        <v>5</v>
      </c>
      <c r="BP6" s="216" t="s">
        <v>1</v>
      </c>
      <c r="BQ6" s="216" t="s">
        <v>2</v>
      </c>
      <c r="BR6" s="214" t="s">
        <v>3</v>
      </c>
      <c r="BS6" s="212" t="s">
        <v>5</v>
      </c>
      <c r="BT6" s="216" t="s">
        <v>1</v>
      </c>
      <c r="BU6" s="216" t="s">
        <v>2</v>
      </c>
      <c r="BV6" s="419" t="s">
        <v>3</v>
      </c>
      <c r="BW6" s="212" t="s">
        <v>5</v>
      </c>
      <c r="BX6" s="216" t="s">
        <v>1</v>
      </c>
      <c r="BY6" s="216" t="s">
        <v>2</v>
      </c>
      <c r="BZ6" s="214" t="s">
        <v>3</v>
      </c>
      <c r="CA6" s="212" t="s">
        <v>5</v>
      </c>
      <c r="CB6" s="216" t="s">
        <v>1</v>
      </c>
      <c r="CC6" s="219" t="s">
        <v>59</v>
      </c>
      <c r="CD6" s="216">
        <v>52</v>
      </c>
      <c r="CE6" s="216" t="s">
        <v>2</v>
      </c>
      <c r="CF6" s="219" t="s">
        <v>59</v>
      </c>
      <c r="CG6" s="214" t="s">
        <v>3</v>
      </c>
      <c r="CI6" s="88" t="s">
        <v>1</v>
      </c>
      <c r="CJ6" s="88" t="s">
        <v>2</v>
      </c>
      <c r="CL6" s="695"/>
      <c r="CM6" s="695" t="s">
        <v>9</v>
      </c>
      <c r="CN6" s="695" t="s">
        <v>1</v>
      </c>
      <c r="CO6" s="695" t="s">
        <v>2</v>
      </c>
      <c r="CP6" s="695" t="s">
        <v>3</v>
      </c>
      <c r="CQ6" s="695" t="s">
        <v>9</v>
      </c>
      <c r="CR6" s="695" t="s">
        <v>1</v>
      </c>
      <c r="CS6" s="695" t="s">
        <v>2</v>
      </c>
      <c r="CT6" s="695" t="s">
        <v>3</v>
      </c>
      <c r="CU6" s="695">
        <v>2561</v>
      </c>
      <c r="CV6" s="695"/>
      <c r="CW6" s="695"/>
      <c r="CX6" s="695"/>
      <c r="CY6" s="695">
        <v>2562</v>
      </c>
      <c r="CZ6" s="695"/>
      <c r="DA6" s="695"/>
      <c r="DB6" s="695"/>
      <c r="DC6" s="695"/>
      <c r="DD6" s="695"/>
    </row>
    <row r="7" spans="2:108" ht="31.5" customHeight="1" x14ac:dyDescent="0.5">
      <c r="B7" s="290" t="s">
        <v>13</v>
      </c>
      <c r="C7" s="291">
        <v>1595.99</v>
      </c>
      <c r="D7" s="292">
        <v>74.959999999999994</v>
      </c>
      <c r="E7" s="293">
        <f t="shared" ref="E7:E18" si="0">C7-D7</f>
        <v>1521.03</v>
      </c>
      <c r="F7" s="294">
        <v>1595.99</v>
      </c>
      <c r="G7" s="295">
        <v>1918.04</v>
      </c>
      <c r="H7" s="296">
        <f t="shared" ref="H7:H18" si="1">(G7-F7)*100/F7</f>
        <v>20.17869786151542</v>
      </c>
      <c r="I7" s="295">
        <v>74.959999999999994</v>
      </c>
      <c r="J7" s="295">
        <v>53.89</v>
      </c>
      <c r="K7" s="296">
        <f t="shared" ref="K7:K18" si="2">(J7-I7)*100/I7</f>
        <v>-28.108324439701164</v>
      </c>
      <c r="L7" s="297">
        <f t="shared" ref="L7:L18" si="3">G7-J7</f>
        <v>1864.1499999999999</v>
      </c>
      <c r="M7" s="295">
        <v>1918.04</v>
      </c>
      <c r="N7" s="298">
        <v>2510.23</v>
      </c>
      <c r="O7" s="296">
        <f t="shared" ref="O7:O18" si="4">(N7-M7)*100/M7</f>
        <v>30.874747137703075</v>
      </c>
      <c r="P7" s="298">
        <v>53.89</v>
      </c>
      <c r="Q7" s="298">
        <v>69.91</v>
      </c>
      <c r="R7" s="296">
        <f t="shared" ref="R7:R17" si="5">(Q7-P7)*100/P7</f>
        <v>29.727222119131557</v>
      </c>
      <c r="S7" s="296">
        <f t="shared" ref="S7:S17" si="6">N7-Q7</f>
        <v>2440.3200000000002</v>
      </c>
      <c r="T7" s="298">
        <v>2510.23</v>
      </c>
      <c r="U7" s="299">
        <v>2318.42</v>
      </c>
      <c r="V7" s="300">
        <f t="shared" ref="V7:V16" si="7">(U7-T7)*100/T7</f>
        <v>-7.6411324858678258</v>
      </c>
      <c r="W7" s="301">
        <v>69.91</v>
      </c>
      <c r="X7" s="302">
        <v>77.7</v>
      </c>
      <c r="Y7" s="300">
        <f t="shared" ref="Y7:Y16" si="8">(X7-W7)*100/W7</f>
        <v>11.142898011729377</v>
      </c>
      <c r="Z7" s="300">
        <f t="shared" ref="Z7:Z18" si="9">U7-X7</f>
        <v>2240.7200000000003</v>
      </c>
      <c r="AA7" s="299">
        <v>2318.42</v>
      </c>
      <c r="AB7" s="299">
        <v>3918.03</v>
      </c>
      <c r="AC7" s="300">
        <f t="shared" ref="AC7:AC18" si="10">(AB7-AA7)*100/AA7</f>
        <v>68.99569534424306</v>
      </c>
      <c r="AD7" s="302">
        <v>77.7</v>
      </c>
      <c r="AE7" s="302">
        <v>235.76</v>
      </c>
      <c r="AF7" s="303">
        <f t="shared" ref="AF7:AF18" si="11">(AE7-AD7)*100/AD7</f>
        <v>203.42342342342343</v>
      </c>
      <c r="AG7" s="303">
        <f t="shared" ref="AG7:AG18" si="12">AB7-AE7</f>
        <v>3682.2700000000004</v>
      </c>
      <c r="AH7" s="299">
        <v>3918.03</v>
      </c>
      <c r="AI7" s="57">
        <v>2934.53</v>
      </c>
      <c r="AJ7" s="57">
        <v>-25.101900700096731</v>
      </c>
      <c r="AK7" s="57">
        <v>235.76</v>
      </c>
      <c r="AL7" s="57">
        <v>127.17</v>
      </c>
      <c r="AM7" s="57">
        <v>-46.059552086868003</v>
      </c>
      <c r="AN7" s="57">
        <f>+AI7-AL7</f>
        <v>2807.36</v>
      </c>
      <c r="AO7" s="57">
        <v>4141.32</v>
      </c>
      <c r="AP7" s="58">
        <v>285.29000000000002</v>
      </c>
      <c r="AQ7" s="59">
        <f>AO7-AP7</f>
        <v>3856.0299999999997</v>
      </c>
      <c r="AR7" s="57">
        <v>4560.41</v>
      </c>
      <c r="AS7" s="58">
        <v>705.86</v>
      </c>
      <c r="AT7" s="59">
        <f t="shared" ref="AT7:AT18" si="13">AR7-AS7</f>
        <v>3854.5499999999997</v>
      </c>
      <c r="AU7" s="60">
        <v>5202.1099999999997</v>
      </c>
      <c r="AV7" s="61">
        <f t="shared" ref="AV7:AV19" si="14">(AU7-CC7)*100/CC7</f>
        <v>19825.319469712584</v>
      </c>
      <c r="AW7" s="61">
        <v>852.58</v>
      </c>
      <c r="AX7" s="62">
        <f t="shared" ref="AX7:AX18" si="15">+AU7-AW7</f>
        <v>4349.53</v>
      </c>
      <c r="AY7" s="63">
        <f>SUM(AZ7+BB7)</f>
        <v>8844.58</v>
      </c>
      <c r="AZ7" s="64">
        <v>7724.38</v>
      </c>
      <c r="BA7" s="65">
        <f t="shared" ref="BA7:BA19" si="16">(AZ7-CC7)*100/CC7</f>
        <v>29486.213902716114</v>
      </c>
      <c r="BB7" s="65">
        <v>1120.2</v>
      </c>
      <c r="BC7" s="65">
        <f t="shared" ref="BC7:BC19" si="17">(BB7-CD7)*100/CD7</f>
        <v>780.86812927577273</v>
      </c>
      <c r="BD7" s="63">
        <f>+AZ7-BB7+0.01</f>
        <v>6604.1900000000005</v>
      </c>
      <c r="BE7" s="63">
        <f>SUM(BF7+BH7)</f>
        <v>9375.56</v>
      </c>
      <c r="BF7" s="64">
        <v>7928.46</v>
      </c>
      <c r="BG7" s="65">
        <f>(BF7-AZ7)*100/AZ7</f>
        <v>2.6420243437013706</v>
      </c>
      <c r="BH7" s="65">
        <v>1447.1</v>
      </c>
      <c r="BI7" s="65">
        <f>(BH7-BB7)*100/BB7</f>
        <v>29.182288876986238</v>
      </c>
      <c r="BJ7" s="63">
        <f>+BF7-BH7</f>
        <v>6481.3600000000006</v>
      </c>
      <c r="BK7" s="177">
        <f>SUM(BL7+BM7)-0.01</f>
        <v>11958.663700000001</v>
      </c>
      <c r="BL7" s="178">
        <v>8775.2697000000007</v>
      </c>
      <c r="BM7" s="178">
        <v>3183.404</v>
      </c>
      <c r="BN7" s="63">
        <f>+BL7-BM7</f>
        <v>5591.8657000000003</v>
      </c>
      <c r="BO7" s="304">
        <f>SUM(BP7+BQ7)-0.01</f>
        <v>11491.15</v>
      </c>
      <c r="BP7" s="305">
        <v>8788.7000000000007</v>
      </c>
      <c r="BQ7" s="306">
        <v>2702.46</v>
      </c>
      <c r="BR7" s="307">
        <f>+BP7-BQ7</f>
        <v>6086.2400000000007</v>
      </c>
      <c r="BS7" s="414">
        <f>SUM(BT7+BU7)</f>
        <v>10701.507600000001</v>
      </c>
      <c r="BT7" s="415">
        <v>8110.5590000000002</v>
      </c>
      <c r="BU7" s="415">
        <v>2590.9486000000002</v>
      </c>
      <c r="BV7" s="420">
        <f>BT7-BU7</f>
        <v>5519.6103999999996</v>
      </c>
      <c r="BW7" s="421">
        <f>BX7+BY7</f>
        <v>12460.509399999999</v>
      </c>
      <c r="BX7" s="415">
        <v>9213.1510999999991</v>
      </c>
      <c r="BY7" s="415">
        <v>3247.3582999999999</v>
      </c>
      <c r="BZ7" s="417">
        <f>BX7-BY7</f>
        <v>5965.7927999999993</v>
      </c>
      <c r="CA7" s="499">
        <f t="shared" ref="CA7:CA14" si="18">SUM(CB7+CE7)</f>
        <v>14445.3778</v>
      </c>
      <c r="CB7" s="415">
        <v>11618.524100000001</v>
      </c>
      <c r="CC7" s="406">
        <f t="shared" ref="CC7:CC14" si="19">(CB7-CI7)*100/CI7</f>
        <v>26.108038106527978</v>
      </c>
      <c r="CD7" s="411">
        <v>127.17</v>
      </c>
      <c r="CE7" s="415">
        <v>2826.8537000000001</v>
      </c>
      <c r="CF7" s="406">
        <f t="shared" ref="CF7:CF14" si="20">(CE7-CJ7)*100/CJ7</f>
        <v>-12.949128527024559</v>
      </c>
      <c r="CG7" s="416">
        <f t="shared" ref="CG7:CG14" si="21">+CB7-CE7</f>
        <v>8791.6704000000009</v>
      </c>
      <c r="CI7" s="409">
        <v>9213.1510999999991</v>
      </c>
      <c r="CJ7" s="409">
        <v>3247.3582999999999</v>
      </c>
      <c r="CL7" s="695"/>
      <c r="CM7" s="695"/>
      <c r="CN7" s="695"/>
      <c r="CO7" s="695"/>
      <c r="CP7" s="695"/>
      <c r="CQ7" s="695"/>
      <c r="CR7" s="695"/>
      <c r="CS7" s="695"/>
      <c r="CT7" s="695"/>
      <c r="CU7" s="617" t="s">
        <v>9</v>
      </c>
      <c r="CV7" s="617" t="s">
        <v>1</v>
      </c>
      <c r="CW7" s="617" t="s">
        <v>2</v>
      </c>
      <c r="CX7" s="617" t="s">
        <v>3</v>
      </c>
      <c r="CY7" s="617" t="s">
        <v>9</v>
      </c>
      <c r="CZ7" s="617" t="s">
        <v>1</v>
      </c>
      <c r="DA7" s="617" t="s">
        <v>2</v>
      </c>
      <c r="DB7" s="617" t="s">
        <v>3</v>
      </c>
      <c r="DC7" s="695"/>
      <c r="DD7" s="695"/>
    </row>
    <row r="8" spans="2:108" ht="31.5" customHeight="1" x14ac:dyDescent="0.5">
      <c r="B8" s="308" t="s">
        <v>14</v>
      </c>
      <c r="C8" s="291">
        <v>1698.39</v>
      </c>
      <c r="D8" s="292">
        <v>68.83</v>
      </c>
      <c r="E8" s="293">
        <f t="shared" si="0"/>
        <v>1629.5600000000002</v>
      </c>
      <c r="F8" s="294">
        <v>1698.39</v>
      </c>
      <c r="G8" s="295">
        <v>1797.79</v>
      </c>
      <c r="H8" s="296">
        <f t="shared" si="1"/>
        <v>5.8526015814977628</v>
      </c>
      <c r="I8" s="295">
        <v>68.83</v>
      </c>
      <c r="J8" s="295">
        <v>56.17</v>
      </c>
      <c r="K8" s="296">
        <f t="shared" si="2"/>
        <v>-18.393142525061741</v>
      </c>
      <c r="L8" s="297">
        <f t="shared" si="3"/>
        <v>1741.62</v>
      </c>
      <c r="M8" s="295">
        <v>1797.79</v>
      </c>
      <c r="N8" s="298">
        <v>2749.33</v>
      </c>
      <c r="O8" s="296">
        <f t="shared" si="4"/>
        <v>52.928317545430779</v>
      </c>
      <c r="P8" s="298">
        <v>56.17</v>
      </c>
      <c r="Q8" s="298">
        <v>67.62</v>
      </c>
      <c r="R8" s="296">
        <f t="shared" si="5"/>
        <v>20.384546911162545</v>
      </c>
      <c r="S8" s="296">
        <f t="shared" si="6"/>
        <v>2681.71</v>
      </c>
      <c r="T8" s="298">
        <v>2749.33</v>
      </c>
      <c r="U8" s="299">
        <v>2542.91</v>
      </c>
      <c r="V8" s="300">
        <f t="shared" si="7"/>
        <v>-7.5080110426904039</v>
      </c>
      <c r="W8" s="301">
        <v>67.62</v>
      </c>
      <c r="X8" s="302">
        <v>80.13</v>
      </c>
      <c r="Y8" s="300">
        <f t="shared" si="8"/>
        <v>18.500443655723146</v>
      </c>
      <c r="Z8" s="300">
        <f t="shared" si="9"/>
        <v>2462.7799999999997</v>
      </c>
      <c r="AA8" s="299">
        <v>2542.91</v>
      </c>
      <c r="AB8" s="299">
        <v>3221.9</v>
      </c>
      <c r="AC8" s="300">
        <f t="shared" si="10"/>
        <v>26.701298905584562</v>
      </c>
      <c r="AD8" s="302">
        <v>80.13</v>
      </c>
      <c r="AE8" s="302">
        <v>171.72</v>
      </c>
      <c r="AF8" s="303">
        <f t="shared" si="11"/>
        <v>114.30175964058405</v>
      </c>
      <c r="AG8" s="303">
        <f t="shared" si="12"/>
        <v>3050.1800000000003</v>
      </c>
      <c r="AH8" s="299">
        <v>3221.9</v>
      </c>
      <c r="AI8" s="57">
        <v>3641.09</v>
      </c>
      <c r="AJ8" s="57">
        <v>13.010645892175427</v>
      </c>
      <c r="AK8" s="57">
        <v>171.72</v>
      </c>
      <c r="AL8" s="57">
        <v>126.15</v>
      </c>
      <c r="AM8" s="57">
        <v>-26.537386443046817</v>
      </c>
      <c r="AN8" s="57">
        <f>+AI8-AL8-0.01</f>
        <v>3514.93</v>
      </c>
      <c r="AO8" s="57">
        <v>3980.09</v>
      </c>
      <c r="AP8" s="58">
        <v>207.38</v>
      </c>
      <c r="AQ8" s="59">
        <f t="shared" ref="AQ8:AQ18" si="22">AO8-AP8</f>
        <v>3772.71</v>
      </c>
      <c r="AR8" s="57">
        <v>4435.04</v>
      </c>
      <c r="AS8" s="58">
        <v>436.12</v>
      </c>
      <c r="AT8" s="59">
        <f t="shared" si="13"/>
        <v>3998.92</v>
      </c>
      <c r="AU8" s="60">
        <v>6289.31</v>
      </c>
      <c r="AV8" s="61">
        <f t="shared" si="14"/>
        <v>35728.399314880109</v>
      </c>
      <c r="AW8" s="61">
        <v>950.69</v>
      </c>
      <c r="AX8" s="62">
        <f t="shared" si="15"/>
        <v>5338.6200000000008</v>
      </c>
      <c r="AY8" s="63">
        <f t="shared" ref="AY8:AY19" si="23">SUM(AZ8+BB8)</f>
        <v>6718.93</v>
      </c>
      <c r="AZ8" s="64">
        <v>5795.79</v>
      </c>
      <c r="BA8" s="65">
        <f t="shared" si="16"/>
        <v>32916.95710104749</v>
      </c>
      <c r="BB8" s="65">
        <v>923.14</v>
      </c>
      <c r="BC8" s="65" t="e">
        <f t="shared" si="17"/>
        <v>#DIV/0!</v>
      </c>
      <c r="BD8" s="63">
        <f>AZ8-BB8</f>
        <v>4872.6499999999996</v>
      </c>
      <c r="BE8" s="63">
        <f t="shared" ref="BE8:BE19" si="24">SUM(BF8+BH8)</f>
        <v>9021.4599999999991</v>
      </c>
      <c r="BF8" s="64">
        <v>7507.86</v>
      </c>
      <c r="BG8" s="65">
        <f t="shared" ref="BG8:BG19" si="25">(BF8-AZ8)*100/AZ8</f>
        <v>29.539890161651815</v>
      </c>
      <c r="BH8" s="65">
        <v>1513.6</v>
      </c>
      <c r="BI8" s="65">
        <f t="shared" ref="BI8:BI19" si="26">(BH8-BB8)*100/BB8</f>
        <v>63.962129254500937</v>
      </c>
      <c r="BJ8" s="63">
        <f t="shared" ref="BJ8:BJ18" si="27">+BF8-BH8</f>
        <v>5994.26</v>
      </c>
      <c r="BK8" s="177">
        <f>SUM(BL8+BM8)</f>
        <v>11267.071400000001</v>
      </c>
      <c r="BL8" s="178">
        <v>8522.8574000000008</v>
      </c>
      <c r="BM8" s="178">
        <v>2744.2139999999999</v>
      </c>
      <c r="BN8" s="63">
        <f>+BL8-BM8+0.01</f>
        <v>5778.6534000000011</v>
      </c>
      <c r="BO8" s="304">
        <f t="shared" ref="BO8:BO18" si="28">SUM(BP8+BQ8)-0.01</f>
        <v>11891.68</v>
      </c>
      <c r="BP8" s="305">
        <v>8884.2000000000007</v>
      </c>
      <c r="BQ8" s="306">
        <v>3007.49</v>
      </c>
      <c r="BR8" s="307">
        <f>+BP8-BQ8+0.01</f>
        <v>5876.7200000000012</v>
      </c>
      <c r="BS8" s="414">
        <f t="shared" ref="BS8:BS18" si="29">SUM(BT8+BU8)</f>
        <v>11537.9946</v>
      </c>
      <c r="BT8" s="415">
        <v>8122.2145</v>
      </c>
      <c r="BU8" s="415">
        <v>3415.7800999999999</v>
      </c>
      <c r="BV8" s="420">
        <f t="shared" ref="BV8:BV18" si="30">BT8-BU8</f>
        <v>4706.4344000000001</v>
      </c>
      <c r="BW8" s="421">
        <f t="shared" ref="BW8:BW18" si="31">BX8+BY8</f>
        <v>11872.287899999999</v>
      </c>
      <c r="BX8" s="415">
        <v>8950.2500999999993</v>
      </c>
      <c r="BY8" s="415">
        <v>2922.0378000000001</v>
      </c>
      <c r="BZ8" s="417">
        <f t="shared" ref="BZ8:BZ18" si="32">BX8-BY8</f>
        <v>6028.2122999999992</v>
      </c>
      <c r="CA8" s="499">
        <f t="shared" si="18"/>
        <v>12831.12</v>
      </c>
      <c r="CB8" s="415">
        <v>10521.3752</v>
      </c>
      <c r="CC8" s="406">
        <f t="shared" si="19"/>
        <v>17.553979860294646</v>
      </c>
      <c r="CD8" s="411"/>
      <c r="CE8" s="415">
        <v>2309.7447999999999</v>
      </c>
      <c r="CF8" s="406">
        <f t="shared" si="20"/>
        <v>-20.954314827823243</v>
      </c>
      <c r="CG8" s="416">
        <f t="shared" si="21"/>
        <v>8211.6304</v>
      </c>
      <c r="CI8" s="409">
        <v>8950.2500999999993</v>
      </c>
      <c r="CJ8" s="409">
        <v>2922.0378000000001</v>
      </c>
      <c r="CL8" s="549" t="s">
        <v>13</v>
      </c>
      <c r="CM8" s="409">
        <v>10701.507600000001</v>
      </c>
      <c r="CN8" s="409">
        <v>8110.5590000000002</v>
      </c>
      <c r="CO8" s="409">
        <v>2590.9486000000002</v>
      </c>
      <c r="CP8" s="409">
        <v>5519.6103000000003</v>
      </c>
      <c r="CQ8" s="409">
        <v>12460.5095</v>
      </c>
      <c r="CR8" s="409">
        <v>9213.1510999999991</v>
      </c>
      <c r="CS8" s="409">
        <v>3247.3582999999999</v>
      </c>
      <c r="CT8" s="409">
        <v>5965.7927</v>
      </c>
      <c r="CU8" s="409">
        <v>12460.5095</v>
      </c>
      <c r="CV8" s="409">
        <v>9213.1510999999991</v>
      </c>
      <c r="CW8" s="409">
        <v>3247.3582999999999</v>
      </c>
      <c r="CX8" s="409">
        <v>5965.7927</v>
      </c>
      <c r="CY8" s="409">
        <v>14445.377899999999</v>
      </c>
      <c r="CZ8" s="409">
        <v>11618.524100000001</v>
      </c>
      <c r="DA8" s="409">
        <v>2826.8537000000001</v>
      </c>
      <c r="DB8" s="409">
        <v>8791.6702999999998</v>
      </c>
      <c r="DC8" s="550" t="s">
        <v>215</v>
      </c>
      <c r="DD8" s="550" t="s">
        <v>216</v>
      </c>
    </row>
    <row r="9" spans="2:108" ht="31.5" customHeight="1" x14ac:dyDescent="0.5">
      <c r="B9" s="309" t="s">
        <v>15</v>
      </c>
      <c r="C9" s="291">
        <v>2029.26</v>
      </c>
      <c r="D9" s="292">
        <v>78.73</v>
      </c>
      <c r="E9" s="293">
        <f t="shared" si="0"/>
        <v>1950.53</v>
      </c>
      <c r="F9" s="294">
        <v>2029.26</v>
      </c>
      <c r="G9" s="295">
        <v>2394.4699999999998</v>
      </c>
      <c r="H9" s="297">
        <f t="shared" si="1"/>
        <v>17.997200950100027</v>
      </c>
      <c r="I9" s="295">
        <v>78.73</v>
      </c>
      <c r="J9" s="295">
        <v>99.84</v>
      </c>
      <c r="K9" s="296">
        <f t="shared" si="2"/>
        <v>26.813158897497775</v>
      </c>
      <c r="L9" s="297">
        <f t="shared" si="3"/>
        <v>2294.6299999999997</v>
      </c>
      <c r="M9" s="295">
        <v>2394.4699999999998</v>
      </c>
      <c r="N9" s="298">
        <v>3152.99</v>
      </c>
      <c r="O9" s="296">
        <f t="shared" si="4"/>
        <v>31.677991371785826</v>
      </c>
      <c r="P9" s="298">
        <v>99.84</v>
      </c>
      <c r="Q9" s="298">
        <v>95.25</v>
      </c>
      <c r="R9" s="296">
        <f t="shared" si="5"/>
        <v>-4.5973557692307727</v>
      </c>
      <c r="S9" s="296">
        <f t="shared" si="6"/>
        <v>3057.74</v>
      </c>
      <c r="T9" s="298">
        <v>3152.99</v>
      </c>
      <c r="U9" s="299">
        <v>2967.21</v>
      </c>
      <c r="V9" s="300">
        <f t="shared" si="7"/>
        <v>-5.8921848784804185</v>
      </c>
      <c r="W9" s="301">
        <v>95.25</v>
      </c>
      <c r="X9" s="302">
        <v>105.3</v>
      </c>
      <c r="Y9" s="300">
        <f t="shared" si="8"/>
        <v>10.551181102362202</v>
      </c>
      <c r="Z9" s="300">
        <f t="shared" si="9"/>
        <v>2861.91</v>
      </c>
      <c r="AA9" s="299">
        <v>2967.21</v>
      </c>
      <c r="AB9" s="299">
        <v>4702.3</v>
      </c>
      <c r="AC9" s="300">
        <f t="shared" si="10"/>
        <v>58.475470222869291</v>
      </c>
      <c r="AD9" s="302">
        <v>105.3</v>
      </c>
      <c r="AE9" s="302">
        <v>184.19</v>
      </c>
      <c r="AF9" s="303">
        <f t="shared" si="11"/>
        <v>74.919278252611591</v>
      </c>
      <c r="AG9" s="303">
        <f t="shared" si="12"/>
        <v>4518.1100000000006</v>
      </c>
      <c r="AH9" s="299">
        <v>4702.3</v>
      </c>
      <c r="AI9" s="57">
        <v>4004.81</v>
      </c>
      <c r="AJ9" s="57">
        <v>-14.818918401633251</v>
      </c>
      <c r="AK9" s="57">
        <v>184.19</v>
      </c>
      <c r="AL9" s="57">
        <v>150.35</v>
      </c>
      <c r="AM9" s="57">
        <v>-18.372332917096479</v>
      </c>
      <c r="AN9" s="57">
        <f>+AI9-AL9</f>
        <v>3854.46</v>
      </c>
      <c r="AO9" s="57">
        <v>5231.1400000000003</v>
      </c>
      <c r="AP9" s="58">
        <v>265.45999999999998</v>
      </c>
      <c r="AQ9" s="59">
        <f t="shared" si="22"/>
        <v>4965.68</v>
      </c>
      <c r="AR9" s="57">
        <v>5549.87</v>
      </c>
      <c r="AS9" s="58">
        <v>427.47</v>
      </c>
      <c r="AT9" s="59">
        <f t="shared" si="13"/>
        <v>5122.3999999999996</v>
      </c>
      <c r="AU9" s="60">
        <v>6472.56</v>
      </c>
      <c r="AV9" s="61">
        <f t="shared" si="14"/>
        <v>34729.652172479575</v>
      </c>
      <c r="AW9" s="61">
        <v>756.2</v>
      </c>
      <c r="AX9" s="62">
        <f t="shared" si="15"/>
        <v>5716.3600000000006</v>
      </c>
      <c r="AY9" s="63">
        <f t="shared" si="23"/>
        <v>8473.3700000000008</v>
      </c>
      <c r="AZ9" s="64">
        <v>7674.29</v>
      </c>
      <c r="BA9" s="65">
        <f t="shared" si="16"/>
        <v>41196.311099586288</v>
      </c>
      <c r="BB9" s="65">
        <v>799.08</v>
      </c>
      <c r="BC9" s="65" t="e">
        <f t="shared" si="17"/>
        <v>#DIV/0!</v>
      </c>
      <c r="BD9" s="63">
        <f>AZ9-BB9-0.01</f>
        <v>6875.2</v>
      </c>
      <c r="BE9" s="63">
        <f t="shared" si="24"/>
        <v>9687.34</v>
      </c>
      <c r="BF9" s="64">
        <v>8412.75</v>
      </c>
      <c r="BG9" s="65">
        <f t="shared" si="25"/>
        <v>9.6225188258457788</v>
      </c>
      <c r="BH9" s="65">
        <v>1274.5899999999999</v>
      </c>
      <c r="BI9" s="65">
        <f t="shared" si="26"/>
        <v>59.507183260749841</v>
      </c>
      <c r="BJ9" s="63">
        <f t="shared" si="27"/>
        <v>7138.16</v>
      </c>
      <c r="BK9" s="177">
        <f>SUM(BL9+BM9)-0.01</f>
        <v>12023.291499999999</v>
      </c>
      <c r="BL9" s="178">
        <v>9688.6214999999993</v>
      </c>
      <c r="BM9" s="178">
        <v>2334.6799999999998</v>
      </c>
      <c r="BN9" s="63">
        <f>+BL9-BM9</f>
        <v>7353.941499999999</v>
      </c>
      <c r="BO9" s="304">
        <f t="shared" si="28"/>
        <v>13914.63</v>
      </c>
      <c r="BP9" s="305">
        <v>10454.58</v>
      </c>
      <c r="BQ9" s="306">
        <v>3460.06</v>
      </c>
      <c r="BR9" s="307">
        <f>+BP9-BQ9</f>
        <v>6994.52</v>
      </c>
      <c r="BS9" s="414">
        <f t="shared" si="29"/>
        <v>12908.8434</v>
      </c>
      <c r="BT9" s="415">
        <v>9438.2150999999994</v>
      </c>
      <c r="BU9" s="415">
        <v>3470.6282999999999</v>
      </c>
      <c r="BV9" s="420">
        <f t="shared" si="30"/>
        <v>5967.5867999999991</v>
      </c>
      <c r="BW9" s="421">
        <f t="shared" si="31"/>
        <v>13047.302799999999</v>
      </c>
      <c r="BX9" s="415">
        <v>10712.0461</v>
      </c>
      <c r="BY9" s="415">
        <v>2335.2566999999999</v>
      </c>
      <c r="BZ9" s="417">
        <f t="shared" si="32"/>
        <v>8376.7893999999997</v>
      </c>
      <c r="CA9" s="499">
        <f t="shared" si="18"/>
        <v>14759.9668</v>
      </c>
      <c r="CB9" s="415">
        <v>12702.7166</v>
      </c>
      <c r="CC9" s="406">
        <f t="shared" si="19"/>
        <v>18.583475849679179</v>
      </c>
      <c r="CD9" s="410"/>
      <c r="CE9" s="415">
        <v>2057.2501999999999</v>
      </c>
      <c r="CF9" s="406">
        <f t="shared" si="20"/>
        <v>-11.9047511993007</v>
      </c>
      <c r="CG9" s="416">
        <f t="shared" si="21"/>
        <v>10645.466399999999</v>
      </c>
      <c r="CI9" s="409">
        <v>10712.0461</v>
      </c>
      <c r="CJ9" s="409">
        <v>2335.2566999999999</v>
      </c>
      <c r="CL9" s="549" t="s">
        <v>14</v>
      </c>
      <c r="CM9" s="409">
        <v>11537.9946</v>
      </c>
      <c r="CN9" s="409">
        <v>8122.2145</v>
      </c>
      <c r="CO9" s="409">
        <v>3415.7800999999999</v>
      </c>
      <c r="CP9" s="409">
        <v>4706.4344000000001</v>
      </c>
      <c r="CQ9" s="409">
        <v>11872.287899999999</v>
      </c>
      <c r="CR9" s="409">
        <v>8950.2500999999993</v>
      </c>
      <c r="CS9" s="409">
        <v>2922.0378000000001</v>
      </c>
      <c r="CT9" s="409">
        <v>6028.2123000000001</v>
      </c>
      <c r="CU9" s="409">
        <v>11872.287899999999</v>
      </c>
      <c r="CV9" s="409">
        <v>8950.2500999999993</v>
      </c>
      <c r="CW9" s="409">
        <v>2922.0378000000001</v>
      </c>
      <c r="CX9" s="409">
        <v>6028.2123000000001</v>
      </c>
      <c r="CY9" s="409">
        <v>12831.12</v>
      </c>
      <c r="CZ9" s="409">
        <v>10521.3752</v>
      </c>
      <c r="DA9" s="409">
        <v>2309.7447999999999</v>
      </c>
      <c r="DB9" s="409">
        <v>8211.6303000000007</v>
      </c>
      <c r="DC9" s="550" t="s">
        <v>217</v>
      </c>
      <c r="DD9" s="550" t="s">
        <v>218</v>
      </c>
    </row>
    <row r="10" spans="2:108" s="22" customFormat="1" ht="31.5" customHeight="1" x14ac:dyDescent="0.5">
      <c r="B10" s="309" t="s">
        <v>16</v>
      </c>
      <c r="C10" s="291">
        <v>1828.78</v>
      </c>
      <c r="D10" s="292">
        <v>89.49</v>
      </c>
      <c r="E10" s="293">
        <f t="shared" si="0"/>
        <v>1739.29</v>
      </c>
      <c r="F10" s="294">
        <v>1828.78</v>
      </c>
      <c r="G10" s="295">
        <v>2049.77</v>
      </c>
      <c r="H10" s="314">
        <f t="shared" si="1"/>
        <v>12.084012292347904</v>
      </c>
      <c r="I10" s="295">
        <v>89.49</v>
      </c>
      <c r="J10" s="295">
        <v>60.93</v>
      </c>
      <c r="K10" s="296">
        <f t="shared" si="2"/>
        <v>-31.914180355346964</v>
      </c>
      <c r="L10" s="297">
        <f t="shared" si="3"/>
        <v>1988.84</v>
      </c>
      <c r="M10" s="295">
        <v>2049.77</v>
      </c>
      <c r="N10" s="298">
        <v>2846.44</v>
      </c>
      <c r="O10" s="296">
        <f t="shared" si="4"/>
        <v>38.866311830107769</v>
      </c>
      <c r="P10" s="298">
        <v>60.93</v>
      </c>
      <c r="Q10" s="298">
        <v>84.25</v>
      </c>
      <c r="R10" s="296">
        <f t="shared" si="5"/>
        <v>38.273428524536357</v>
      </c>
      <c r="S10" s="296">
        <f t="shared" si="6"/>
        <v>2762.19</v>
      </c>
      <c r="T10" s="298">
        <v>2846.44</v>
      </c>
      <c r="U10" s="299">
        <v>2709.35</v>
      </c>
      <c r="V10" s="300">
        <f t="shared" si="7"/>
        <v>-4.816191453183631</v>
      </c>
      <c r="W10" s="301">
        <v>84.25</v>
      </c>
      <c r="X10" s="302">
        <v>95.97</v>
      </c>
      <c r="Y10" s="300">
        <f t="shared" si="8"/>
        <v>13.910979228486648</v>
      </c>
      <c r="Z10" s="300">
        <f t="shared" si="9"/>
        <v>2613.38</v>
      </c>
      <c r="AA10" s="299">
        <v>2709.35</v>
      </c>
      <c r="AB10" s="299">
        <v>4038.62</v>
      </c>
      <c r="AC10" s="300">
        <f t="shared" si="10"/>
        <v>49.06232122095706</v>
      </c>
      <c r="AD10" s="302">
        <v>95.97</v>
      </c>
      <c r="AE10" s="302">
        <v>144.82</v>
      </c>
      <c r="AF10" s="303">
        <f t="shared" si="11"/>
        <v>50.901323330207347</v>
      </c>
      <c r="AG10" s="303">
        <f t="shared" si="12"/>
        <v>3893.7999999999997</v>
      </c>
      <c r="AH10" s="299">
        <v>4038.62</v>
      </c>
      <c r="AI10" s="57">
        <v>3118.87</v>
      </c>
      <c r="AJ10" s="57">
        <v>-22.77386830154855</v>
      </c>
      <c r="AK10" s="57">
        <v>144.82</v>
      </c>
      <c r="AL10" s="57">
        <v>149.58000000000001</v>
      </c>
      <c r="AM10" s="57">
        <v>3.2868388344151498</v>
      </c>
      <c r="AN10" s="57">
        <f t="shared" ref="AN10:AN16" si="33">+AI10-AL10</f>
        <v>2969.29</v>
      </c>
      <c r="AO10" s="57">
        <v>3325.75</v>
      </c>
      <c r="AP10" s="58">
        <v>197.7</v>
      </c>
      <c r="AQ10" s="59">
        <f t="shared" si="22"/>
        <v>3128.05</v>
      </c>
      <c r="AR10" s="57">
        <v>4241.71</v>
      </c>
      <c r="AS10" s="58">
        <v>367.98</v>
      </c>
      <c r="AT10" s="59">
        <f t="shared" si="13"/>
        <v>3873.73</v>
      </c>
      <c r="AU10" s="60">
        <v>5050.53</v>
      </c>
      <c r="AV10" s="61">
        <f t="shared" si="14"/>
        <v>21096.989406165707</v>
      </c>
      <c r="AW10" s="61">
        <v>443.73</v>
      </c>
      <c r="AX10" s="62">
        <f t="shared" si="15"/>
        <v>4606.7999999999993</v>
      </c>
      <c r="AY10" s="63">
        <f t="shared" si="23"/>
        <v>6874.79</v>
      </c>
      <c r="AZ10" s="66">
        <v>6400.66</v>
      </c>
      <c r="BA10" s="67">
        <f t="shared" si="16"/>
        <v>26763.462292565058</v>
      </c>
      <c r="BB10" s="67">
        <v>474.13</v>
      </c>
      <c r="BC10" s="67" t="e">
        <f t="shared" si="17"/>
        <v>#DIV/0!</v>
      </c>
      <c r="BD10" s="68">
        <f>AZ10-BB10</f>
        <v>5926.53</v>
      </c>
      <c r="BE10" s="63">
        <f t="shared" si="24"/>
        <v>8495.8700000000008</v>
      </c>
      <c r="BF10" s="66">
        <v>7508.34</v>
      </c>
      <c r="BG10" s="65">
        <f t="shared" si="25"/>
        <v>17.30571534810473</v>
      </c>
      <c r="BH10" s="67">
        <v>987.53</v>
      </c>
      <c r="BI10" s="65">
        <f t="shared" si="26"/>
        <v>108.28253854428111</v>
      </c>
      <c r="BJ10" s="63">
        <f t="shared" si="27"/>
        <v>6520.81</v>
      </c>
      <c r="BK10" s="177">
        <f>SUM(BL10+BM10)</f>
        <v>9812.7986999999994</v>
      </c>
      <c r="BL10" s="178">
        <v>8214.5686999999998</v>
      </c>
      <c r="BM10" s="178">
        <v>1598.23</v>
      </c>
      <c r="BN10" s="63">
        <f>+BL10-BM10</f>
        <v>6616.3387000000002</v>
      </c>
      <c r="BO10" s="304">
        <f t="shared" si="28"/>
        <v>9587.69</v>
      </c>
      <c r="BP10" s="310">
        <v>7925.05</v>
      </c>
      <c r="BQ10" s="311">
        <v>1662.65</v>
      </c>
      <c r="BR10" s="307">
        <f>+BP10-BQ10</f>
        <v>6262.4</v>
      </c>
      <c r="BS10" s="414">
        <f t="shared" si="29"/>
        <v>9183.1638000000003</v>
      </c>
      <c r="BT10" s="415">
        <v>7527.8068999999996</v>
      </c>
      <c r="BU10" s="415">
        <v>1655.3569</v>
      </c>
      <c r="BV10" s="420">
        <f t="shared" si="30"/>
        <v>5872.45</v>
      </c>
      <c r="BW10" s="421">
        <f t="shared" si="31"/>
        <v>9680.9645999999993</v>
      </c>
      <c r="BX10" s="415">
        <v>8346.9979000000003</v>
      </c>
      <c r="BY10" s="415">
        <v>1333.9666999999999</v>
      </c>
      <c r="BZ10" s="417">
        <f t="shared" si="32"/>
        <v>7013.0312000000004</v>
      </c>
      <c r="CA10" s="499">
        <f t="shared" si="18"/>
        <v>11652.659799999999</v>
      </c>
      <c r="CB10" s="415">
        <v>10335.8069</v>
      </c>
      <c r="CC10" s="406">
        <f t="shared" si="19"/>
        <v>23.826638317472192</v>
      </c>
      <c r="CD10" s="411"/>
      <c r="CE10" s="415">
        <v>1316.8529000000001</v>
      </c>
      <c r="CF10" s="406">
        <f t="shared" si="20"/>
        <v>-1.282925578277168</v>
      </c>
      <c r="CG10" s="416">
        <f t="shared" si="21"/>
        <v>9018.9539999999997</v>
      </c>
      <c r="CI10" s="409">
        <v>8346.9979000000003</v>
      </c>
      <c r="CJ10" s="409">
        <v>1333.9666999999999</v>
      </c>
      <c r="CL10" s="549" t="s">
        <v>15</v>
      </c>
      <c r="CM10" s="409">
        <v>12908.8434</v>
      </c>
      <c r="CN10" s="409">
        <v>9438.2150999999994</v>
      </c>
      <c r="CO10" s="409">
        <v>3470.6282999999999</v>
      </c>
      <c r="CP10" s="409">
        <v>5967.5868</v>
      </c>
      <c r="CQ10" s="409">
        <v>13047.302900000001</v>
      </c>
      <c r="CR10" s="409">
        <v>10712.0461</v>
      </c>
      <c r="CS10" s="409">
        <v>2335.2566999999999</v>
      </c>
      <c r="CT10" s="409">
        <v>8376.7893999999997</v>
      </c>
      <c r="CU10" s="409">
        <v>13047.302900000001</v>
      </c>
      <c r="CV10" s="409">
        <v>10712.0461</v>
      </c>
      <c r="CW10" s="409">
        <v>2335.2566999999999</v>
      </c>
      <c r="CX10" s="409">
        <v>8376.7893999999997</v>
      </c>
      <c r="CY10" s="409">
        <v>14759.9668</v>
      </c>
      <c r="CZ10" s="409">
        <v>12702.7166</v>
      </c>
      <c r="DA10" s="409">
        <v>2057.2501999999999</v>
      </c>
      <c r="DB10" s="409">
        <v>10645.4663</v>
      </c>
      <c r="DC10" s="550" t="s">
        <v>219</v>
      </c>
      <c r="DD10" s="550" t="s">
        <v>220</v>
      </c>
    </row>
    <row r="11" spans="2:108" s="22" customFormat="1" ht="31.5" customHeight="1" x14ac:dyDescent="0.5">
      <c r="B11" s="309" t="s">
        <v>17</v>
      </c>
      <c r="C11" s="291">
        <v>1974.45</v>
      </c>
      <c r="D11" s="292">
        <v>67.38</v>
      </c>
      <c r="E11" s="293">
        <f t="shared" si="0"/>
        <v>1907.0700000000002</v>
      </c>
      <c r="F11" s="294">
        <v>1974.45</v>
      </c>
      <c r="G11" s="295">
        <v>2480.52</v>
      </c>
      <c r="H11" s="314">
        <f t="shared" si="1"/>
        <v>25.630935197143504</v>
      </c>
      <c r="I11" s="295">
        <v>67.38</v>
      </c>
      <c r="J11" s="295">
        <v>110.26</v>
      </c>
      <c r="K11" s="296">
        <f t="shared" si="2"/>
        <v>63.639062036212543</v>
      </c>
      <c r="L11" s="297">
        <f t="shared" si="3"/>
        <v>2370.2599999999998</v>
      </c>
      <c r="M11" s="295">
        <v>2480.52</v>
      </c>
      <c r="N11" s="298">
        <v>2912.95</v>
      </c>
      <c r="O11" s="296">
        <f t="shared" si="4"/>
        <v>17.43303823391869</v>
      </c>
      <c r="P11" s="298">
        <v>110.26</v>
      </c>
      <c r="Q11" s="298">
        <v>130.83000000000001</v>
      </c>
      <c r="R11" s="296">
        <f t="shared" si="5"/>
        <v>18.655904226374034</v>
      </c>
      <c r="S11" s="296">
        <f t="shared" si="6"/>
        <v>2782.12</v>
      </c>
      <c r="T11" s="298">
        <v>2912.95</v>
      </c>
      <c r="U11" s="299">
        <v>2508.59</v>
      </c>
      <c r="V11" s="300">
        <f t="shared" si="7"/>
        <v>-13.881460375220987</v>
      </c>
      <c r="W11" s="301">
        <v>130.83000000000001</v>
      </c>
      <c r="X11" s="302">
        <v>120.13</v>
      </c>
      <c r="Y11" s="300">
        <f t="shared" si="8"/>
        <v>-8.1785523198043393</v>
      </c>
      <c r="Z11" s="300">
        <f t="shared" si="9"/>
        <v>2388.46</v>
      </c>
      <c r="AA11" s="299">
        <v>2508.59</v>
      </c>
      <c r="AB11" s="299">
        <v>4580.0200000000004</v>
      </c>
      <c r="AC11" s="300">
        <f t="shared" si="10"/>
        <v>82.573477531202798</v>
      </c>
      <c r="AD11" s="302">
        <v>120.13</v>
      </c>
      <c r="AE11" s="302">
        <v>243.63</v>
      </c>
      <c r="AF11" s="303">
        <f t="shared" si="11"/>
        <v>102.80529426454675</v>
      </c>
      <c r="AG11" s="303">
        <f t="shared" si="12"/>
        <v>4336.3900000000003</v>
      </c>
      <c r="AH11" s="299">
        <v>4580.0200000000004</v>
      </c>
      <c r="AI11" s="57">
        <v>3685.17</v>
      </c>
      <c r="AJ11" s="57">
        <v>-19.538124287666871</v>
      </c>
      <c r="AK11" s="57">
        <v>243.63</v>
      </c>
      <c r="AL11" s="57">
        <v>79.84</v>
      </c>
      <c r="AM11" s="57">
        <v>-67.228994787177271</v>
      </c>
      <c r="AN11" s="57">
        <f t="shared" si="33"/>
        <v>3605.33</v>
      </c>
      <c r="AO11" s="57">
        <v>5227.01</v>
      </c>
      <c r="AP11" s="58">
        <v>285.89</v>
      </c>
      <c r="AQ11" s="59">
        <f t="shared" si="22"/>
        <v>4941.12</v>
      </c>
      <c r="AR11" s="57">
        <v>5133.99</v>
      </c>
      <c r="AS11" s="58">
        <v>474.4</v>
      </c>
      <c r="AT11" s="59">
        <f t="shared" si="13"/>
        <v>4659.59</v>
      </c>
      <c r="AU11" s="60">
        <v>6265.12</v>
      </c>
      <c r="AV11" s="61">
        <f t="shared" si="14"/>
        <v>28259.373110679848</v>
      </c>
      <c r="AW11" s="61">
        <v>566.55999999999995</v>
      </c>
      <c r="AX11" s="62">
        <f t="shared" si="15"/>
        <v>5698.5599999999995</v>
      </c>
      <c r="AY11" s="63">
        <f t="shared" si="23"/>
        <v>7854.54</v>
      </c>
      <c r="AZ11" s="66">
        <v>7311.93</v>
      </c>
      <c r="BA11" s="67">
        <f t="shared" si="16"/>
        <v>32997.809942853979</v>
      </c>
      <c r="BB11" s="67">
        <v>542.61</v>
      </c>
      <c r="BC11" s="67" t="e">
        <f t="shared" si="17"/>
        <v>#DIV/0!</v>
      </c>
      <c r="BD11" s="68">
        <f>AZ11-BB11</f>
        <v>6769.3200000000006</v>
      </c>
      <c r="BE11" s="63">
        <f t="shared" si="24"/>
        <v>9908.2100000000009</v>
      </c>
      <c r="BF11" s="66">
        <v>8554.7000000000007</v>
      </c>
      <c r="BG11" s="65">
        <f t="shared" si="25"/>
        <v>16.996470152203322</v>
      </c>
      <c r="BH11" s="67">
        <v>1353.51</v>
      </c>
      <c r="BI11" s="65">
        <f t="shared" si="26"/>
        <v>149.44435229723004</v>
      </c>
      <c r="BJ11" s="63">
        <f t="shared" si="27"/>
        <v>7201.1900000000005</v>
      </c>
      <c r="BK11" s="177">
        <f>SUM(BL11+BM11)</f>
        <v>10204.125199999999</v>
      </c>
      <c r="BL11" s="178">
        <v>8689.5751999999993</v>
      </c>
      <c r="BM11" s="178">
        <v>1514.55</v>
      </c>
      <c r="BN11" s="68">
        <f>+BL11-BM11-0.01</f>
        <v>7175.0151999999989</v>
      </c>
      <c r="BO11" s="304">
        <f t="shared" si="28"/>
        <v>10053.550000000001</v>
      </c>
      <c r="BP11" s="310">
        <v>8401.2800000000007</v>
      </c>
      <c r="BQ11" s="311">
        <v>1652.28</v>
      </c>
      <c r="BR11" s="412">
        <f>+BP11-BQ11-0.01</f>
        <v>6748.9900000000007</v>
      </c>
      <c r="BS11" s="414">
        <f t="shared" si="29"/>
        <v>10263.8807</v>
      </c>
      <c r="BT11" s="415">
        <v>8509.4447999999993</v>
      </c>
      <c r="BU11" s="415">
        <v>1754.4358999999999</v>
      </c>
      <c r="BV11" s="420">
        <f t="shared" si="30"/>
        <v>6755.0088999999989</v>
      </c>
      <c r="BW11" s="421">
        <f t="shared" si="31"/>
        <v>11640.122300000001</v>
      </c>
      <c r="BX11" s="415">
        <v>10003.614600000001</v>
      </c>
      <c r="BY11" s="415">
        <v>1636.5077000000001</v>
      </c>
      <c r="BZ11" s="417">
        <f t="shared" si="32"/>
        <v>8367.1069000000007</v>
      </c>
      <c r="CA11" s="499">
        <f t="shared" si="18"/>
        <v>13683.7281</v>
      </c>
      <c r="CB11" s="415">
        <v>12213.6016</v>
      </c>
      <c r="CC11" s="406">
        <f t="shared" si="19"/>
        <v>22.091884667368124</v>
      </c>
      <c r="CD11" s="411"/>
      <c r="CE11" s="415">
        <v>1470.1265000000001</v>
      </c>
      <c r="CF11" s="406">
        <f t="shared" si="20"/>
        <v>-10.166844922269538</v>
      </c>
      <c r="CG11" s="416">
        <f t="shared" si="21"/>
        <v>10743.4751</v>
      </c>
      <c r="CI11" s="409">
        <v>10003.614600000001</v>
      </c>
      <c r="CJ11" s="409">
        <v>1636.5077000000001</v>
      </c>
      <c r="CL11" s="549" t="s">
        <v>16</v>
      </c>
      <c r="CM11" s="409">
        <v>9183.1638999999996</v>
      </c>
      <c r="CN11" s="409">
        <v>7527.8068999999996</v>
      </c>
      <c r="CO11" s="409">
        <v>1655.3569</v>
      </c>
      <c r="CP11" s="409">
        <v>5872.4498999999996</v>
      </c>
      <c r="CQ11" s="409">
        <v>9680.9645999999993</v>
      </c>
      <c r="CR11" s="409">
        <v>8346.9979000000003</v>
      </c>
      <c r="CS11" s="409">
        <v>1333.9666999999999</v>
      </c>
      <c r="CT11" s="409">
        <v>7013.0312000000004</v>
      </c>
      <c r="CU11" s="409">
        <v>9680.9645999999993</v>
      </c>
      <c r="CV11" s="409">
        <v>8346.9979000000003</v>
      </c>
      <c r="CW11" s="409">
        <v>1333.9666999999999</v>
      </c>
      <c r="CX11" s="409">
        <v>7013.0312000000004</v>
      </c>
      <c r="CY11" s="409">
        <v>11652.659799999999</v>
      </c>
      <c r="CZ11" s="409">
        <v>10335.8069</v>
      </c>
      <c r="DA11" s="409">
        <v>1316.8529000000001</v>
      </c>
      <c r="DB11" s="409">
        <v>9018.9539000000004</v>
      </c>
      <c r="DC11" s="550" t="s">
        <v>221</v>
      </c>
      <c r="DD11" s="550" t="s">
        <v>222</v>
      </c>
    </row>
    <row r="12" spans="2:108" s="22" customFormat="1" ht="31.5" customHeight="1" x14ac:dyDescent="0.5">
      <c r="B12" s="309" t="s">
        <v>18</v>
      </c>
      <c r="C12" s="291">
        <v>1888.91</v>
      </c>
      <c r="D12" s="292">
        <v>33.19</v>
      </c>
      <c r="E12" s="293">
        <f t="shared" si="0"/>
        <v>1855.72</v>
      </c>
      <c r="F12" s="294">
        <v>1888.91</v>
      </c>
      <c r="G12" s="295">
        <v>2560.7800000000002</v>
      </c>
      <c r="H12" s="314">
        <f t="shared" si="1"/>
        <v>35.569190697280447</v>
      </c>
      <c r="I12" s="295">
        <v>33.19</v>
      </c>
      <c r="J12" s="295">
        <v>75.180000000000007</v>
      </c>
      <c r="K12" s="296">
        <f t="shared" si="2"/>
        <v>126.51401024404944</v>
      </c>
      <c r="L12" s="297">
        <f t="shared" si="3"/>
        <v>2485.6000000000004</v>
      </c>
      <c r="M12" s="295">
        <v>2560.7800000000002</v>
      </c>
      <c r="N12" s="298">
        <v>2821.39</v>
      </c>
      <c r="O12" s="296">
        <f t="shared" si="4"/>
        <v>10.176977327220598</v>
      </c>
      <c r="P12" s="298">
        <v>75.180000000000007</v>
      </c>
      <c r="Q12" s="298">
        <v>88.67</v>
      </c>
      <c r="R12" s="296">
        <f t="shared" si="5"/>
        <v>17.943602021814304</v>
      </c>
      <c r="S12" s="296">
        <f t="shared" si="6"/>
        <v>2732.72</v>
      </c>
      <c r="T12" s="298">
        <v>2821.39</v>
      </c>
      <c r="U12" s="299">
        <v>2703.8</v>
      </c>
      <c r="V12" s="300">
        <f t="shared" si="7"/>
        <v>-4.1678038130141415</v>
      </c>
      <c r="W12" s="301">
        <v>88.67</v>
      </c>
      <c r="X12" s="302">
        <v>109.24</v>
      </c>
      <c r="Y12" s="300">
        <f t="shared" si="8"/>
        <v>23.198376000902211</v>
      </c>
      <c r="Z12" s="300">
        <f t="shared" si="9"/>
        <v>2594.5600000000004</v>
      </c>
      <c r="AA12" s="299">
        <v>2703.8</v>
      </c>
      <c r="AB12" s="299">
        <v>4409.18</v>
      </c>
      <c r="AC12" s="300">
        <f t="shared" si="10"/>
        <v>63.073452178415558</v>
      </c>
      <c r="AD12" s="302">
        <v>109.24</v>
      </c>
      <c r="AE12" s="302">
        <v>299.32</v>
      </c>
      <c r="AF12" s="303">
        <f t="shared" si="11"/>
        <v>174.00219699743684</v>
      </c>
      <c r="AG12" s="303">
        <f t="shared" si="12"/>
        <v>4109.8600000000006</v>
      </c>
      <c r="AH12" s="299">
        <v>4409.18</v>
      </c>
      <c r="AI12" s="57">
        <v>3729.08</v>
      </c>
      <c r="AJ12" s="57">
        <v>-15.424636780535161</v>
      </c>
      <c r="AK12" s="57">
        <v>299.32</v>
      </c>
      <c r="AL12" s="57">
        <v>150.02000000000001</v>
      </c>
      <c r="AM12" s="57">
        <v>-49.879727382066015</v>
      </c>
      <c r="AN12" s="57">
        <f t="shared" si="33"/>
        <v>3579.06</v>
      </c>
      <c r="AO12" s="57">
        <v>4709.1099999999997</v>
      </c>
      <c r="AP12" s="58">
        <v>222.90000000000009</v>
      </c>
      <c r="AQ12" s="59">
        <f t="shared" si="22"/>
        <v>4486.2099999999991</v>
      </c>
      <c r="AR12" s="57">
        <v>5210.26</v>
      </c>
      <c r="AS12" s="58">
        <v>388.83</v>
      </c>
      <c r="AT12" s="59">
        <f t="shared" si="13"/>
        <v>4821.43</v>
      </c>
      <c r="AU12" s="60">
        <v>6092.32</v>
      </c>
      <c r="AV12" s="61">
        <f t="shared" si="14"/>
        <v>43268.592007058091</v>
      </c>
      <c r="AW12" s="61">
        <v>383.54</v>
      </c>
      <c r="AX12" s="62">
        <f t="shared" si="15"/>
        <v>5708.78</v>
      </c>
      <c r="AY12" s="63">
        <f t="shared" si="23"/>
        <v>8152.64</v>
      </c>
      <c r="AZ12" s="64">
        <v>7687.01</v>
      </c>
      <c r="BA12" s="67">
        <f t="shared" si="16"/>
        <v>54620.500637552796</v>
      </c>
      <c r="BB12" s="65">
        <v>465.63</v>
      </c>
      <c r="BC12" s="67" t="e">
        <f t="shared" si="17"/>
        <v>#DIV/0!</v>
      </c>
      <c r="BD12" s="63">
        <f>AZ12-BB12</f>
        <v>7221.38</v>
      </c>
      <c r="BE12" s="63">
        <f t="shared" si="24"/>
        <v>9159.4</v>
      </c>
      <c r="BF12" s="64">
        <v>7780.93</v>
      </c>
      <c r="BG12" s="65">
        <f t="shared" si="25"/>
        <v>1.2218014546618265</v>
      </c>
      <c r="BH12" s="65">
        <v>1378.47</v>
      </c>
      <c r="BI12" s="65">
        <f t="shared" si="26"/>
        <v>196.04406932543006</v>
      </c>
      <c r="BJ12" s="63">
        <f t="shared" si="27"/>
        <v>6402.46</v>
      </c>
      <c r="BK12" s="179">
        <f>SUM(BL12+BM12)</f>
        <v>9844.61</v>
      </c>
      <c r="BL12" s="178">
        <v>8566.23</v>
      </c>
      <c r="BM12" s="178">
        <v>1278.3800000000001</v>
      </c>
      <c r="BN12" s="63">
        <f>+BL12-BM12</f>
        <v>7287.8499999999995</v>
      </c>
      <c r="BO12" s="304">
        <f t="shared" si="28"/>
        <v>9220.07</v>
      </c>
      <c r="BP12" s="310">
        <v>8030.29</v>
      </c>
      <c r="BQ12" s="311">
        <v>1189.79</v>
      </c>
      <c r="BR12" s="307">
        <f>+BP12-BQ12</f>
        <v>6840.5</v>
      </c>
      <c r="BS12" s="414">
        <f t="shared" si="29"/>
        <v>9197.1949000000004</v>
      </c>
      <c r="BT12" s="415">
        <v>7896.1486000000004</v>
      </c>
      <c r="BU12" s="415">
        <v>1301.0463</v>
      </c>
      <c r="BV12" s="420">
        <f t="shared" si="30"/>
        <v>6595.1023000000005</v>
      </c>
      <c r="BW12" s="421">
        <f t="shared" si="31"/>
        <v>11661.6399</v>
      </c>
      <c r="BX12" s="415">
        <v>10105.073</v>
      </c>
      <c r="BY12" s="415">
        <v>1556.5669</v>
      </c>
      <c r="BZ12" s="417">
        <f t="shared" si="32"/>
        <v>8548.5061000000005</v>
      </c>
      <c r="CA12" s="499">
        <f>SUM(CB12+CE12)</f>
        <v>12832.4244</v>
      </c>
      <c r="CB12" s="415">
        <v>11524.6104</v>
      </c>
      <c r="CC12" s="406">
        <f t="shared" si="19"/>
        <v>14.04776986766943</v>
      </c>
      <c r="CD12" s="411"/>
      <c r="CE12" s="415">
        <v>1307.8140000000001</v>
      </c>
      <c r="CF12" s="406">
        <f t="shared" si="20"/>
        <v>-15.980867895880346</v>
      </c>
      <c r="CG12" s="416">
        <f t="shared" si="21"/>
        <v>10216.796399999999</v>
      </c>
      <c r="CI12" s="409">
        <v>10105.073</v>
      </c>
      <c r="CJ12" s="409">
        <v>1556.5669</v>
      </c>
      <c r="CL12" s="549" t="s">
        <v>17</v>
      </c>
      <c r="CM12" s="409">
        <v>10263.880800000001</v>
      </c>
      <c r="CN12" s="409">
        <v>8509.4447999999993</v>
      </c>
      <c r="CO12" s="409">
        <v>1754.4358999999999</v>
      </c>
      <c r="CP12" s="409">
        <v>6755.0088999999998</v>
      </c>
      <c r="CQ12" s="409">
        <v>11640.1224</v>
      </c>
      <c r="CR12" s="409">
        <v>10003.614600000001</v>
      </c>
      <c r="CS12" s="409">
        <v>1636.5077000000001</v>
      </c>
      <c r="CT12" s="409">
        <v>8367.1067999999996</v>
      </c>
      <c r="CU12" s="409">
        <v>11640.1224</v>
      </c>
      <c r="CV12" s="409">
        <v>10003.614600000001</v>
      </c>
      <c r="CW12" s="409">
        <v>1636.5077000000001</v>
      </c>
      <c r="CX12" s="409">
        <v>8367.1067999999996</v>
      </c>
      <c r="CY12" s="409">
        <v>13683.7282</v>
      </c>
      <c r="CZ12" s="409">
        <v>12213.6016</v>
      </c>
      <c r="DA12" s="409">
        <v>1470.1265000000001</v>
      </c>
      <c r="DB12" s="409">
        <v>10743.475</v>
      </c>
      <c r="DC12" s="550" t="s">
        <v>223</v>
      </c>
      <c r="DD12" s="550" t="s">
        <v>224</v>
      </c>
    </row>
    <row r="13" spans="2:108" s="22" customFormat="1" ht="31.5" customHeight="1" x14ac:dyDescent="0.5">
      <c r="B13" s="309" t="s">
        <v>19</v>
      </c>
      <c r="C13" s="291">
        <v>1909.9</v>
      </c>
      <c r="D13" s="292">
        <v>34.340000000000003</v>
      </c>
      <c r="E13" s="293">
        <f t="shared" si="0"/>
        <v>1875.5600000000002</v>
      </c>
      <c r="F13" s="294">
        <v>1909.9</v>
      </c>
      <c r="G13" s="295">
        <v>2358.33</v>
      </c>
      <c r="H13" s="314">
        <f t="shared" si="1"/>
        <v>23.479239750772283</v>
      </c>
      <c r="I13" s="295">
        <v>34.340000000000003</v>
      </c>
      <c r="J13" s="295">
        <v>73.11</v>
      </c>
      <c r="K13" s="296">
        <f t="shared" si="2"/>
        <v>112.90040768782758</v>
      </c>
      <c r="L13" s="297">
        <f t="shared" si="3"/>
        <v>2285.2199999999998</v>
      </c>
      <c r="M13" s="295">
        <v>2358.33</v>
      </c>
      <c r="N13" s="298">
        <v>2745.52</v>
      </c>
      <c r="O13" s="296">
        <f t="shared" si="4"/>
        <v>16.417973735651927</v>
      </c>
      <c r="P13" s="298">
        <v>73.11</v>
      </c>
      <c r="Q13" s="298">
        <v>71.62</v>
      </c>
      <c r="R13" s="296">
        <f t="shared" si="5"/>
        <v>-2.0380248939953427</v>
      </c>
      <c r="S13" s="296">
        <f t="shared" si="6"/>
        <v>2673.9</v>
      </c>
      <c r="T13" s="298">
        <v>2745.52</v>
      </c>
      <c r="U13" s="299">
        <v>2294.5700000000002</v>
      </c>
      <c r="V13" s="300">
        <f t="shared" si="7"/>
        <v>-16.424939537865317</v>
      </c>
      <c r="W13" s="301">
        <v>71.62</v>
      </c>
      <c r="X13" s="302">
        <v>93.17</v>
      </c>
      <c r="Y13" s="300">
        <f t="shared" si="8"/>
        <v>30.089360513822946</v>
      </c>
      <c r="Z13" s="300">
        <f t="shared" si="9"/>
        <v>2201.4</v>
      </c>
      <c r="AA13" s="299">
        <v>2294.5700000000002</v>
      </c>
      <c r="AB13" s="299">
        <v>3968.67</v>
      </c>
      <c r="AC13" s="300">
        <f t="shared" si="10"/>
        <v>72.959203685222064</v>
      </c>
      <c r="AD13" s="302">
        <v>93.17</v>
      </c>
      <c r="AE13" s="302">
        <v>422.48</v>
      </c>
      <c r="AF13" s="303">
        <f t="shared" si="11"/>
        <v>353.45068154985512</v>
      </c>
      <c r="AG13" s="303">
        <f t="shared" si="12"/>
        <v>3546.19</v>
      </c>
      <c r="AH13" s="315">
        <v>3968.67</v>
      </c>
      <c r="AI13" s="57">
        <v>3514.18</v>
      </c>
      <c r="AJ13" s="57">
        <v>-11.451947377836913</v>
      </c>
      <c r="AK13" s="57">
        <v>422.48</v>
      </c>
      <c r="AL13" s="57">
        <v>295.12</v>
      </c>
      <c r="AM13" s="57">
        <v>-30.1458057186139</v>
      </c>
      <c r="AN13" s="57">
        <f t="shared" si="33"/>
        <v>3219.06</v>
      </c>
      <c r="AO13" s="57">
        <v>4289.29</v>
      </c>
      <c r="AP13" s="58">
        <v>435.63</v>
      </c>
      <c r="AQ13" s="59">
        <f t="shared" si="22"/>
        <v>3853.66</v>
      </c>
      <c r="AR13" s="57">
        <v>4827.16</v>
      </c>
      <c r="AS13" s="58">
        <v>354.94</v>
      </c>
      <c r="AT13" s="59">
        <f t="shared" si="13"/>
        <v>4472.22</v>
      </c>
      <c r="AU13" s="60">
        <v>6211.91</v>
      </c>
      <c r="AV13" s="61">
        <f t="shared" si="14"/>
        <v>23298.817009574414</v>
      </c>
      <c r="AW13" s="61">
        <v>498.65</v>
      </c>
      <c r="AX13" s="62">
        <f t="shared" si="15"/>
        <v>5713.26</v>
      </c>
      <c r="AY13" s="63">
        <f t="shared" si="23"/>
        <v>7305.26</v>
      </c>
      <c r="AZ13" s="64">
        <v>6586.43</v>
      </c>
      <c r="BA13" s="67">
        <f t="shared" si="16"/>
        <v>24709.546551120548</v>
      </c>
      <c r="BB13" s="64">
        <v>718.83</v>
      </c>
      <c r="BC13" s="64" t="e">
        <f t="shared" si="17"/>
        <v>#DIV/0!</v>
      </c>
      <c r="BD13" s="64">
        <f>AZ13-BB13+0.01</f>
        <v>5867.6100000000006</v>
      </c>
      <c r="BE13" s="63">
        <f t="shared" si="24"/>
        <v>8574.6</v>
      </c>
      <c r="BF13" s="64">
        <v>7260.55</v>
      </c>
      <c r="BG13" s="65">
        <f t="shared" si="25"/>
        <v>10.234983139576368</v>
      </c>
      <c r="BH13" s="64">
        <v>1314.05</v>
      </c>
      <c r="BI13" s="65">
        <f t="shared" si="26"/>
        <v>82.804000945981656</v>
      </c>
      <c r="BJ13" s="63">
        <f t="shared" si="27"/>
        <v>5946.5</v>
      </c>
      <c r="BK13" s="179">
        <f>SUM(BL13+BM13)</f>
        <v>9551.4228000000003</v>
      </c>
      <c r="BL13" s="178">
        <v>8224.5527999999995</v>
      </c>
      <c r="BM13" s="178">
        <v>1326.87</v>
      </c>
      <c r="BN13" s="176">
        <f>+BL13-BM13-0.01</f>
        <v>6897.6727999999994</v>
      </c>
      <c r="BO13" s="304">
        <f t="shared" si="28"/>
        <v>8656.56</v>
      </c>
      <c r="BP13" s="310">
        <v>7794.33</v>
      </c>
      <c r="BQ13" s="310">
        <v>862.24</v>
      </c>
      <c r="BR13" s="413">
        <f>+BP13-BQ13-0.01</f>
        <v>6932.08</v>
      </c>
      <c r="BS13" s="414">
        <f t="shared" si="29"/>
        <v>9428.8963999999996</v>
      </c>
      <c r="BT13" s="415">
        <v>7740.5734000000002</v>
      </c>
      <c r="BU13" s="415">
        <v>1688.3230000000001</v>
      </c>
      <c r="BV13" s="420">
        <f t="shared" si="30"/>
        <v>6052.2503999999999</v>
      </c>
      <c r="BW13" s="421">
        <f t="shared" si="31"/>
        <v>10446.662899999999</v>
      </c>
      <c r="BX13" s="415">
        <v>8960.0558999999994</v>
      </c>
      <c r="BY13" s="415">
        <v>1486.607</v>
      </c>
      <c r="BZ13" s="417">
        <f t="shared" si="32"/>
        <v>7473.4488999999994</v>
      </c>
      <c r="CA13" s="499">
        <f t="shared" si="18"/>
        <v>12938.398499999999</v>
      </c>
      <c r="CB13" s="415">
        <v>11338.7685</v>
      </c>
      <c r="CC13" s="406">
        <f t="shared" si="19"/>
        <v>26.547966067934919</v>
      </c>
      <c r="CD13" s="410"/>
      <c r="CE13" s="415">
        <v>1599.63</v>
      </c>
      <c r="CF13" s="406">
        <f t="shared" si="20"/>
        <v>7.602749078942864</v>
      </c>
      <c r="CG13" s="418">
        <f t="shared" si="21"/>
        <v>9739.1385000000009</v>
      </c>
      <c r="CI13" s="409">
        <v>8960.0558999999994</v>
      </c>
      <c r="CJ13" s="409">
        <v>1486.607</v>
      </c>
      <c r="CL13" s="549" t="s">
        <v>18</v>
      </c>
      <c r="CM13" s="409">
        <v>9197.1949000000004</v>
      </c>
      <c r="CN13" s="409">
        <v>7896.1486000000004</v>
      </c>
      <c r="CO13" s="409">
        <v>1301.0463</v>
      </c>
      <c r="CP13" s="409">
        <v>6595.1022000000003</v>
      </c>
      <c r="CQ13" s="409">
        <v>11661.6399</v>
      </c>
      <c r="CR13" s="409">
        <v>10105.073</v>
      </c>
      <c r="CS13" s="409">
        <v>1556.5669</v>
      </c>
      <c r="CT13" s="409">
        <v>8548.5061000000005</v>
      </c>
      <c r="CU13" s="409">
        <v>11661.6399</v>
      </c>
      <c r="CV13" s="409">
        <v>10105.073</v>
      </c>
      <c r="CW13" s="409">
        <v>1556.5669</v>
      </c>
      <c r="CX13" s="409">
        <v>8548.5061000000005</v>
      </c>
      <c r="CY13" s="409">
        <v>12832.4244</v>
      </c>
      <c r="CZ13" s="409">
        <v>11524.6104</v>
      </c>
      <c r="DA13" s="409">
        <v>1307.8140000000001</v>
      </c>
      <c r="DB13" s="409">
        <v>10216.7963</v>
      </c>
      <c r="DC13" s="550" t="s">
        <v>225</v>
      </c>
      <c r="DD13" s="550" t="s">
        <v>226</v>
      </c>
    </row>
    <row r="14" spans="2:108" s="22" customFormat="1" ht="31.5" customHeight="1" x14ac:dyDescent="0.5">
      <c r="B14" s="309" t="s">
        <v>20</v>
      </c>
      <c r="C14" s="291">
        <v>1871.67</v>
      </c>
      <c r="D14" s="292">
        <v>98.77</v>
      </c>
      <c r="E14" s="293">
        <f t="shared" si="0"/>
        <v>1772.9</v>
      </c>
      <c r="F14" s="294">
        <v>1871.67</v>
      </c>
      <c r="G14" s="295">
        <v>2562.1</v>
      </c>
      <c r="H14" s="314">
        <f t="shared" si="1"/>
        <v>36.888447215588208</v>
      </c>
      <c r="I14" s="295">
        <v>98.77</v>
      </c>
      <c r="J14" s="295">
        <v>58.14</v>
      </c>
      <c r="K14" s="296">
        <f t="shared" si="2"/>
        <v>-41.13597246127366</v>
      </c>
      <c r="L14" s="297">
        <f t="shared" si="3"/>
        <v>2503.96</v>
      </c>
      <c r="M14" s="295">
        <v>2562.1</v>
      </c>
      <c r="N14" s="298">
        <v>2834.42</v>
      </c>
      <c r="O14" s="296">
        <f t="shared" si="4"/>
        <v>10.628781078021941</v>
      </c>
      <c r="P14" s="298">
        <v>58.14</v>
      </c>
      <c r="Q14" s="298">
        <v>80.83</v>
      </c>
      <c r="R14" s="296">
        <f t="shared" si="5"/>
        <v>39.026487788097697</v>
      </c>
      <c r="S14" s="296">
        <f t="shared" si="6"/>
        <v>2753.59</v>
      </c>
      <c r="T14" s="298">
        <v>2834.42</v>
      </c>
      <c r="U14" s="299">
        <v>2827.36</v>
      </c>
      <c r="V14" s="300">
        <f t="shared" si="7"/>
        <v>-0.24908094072155662</v>
      </c>
      <c r="W14" s="301">
        <v>80.83</v>
      </c>
      <c r="X14" s="302">
        <v>121.11</v>
      </c>
      <c r="Y14" s="300">
        <f t="shared" si="8"/>
        <v>49.832982803414573</v>
      </c>
      <c r="Z14" s="300">
        <f t="shared" si="9"/>
        <v>2706.25</v>
      </c>
      <c r="AA14" s="299">
        <v>2827.36</v>
      </c>
      <c r="AB14" s="299">
        <v>4166.76</v>
      </c>
      <c r="AC14" s="300">
        <f t="shared" si="10"/>
        <v>47.372814215381133</v>
      </c>
      <c r="AD14" s="302">
        <v>121.11</v>
      </c>
      <c r="AE14" s="302">
        <v>372.28</v>
      </c>
      <c r="AF14" s="303">
        <f t="shared" si="11"/>
        <v>207.38997605482615</v>
      </c>
      <c r="AG14" s="303">
        <f t="shared" si="12"/>
        <v>3794.4800000000005</v>
      </c>
      <c r="AH14" s="315">
        <v>4166.76</v>
      </c>
      <c r="AI14" s="57">
        <v>3341.3</v>
      </c>
      <c r="AJ14" s="57">
        <v>-19.810596242644163</v>
      </c>
      <c r="AK14" s="57">
        <v>372.28</v>
      </c>
      <c r="AL14" s="57">
        <v>209.89</v>
      </c>
      <c r="AM14" s="57">
        <v>-43.510261093800359</v>
      </c>
      <c r="AN14" s="57">
        <f t="shared" si="33"/>
        <v>3131.4100000000003</v>
      </c>
      <c r="AO14" s="57">
        <v>3840.21</v>
      </c>
      <c r="AP14" s="58">
        <v>563.20000000000005</v>
      </c>
      <c r="AQ14" s="59">
        <f t="shared" si="22"/>
        <v>3277.01</v>
      </c>
      <c r="AR14" s="57">
        <v>5014.21</v>
      </c>
      <c r="AS14" s="58">
        <v>367.78</v>
      </c>
      <c r="AT14" s="59">
        <f t="shared" si="13"/>
        <v>4646.43</v>
      </c>
      <c r="AU14" s="60">
        <v>6580.62</v>
      </c>
      <c r="AV14" s="61">
        <f t="shared" si="14"/>
        <v>120476.50694822233</v>
      </c>
      <c r="AW14" s="61">
        <v>408.44</v>
      </c>
      <c r="AX14" s="62">
        <f t="shared" si="15"/>
        <v>6172.18</v>
      </c>
      <c r="AY14" s="63">
        <f t="shared" si="23"/>
        <v>7508.1</v>
      </c>
      <c r="AZ14" s="64">
        <v>6568.41</v>
      </c>
      <c r="BA14" s="67">
        <f t="shared" si="16"/>
        <v>120252.78347690233</v>
      </c>
      <c r="BB14" s="65">
        <v>939.69</v>
      </c>
      <c r="BC14" s="65" t="e">
        <f t="shared" si="17"/>
        <v>#DIV/0!</v>
      </c>
      <c r="BD14" s="64">
        <f>AZ14-BB14</f>
        <v>5628.7199999999993</v>
      </c>
      <c r="BE14" s="63">
        <f t="shared" si="24"/>
        <v>9191.630000000001</v>
      </c>
      <c r="BF14" s="64">
        <v>7699.93</v>
      </c>
      <c r="BG14" s="65">
        <f t="shared" si="25"/>
        <v>17.226695653894936</v>
      </c>
      <c r="BH14" s="65">
        <v>1491.7</v>
      </c>
      <c r="BI14" s="65">
        <f t="shared" si="26"/>
        <v>58.743841053964601</v>
      </c>
      <c r="BJ14" s="63">
        <f t="shared" si="27"/>
        <v>6208.2300000000005</v>
      </c>
      <c r="BK14" s="179">
        <f>SUM(BL14+BM14)-0.01</f>
        <v>9363.5292999999983</v>
      </c>
      <c r="BL14" s="178">
        <v>8225.8992999999991</v>
      </c>
      <c r="BM14" s="178">
        <v>1137.6400000000001</v>
      </c>
      <c r="BN14" s="63">
        <f>+BL14-BM14</f>
        <v>7088.2592999999988</v>
      </c>
      <c r="BO14" s="304">
        <f t="shared" si="28"/>
        <v>9136.02</v>
      </c>
      <c r="BP14" s="305">
        <v>8039.25</v>
      </c>
      <c r="BQ14" s="306">
        <v>1096.78</v>
      </c>
      <c r="BR14" s="307">
        <f>+BP14-BQ14</f>
        <v>6942.47</v>
      </c>
      <c r="BS14" s="414">
        <f t="shared" si="29"/>
        <v>10099.795600000001</v>
      </c>
      <c r="BT14" s="415">
        <v>8445.4186000000009</v>
      </c>
      <c r="BU14" s="415">
        <v>1654.377</v>
      </c>
      <c r="BV14" s="420">
        <f t="shared" si="30"/>
        <v>6791.0416000000005</v>
      </c>
      <c r="BW14" s="421">
        <f t="shared" si="31"/>
        <v>12406.6999</v>
      </c>
      <c r="BX14" s="415">
        <v>10792.3433</v>
      </c>
      <c r="BY14" s="415">
        <v>1614.3566000000001</v>
      </c>
      <c r="BZ14" s="417">
        <f t="shared" si="32"/>
        <v>9177.9867000000013</v>
      </c>
      <c r="CA14" s="499">
        <f t="shared" si="18"/>
        <v>13202.532300000001</v>
      </c>
      <c r="CB14" s="415">
        <v>11381.3495</v>
      </c>
      <c r="CC14" s="406">
        <f t="shared" si="19"/>
        <v>5.4576303183387411</v>
      </c>
      <c r="CD14" s="411"/>
      <c r="CE14" s="415">
        <v>1821.1828</v>
      </c>
      <c r="CF14" s="406">
        <f t="shared" si="20"/>
        <v>12.811679897737584</v>
      </c>
      <c r="CG14" s="418">
        <f t="shared" si="21"/>
        <v>9560.1666999999998</v>
      </c>
      <c r="CI14" s="409">
        <v>10792.3433</v>
      </c>
      <c r="CJ14" s="409">
        <v>1614.3566000000001</v>
      </c>
      <c r="CL14" s="549" t="s">
        <v>19</v>
      </c>
      <c r="CM14" s="409">
        <v>9428.8965000000007</v>
      </c>
      <c r="CN14" s="409">
        <v>7740.5734000000002</v>
      </c>
      <c r="CO14" s="409">
        <v>1688.3230000000001</v>
      </c>
      <c r="CP14" s="409">
        <v>6052.2503999999999</v>
      </c>
      <c r="CQ14" s="409">
        <v>10446.662899999999</v>
      </c>
      <c r="CR14" s="409">
        <v>8960.0558999999994</v>
      </c>
      <c r="CS14" s="409">
        <v>1486.607</v>
      </c>
      <c r="CT14" s="409">
        <v>7473.4489000000003</v>
      </c>
      <c r="CU14" s="409">
        <v>10446.662899999999</v>
      </c>
      <c r="CV14" s="409">
        <v>8960.0558999999994</v>
      </c>
      <c r="CW14" s="409">
        <v>1486.607</v>
      </c>
      <c r="CX14" s="409">
        <v>7473.4489000000003</v>
      </c>
      <c r="CY14" s="409">
        <v>12938.3986</v>
      </c>
      <c r="CZ14" s="409">
        <v>11338.7685</v>
      </c>
      <c r="DA14" s="409">
        <v>1599.63</v>
      </c>
      <c r="DB14" s="409">
        <v>9739.1384999999991</v>
      </c>
      <c r="DC14" s="550" t="s">
        <v>227</v>
      </c>
      <c r="DD14" s="550" t="s">
        <v>228</v>
      </c>
    </row>
    <row r="15" spans="2:108" s="22" customFormat="1" ht="31.5" customHeight="1" x14ac:dyDescent="0.5">
      <c r="B15" s="309" t="s">
        <v>21</v>
      </c>
      <c r="C15" s="291">
        <v>1896.81</v>
      </c>
      <c r="D15" s="292">
        <v>117.92</v>
      </c>
      <c r="E15" s="293">
        <f t="shared" si="0"/>
        <v>1778.8899999999999</v>
      </c>
      <c r="F15" s="294">
        <v>1896.81</v>
      </c>
      <c r="G15" s="295">
        <v>2627.92</v>
      </c>
      <c r="H15" s="314">
        <f t="shared" si="1"/>
        <v>38.544187346123238</v>
      </c>
      <c r="I15" s="295">
        <v>117.92</v>
      </c>
      <c r="J15" s="295">
        <v>81.290000000000006</v>
      </c>
      <c r="K15" s="296">
        <f t="shared" si="2"/>
        <v>-31.06343283582089</v>
      </c>
      <c r="L15" s="297">
        <f t="shared" si="3"/>
        <v>2546.63</v>
      </c>
      <c r="M15" s="295">
        <v>2627.92</v>
      </c>
      <c r="N15" s="298">
        <v>2554.9299999999998</v>
      </c>
      <c r="O15" s="296">
        <f t="shared" si="4"/>
        <v>-2.7774818107096197</v>
      </c>
      <c r="P15" s="298">
        <v>81.290000000000006</v>
      </c>
      <c r="Q15" s="298">
        <v>62.89</v>
      </c>
      <c r="R15" s="296">
        <f t="shared" si="5"/>
        <v>-22.635010456390702</v>
      </c>
      <c r="S15" s="296">
        <f t="shared" si="6"/>
        <v>2492.04</v>
      </c>
      <c r="T15" s="298">
        <v>2554.9299999999998</v>
      </c>
      <c r="U15" s="299">
        <v>2699.71</v>
      </c>
      <c r="V15" s="300">
        <f t="shared" si="7"/>
        <v>5.6666914553432077</v>
      </c>
      <c r="W15" s="301">
        <v>62.89</v>
      </c>
      <c r="X15" s="302">
        <v>105.73</v>
      </c>
      <c r="Y15" s="300">
        <f t="shared" si="8"/>
        <v>68.118937827953573</v>
      </c>
      <c r="Z15" s="300">
        <f t="shared" si="9"/>
        <v>2593.98</v>
      </c>
      <c r="AA15" s="299">
        <v>2699.71</v>
      </c>
      <c r="AB15" s="299">
        <v>3933.35</v>
      </c>
      <c r="AC15" s="300">
        <f t="shared" si="10"/>
        <v>45.695278381752111</v>
      </c>
      <c r="AD15" s="302">
        <v>105.73</v>
      </c>
      <c r="AE15" s="302">
        <v>158.08000000000001</v>
      </c>
      <c r="AF15" s="303">
        <f t="shared" si="11"/>
        <v>49.512910243071985</v>
      </c>
      <c r="AG15" s="303">
        <f t="shared" si="12"/>
        <v>3775.27</v>
      </c>
      <c r="AH15" s="299">
        <v>3933.35</v>
      </c>
      <c r="AI15" s="57">
        <v>3317.37</v>
      </c>
      <c r="AJ15" s="57">
        <v>-15.660950589192419</v>
      </c>
      <c r="AK15" s="57">
        <v>158.08000000000001</v>
      </c>
      <c r="AL15" s="57">
        <v>122.44</v>
      </c>
      <c r="AM15" s="57">
        <v>-22.551872469635629</v>
      </c>
      <c r="AN15" s="57">
        <f t="shared" si="33"/>
        <v>3194.93</v>
      </c>
      <c r="AO15" s="57">
        <v>4018.85</v>
      </c>
      <c r="AP15" s="58">
        <v>271.25</v>
      </c>
      <c r="AQ15" s="59">
        <f t="shared" si="22"/>
        <v>3747.6</v>
      </c>
      <c r="AR15" s="57">
        <v>4635.1000000000004</v>
      </c>
      <c r="AS15" s="58">
        <v>302.02999999999997</v>
      </c>
      <c r="AT15" s="59">
        <f t="shared" si="13"/>
        <v>4333.0700000000006</v>
      </c>
      <c r="AU15" s="60">
        <v>6287</v>
      </c>
      <c r="AV15" s="61">
        <f t="shared" si="14"/>
        <v>277433.06189667695</v>
      </c>
      <c r="AW15" s="61">
        <v>431.82</v>
      </c>
      <c r="AX15" s="62">
        <f t="shared" si="15"/>
        <v>5855.18</v>
      </c>
      <c r="AY15" s="63">
        <f t="shared" si="23"/>
        <v>7335.46</v>
      </c>
      <c r="AZ15" s="64">
        <v>6473.74</v>
      </c>
      <c r="BA15" s="65">
        <f t="shared" si="16"/>
        <v>285676.50455272675</v>
      </c>
      <c r="BB15" s="65">
        <v>861.72</v>
      </c>
      <c r="BC15" s="65" t="e">
        <f t="shared" si="17"/>
        <v>#DIV/0!</v>
      </c>
      <c r="BD15" s="63">
        <v>5612.02</v>
      </c>
      <c r="BE15" s="63">
        <f t="shared" si="24"/>
        <v>8787.32</v>
      </c>
      <c r="BF15" s="64">
        <v>7386.58</v>
      </c>
      <c r="BG15" s="65">
        <f t="shared" si="25"/>
        <v>14.100658969930832</v>
      </c>
      <c r="BH15" s="65">
        <v>1400.74</v>
      </c>
      <c r="BI15" s="65">
        <f t="shared" si="26"/>
        <v>62.551640904238035</v>
      </c>
      <c r="BJ15" s="63">
        <f t="shared" si="27"/>
        <v>5985.84</v>
      </c>
      <c r="BK15" s="179">
        <f>SUM(BL15+BM15)+0.01</f>
        <v>9828.9695000000011</v>
      </c>
      <c r="BL15" s="178">
        <v>8665.1195000000007</v>
      </c>
      <c r="BM15" s="178">
        <v>1163.8399999999999</v>
      </c>
      <c r="BN15" s="63">
        <f>+BL15-BM15</f>
        <v>7501.2795000000006</v>
      </c>
      <c r="BO15" s="304">
        <f t="shared" si="28"/>
        <v>8744.08</v>
      </c>
      <c r="BP15" s="305">
        <v>7844.77</v>
      </c>
      <c r="BQ15" s="306">
        <v>899.32</v>
      </c>
      <c r="BR15" s="307">
        <f>+BP15-BQ15</f>
        <v>6945.4500000000007</v>
      </c>
      <c r="BS15" s="414">
        <f t="shared" si="29"/>
        <v>9196.8652999999995</v>
      </c>
      <c r="BT15" s="415">
        <v>7927.7240000000002</v>
      </c>
      <c r="BU15" s="415">
        <v>1269.1413</v>
      </c>
      <c r="BV15" s="420">
        <f t="shared" si="30"/>
        <v>6658.5826999999999</v>
      </c>
      <c r="BW15" s="421">
        <f t="shared" si="31"/>
        <v>11906.437900000001</v>
      </c>
      <c r="BX15" s="415">
        <v>10418.6759</v>
      </c>
      <c r="BY15" s="415">
        <v>1487.7619999999999</v>
      </c>
      <c r="BZ15" s="417">
        <f t="shared" si="32"/>
        <v>8930.9138999999996</v>
      </c>
      <c r="CA15" s="499">
        <f t="shared" ref="CA15:CA17" si="34">SUM(CB15+CE15)</f>
        <v>12113.047</v>
      </c>
      <c r="CB15" s="415">
        <v>10654.691800000001</v>
      </c>
      <c r="CC15" s="406">
        <f t="shared" ref="CC15:CC17" si="35">(CB15-CI15)*100/CI15</f>
        <v>2.2653156914114234</v>
      </c>
      <c r="CD15" s="411"/>
      <c r="CE15" s="415">
        <v>1458.3552</v>
      </c>
      <c r="CF15" s="406">
        <f t="shared" ref="CF15:CF17" si="36">(CE15-CJ15)*100/CJ15</f>
        <v>-1.976579587326466</v>
      </c>
      <c r="CG15" s="418">
        <f t="shared" ref="CG15:CG17" si="37">+CB15-CE15</f>
        <v>9196.3366000000005</v>
      </c>
      <c r="CI15" s="409">
        <v>10418.6759</v>
      </c>
      <c r="CJ15" s="409">
        <v>1487.7619999999999</v>
      </c>
      <c r="CL15" s="549" t="s">
        <v>20</v>
      </c>
      <c r="CM15" s="409">
        <v>10099.795599999999</v>
      </c>
      <c r="CN15" s="409">
        <v>8445.4186000000009</v>
      </c>
      <c r="CO15" s="409">
        <v>1654.377</v>
      </c>
      <c r="CP15" s="409">
        <v>6791.0415999999996</v>
      </c>
      <c r="CQ15" s="409">
        <v>12406.6999</v>
      </c>
      <c r="CR15" s="409">
        <v>10792.3433</v>
      </c>
      <c r="CS15" s="409">
        <v>1614.3566000000001</v>
      </c>
      <c r="CT15" s="409">
        <v>9177.9866000000002</v>
      </c>
      <c r="CU15" s="409">
        <v>12406.6999</v>
      </c>
      <c r="CV15" s="409">
        <v>10792.3433</v>
      </c>
      <c r="CW15" s="409">
        <v>1614.3566000000001</v>
      </c>
      <c r="CX15" s="409">
        <v>9177.9866000000002</v>
      </c>
      <c r="CY15" s="409">
        <v>13202.5324</v>
      </c>
      <c r="CZ15" s="409">
        <v>11381.3495</v>
      </c>
      <c r="DA15" s="409">
        <v>1821.1828</v>
      </c>
      <c r="DB15" s="409">
        <v>9560.1666999999998</v>
      </c>
      <c r="DC15" s="550" t="s">
        <v>229</v>
      </c>
      <c r="DD15" s="550" t="s">
        <v>230</v>
      </c>
    </row>
    <row r="16" spans="2:108" s="22" customFormat="1" ht="31.5" customHeight="1" x14ac:dyDescent="0.5">
      <c r="B16" s="309" t="s">
        <v>27</v>
      </c>
      <c r="C16" s="291">
        <v>1864.29</v>
      </c>
      <c r="D16" s="292">
        <v>105.28</v>
      </c>
      <c r="E16" s="293">
        <f t="shared" si="0"/>
        <v>1759.01</v>
      </c>
      <c r="F16" s="294">
        <v>1864.29</v>
      </c>
      <c r="G16" s="295">
        <v>2376.27</v>
      </c>
      <c r="H16" s="314">
        <f t="shared" si="1"/>
        <v>27.462465603527349</v>
      </c>
      <c r="I16" s="295">
        <v>105.28</v>
      </c>
      <c r="J16" s="295">
        <v>78.83</v>
      </c>
      <c r="K16" s="296">
        <f t="shared" si="2"/>
        <v>-25.123480243161097</v>
      </c>
      <c r="L16" s="297">
        <f t="shared" si="3"/>
        <v>2297.44</v>
      </c>
      <c r="M16" s="295">
        <v>2376.27</v>
      </c>
      <c r="N16" s="298">
        <v>2660.14</v>
      </c>
      <c r="O16" s="296">
        <f t="shared" si="4"/>
        <v>11.946033068632769</v>
      </c>
      <c r="P16" s="298">
        <v>78.83</v>
      </c>
      <c r="Q16" s="298">
        <v>122.75</v>
      </c>
      <c r="R16" s="296">
        <f t="shared" si="5"/>
        <v>55.714829379677788</v>
      </c>
      <c r="S16" s="296">
        <f t="shared" si="6"/>
        <v>2537.39</v>
      </c>
      <c r="T16" s="298">
        <v>2660.14</v>
      </c>
      <c r="U16" s="299">
        <v>3058.44</v>
      </c>
      <c r="V16" s="300">
        <f t="shared" si="7"/>
        <v>14.972896163359829</v>
      </c>
      <c r="W16" s="301">
        <v>122.75</v>
      </c>
      <c r="X16" s="302">
        <v>263.06</v>
      </c>
      <c r="Y16" s="300">
        <f t="shared" si="8"/>
        <v>114.30549898167006</v>
      </c>
      <c r="Z16" s="300">
        <f t="shared" si="9"/>
        <v>2795.38</v>
      </c>
      <c r="AA16" s="299">
        <v>3058.44</v>
      </c>
      <c r="AB16" s="299">
        <v>3816.15</v>
      </c>
      <c r="AC16" s="300">
        <f t="shared" si="10"/>
        <v>24.77439478950053</v>
      </c>
      <c r="AD16" s="302">
        <v>263.06</v>
      </c>
      <c r="AE16" s="302">
        <v>175.41</v>
      </c>
      <c r="AF16" s="303">
        <f t="shared" si="11"/>
        <v>-33.319394814871131</v>
      </c>
      <c r="AG16" s="303">
        <f t="shared" si="12"/>
        <v>3640.7400000000002</v>
      </c>
      <c r="AH16" s="299">
        <v>3816.15</v>
      </c>
      <c r="AI16" s="57">
        <v>3490.37</v>
      </c>
      <c r="AJ16" s="57">
        <v>-8.5366141268031903</v>
      </c>
      <c r="AK16" s="57">
        <v>175.41</v>
      </c>
      <c r="AL16" s="57">
        <v>361.91</v>
      </c>
      <c r="AM16" s="57">
        <v>106.32803146912948</v>
      </c>
      <c r="AN16" s="57">
        <f t="shared" si="33"/>
        <v>3128.46</v>
      </c>
      <c r="AO16" s="57">
        <v>3481.2049999999999</v>
      </c>
      <c r="AP16" s="58">
        <v>344.03</v>
      </c>
      <c r="AQ16" s="59">
        <f t="shared" si="22"/>
        <v>3137.1750000000002</v>
      </c>
      <c r="AR16" s="57">
        <v>4825.0600000000004</v>
      </c>
      <c r="AS16" s="58">
        <v>257.45</v>
      </c>
      <c r="AT16" s="59">
        <f t="shared" si="13"/>
        <v>4567.6100000000006</v>
      </c>
      <c r="AU16" s="60">
        <v>6490.84</v>
      </c>
      <c r="AV16" s="61">
        <f t="shared" si="14"/>
        <v>39383.298601524402</v>
      </c>
      <c r="AW16" s="61">
        <v>419.73</v>
      </c>
      <c r="AX16" s="62">
        <f t="shared" si="15"/>
        <v>6071.1100000000006</v>
      </c>
      <c r="AY16" s="63">
        <f t="shared" si="23"/>
        <v>7726.33</v>
      </c>
      <c r="AZ16" s="64">
        <v>6875.93</v>
      </c>
      <c r="BA16" s="65">
        <f t="shared" si="16"/>
        <v>41725.772527620415</v>
      </c>
      <c r="BB16" s="65">
        <v>850.4</v>
      </c>
      <c r="BC16" s="65" t="e">
        <f t="shared" si="17"/>
        <v>#DIV/0!</v>
      </c>
      <c r="BD16" s="63">
        <v>6025.53</v>
      </c>
      <c r="BE16" s="63">
        <f t="shared" si="24"/>
        <v>10885.439999999999</v>
      </c>
      <c r="BF16" s="64">
        <v>8969.89</v>
      </c>
      <c r="BG16" s="65">
        <f t="shared" si="25"/>
        <v>30.453480474641236</v>
      </c>
      <c r="BH16" s="65">
        <v>1915.55</v>
      </c>
      <c r="BI16" s="65">
        <f t="shared" si="26"/>
        <v>125.25282220131704</v>
      </c>
      <c r="BJ16" s="63">
        <f t="shared" si="27"/>
        <v>7054.3399999999992</v>
      </c>
      <c r="BK16" s="179">
        <f>SUM(BL16+BM16)-0.01</f>
        <v>9601.7777999999998</v>
      </c>
      <c r="BL16" s="178">
        <v>8535.4377999999997</v>
      </c>
      <c r="BM16" s="178">
        <v>1066.3499999999999</v>
      </c>
      <c r="BN16" s="63">
        <f>+BL16-BM16</f>
        <v>7469.0877999999993</v>
      </c>
      <c r="BO16" s="304">
        <f t="shared" si="28"/>
        <v>9476.7999999999993</v>
      </c>
      <c r="BP16" s="310">
        <v>8594.93</v>
      </c>
      <c r="BQ16" s="311">
        <v>881.88</v>
      </c>
      <c r="BR16" s="307">
        <f>+BP16-BQ16</f>
        <v>7713.05</v>
      </c>
      <c r="BS16" s="414">
        <f t="shared" si="29"/>
        <v>10172.6387</v>
      </c>
      <c r="BT16" s="415">
        <v>8828.8076000000001</v>
      </c>
      <c r="BU16" s="415">
        <v>1343.8311000000001</v>
      </c>
      <c r="BV16" s="420">
        <f t="shared" si="30"/>
        <v>7484.9764999999998</v>
      </c>
      <c r="BW16" s="421">
        <f t="shared" si="31"/>
        <v>12410.4692</v>
      </c>
      <c r="BX16" s="415">
        <v>10722.656300000001</v>
      </c>
      <c r="BY16" s="415">
        <v>1687.8128999999999</v>
      </c>
      <c r="BZ16" s="417">
        <f t="shared" si="32"/>
        <v>9034.8434000000016</v>
      </c>
      <c r="CA16" s="499">
        <f t="shared" si="34"/>
        <v>14283.8915</v>
      </c>
      <c r="CB16" s="415">
        <v>12485.4028</v>
      </c>
      <c r="CC16" s="406">
        <f t="shared" si="35"/>
        <v>16.439457263961721</v>
      </c>
      <c r="CD16" s="411"/>
      <c r="CE16" s="415">
        <v>1798.4887000000001</v>
      </c>
      <c r="CF16" s="406">
        <f t="shared" si="36"/>
        <v>6.5573500475082405</v>
      </c>
      <c r="CG16" s="416">
        <f t="shared" si="37"/>
        <v>10686.9141</v>
      </c>
      <c r="CI16" s="409">
        <v>10722.656300000001</v>
      </c>
      <c r="CJ16" s="409">
        <v>1687.8128999999999</v>
      </c>
      <c r="CL16" s="549" t="s">
        <v>21</v>
      </c>
      <c r="CM16" s="409">
        <v>9196.8654000000006</v>
      </c>
      <c r="CN16" s="409">
        <v>7927.7240000000002</v>
      </c>
      <c r="CO16" s="409">
        <v>1269.1413</v>
      </c>
      <c r="CP16" s="409">
        <v>6658.5825999999997</v>
      </c>
      <c r="CQ16" s="409">
        <v>11906.438</v>
      </c>
      <c r="CR16" s="409">
        <v>10418.6759</v>
      </c>
      <c r="CS16" s="409">
        <v>1487.7619999999999</v>
      </c>
      <c r="CT16" s="409">
        <v>8930.9138000000003</v>
      </c>
      <c r="CU16" s="409">
        <v>11906.438</v>
      </c>
      <c r="CV16" s="409">
        <v>10418.6759</v>
      </c>
      <c r="CW16" s="409">
        <v>1487.7619999999999</v>
      </c>
      <c r="CX16" s="409">
        <v>8930.9138000000003</v>
      </c>
      <c r="CY16" s="409">
        <v>12113.047</v>
      </c>
      <c r="CZ16" s="409">
        <v>10654.691800000001</v>
      </c>
      <c r="DA16" s="409">
        <v>1458.3552</v>
      </c>
      <c r="DB16" s="409">
        <v>9196.3366000000005</v>
      </c>
      <c r="DC16" s="550" t="s">
        <v>231</v>
      </c>
      <c r="DD16" s="550" t="s">
        <v>232</v>
      </c>
    </row>
    <row r="17" spans="2:108" s="22" customFormat="1" ht="31.5" customHeight="1" x14ac:dyDescent="0.5">
      <c r="B17" s="316" t="s">
        <v>22</v>
      </c>
      <c r="C17" s="291">
        <v>2138.0100000000002</v>
      </c>
      <c r="D17" s="292">
        <v>108.86</v>
      </c>
      <c r="E17" s="317">
        <f t="shared" si="0"/>
        <v>2029.1500000000003</v>
      </c>
      <c r="F17" s="294">
        <v>2138.0100000000002</v>
      </c>
      <c r="G17" s="295">
        <v>2588.59</v>
      </c>
      <c r="H17" s="314">
        <f t="shared" si="1"/>
        <v>21.074737723396986</v>
      </c>
      <c r="I17" s="295">
        <v>108.86</v>
      </c>
      <c r="J17" s="295">
        <v>214.73</v>
      </c>
      <c r="K17" s="314">
        <f t="shared" si="2"/>
        <v>97.25335293036926</v>
      </c>
      <c r="L17" s="318">
        <f t="shared" si="3"/>
        <v>2373.86</v>
      </c>
      <c r="M17" s="295">
        <v>2588.59</v>
      </c>
      <c r="N17" s="298">
        <v>2742.37</v>
      </c>
      <c r="O17" s="296">
        <f t="shared" si="4"/>
        <v>5.9406858560065414</v>
      </c>
      <c r="P17" s="298">
        <v>214.73</v>
      </c>
      <c r="Q17" s="298">
        <v>247.3</v>
      </c>
      <c r="R17" s="296">
        <f t="shared" si="5"/>
        <v>15.167885251245762</v>
      </c>
      <c r="S17" s="296">
        <f t="shared" si="6"/>
        <v>2495.0699999999997</v>
      </c>
      <c r="T17" s="298">
        <v>2742.37</v>
      </c>
      <c r="U17" s="299">
        <v>3484.88</v>
      </c>
      <c r="V17" s="300">
        <f>(U17-T17)*100/T17</f>
        <v>27.075485802426382</v>
      </c>
      <c r="W17" s="301">
        <v>247.3</v>
      </c>
      <c r="X17" s="302">
        <v>239.95</v>
      </c>
      <c r="Y17" s="300">
        <f>(X17-W17)*100/W17</f>
        <v>-2.9720986655883634</v>
      </c>
      <c r="Z17" s="300">
        <f t="shared" si="9"/>
        <v>3244.9300000000003</v>
      </c>
      <c r="AA17" s="299">
        <v>3484.88</v>
      </c>
      <c r="AB17" s="299">
        <v>3482.77</v>
      </c>
      <c r="AC17" s="300">
        <f t="shared" si="10"/>
        <v>-6.0547278528963043E-2</v>
      </c>
      <c r="AD17" s="302">
        <v>239.95</v>
      </c>
      <c r="AE17" s="302">
        <v>280.5</v>
      </c>
      <c r="AF17" s="303">
        <f t="shared" si="11"/>
        <v>16.899354032090024</v>
      </c>
      <c r="AG17" s="303">
        <f t="shared" si="12"/>
        <v>3202.27</v>
      </c>
      <c r="AH17" s="303">
        <v>3482.8</v>
      </c>
      <c r="AI17" s="69">
        <v>4143.79</v>
      </c>
      <c r="AJ17" s="69">
        <v>18.979433037496193</v>
      </c>
      <c r="AK17" s="69">
        <v>280.5</v>
      </c>
      <c r="AL17" s="69">
        <v>530.79</v>
      </c>
      <c r="AM17" s="69">
        <v>89.229946524064161</v>
      </c>
      <c r="AN17" s="57">
        <f>+AI17-AL17-0.01</f>
        <v>3612.99</v>
      </c>
      <c r="AO17" s="57">
        <v>4479.4750000000004</v>
      </c>
      <c r="AP17" s="58">
        <v>781.47</v>
      </c>
      <c r="AQ17" s="59">
        <f t="shared" si="22"/>
        <v>3698.0050000000001</v>
      </c>
      <c r="AR17" s="57">
        <v>4686.62</v>
      </c>
      <c r="AS17" s="58">
        <v>319.45499999999998</v>
      </c>
      <c r="AT17" s="59">
        <f t="shared" si="13"/>
        <v>4367.165</v>
      </c>
      <c r="AU17" s="60">
        <v>6883.68</v>
      </c>
      <c r="AV17" s="61">
        <f t="shared" si="14"/>
        <v>-159531.33162636444</v>
      </c>
      <c r="AW17" s="61">
        <v>718.59</v>
      </c>
      <c r="AX17" s="62">
        <f t="shared" si="15"/>
        <v>6165.09</v>
      </c>
      <c r="AY17" s="63">
        <f t="shared" si="23"/>
        <v>7661.02</v>
      </c>
      <c r="AZ17" s="64">
        <v>6571.96</v>
      </c>
      <c r="BA17" s="65">
        <f t="shared" si="16"/>
        <v>-152311.65629361063</v>
      </c>
      <c r="BB17" s="65">
        <v>1089.06</v>
      </c>
      <c r="BC17" s="65" t="e">
        <f t="shared" si="17"/>
        <v>#DIV/0!</v>
      </c>
      <c r="BD17" s="63">
        <v>5482.9</v>
      </c>
      <c r="BE17" s="63">
        <f t="shared" si="24"/>
        <v>10969.28</v>
      </c>
      <c r="BF17" s="64">
        <v>8762.5300000000007</v>
      </c>
      <c r="BG17" s="65">
        <f t="shared" si="25"/>
        <v>33.332065319935005</v>
      </c>
      <c r="BH17" s="65">
        <v>2206.75</v>
      </c>
      <c r="BI17" s="65">
        <f t="shared" si="26"/>
        <v>102.62887260573339</v>
      </c>
      <c r="BJ17" s="63">
        <f t="shared" si="27"/>
        <v>6555.7800000000007</v>
      </c>
      <c r="BK17" s="177">
        <f>SUM(BL17+BM17)</f>
        <v>10559.3241</v>
      </c>
      <c r="BL17" s="178">
        <v>9113.2240999999995</v>
      </c>
      <c r="BM17" s="178">
        <v>1446.1</v>
      </c>
      <c r="BN17" s="63">
        <f>+BL17-BM17+0.01</f>
        <v>7667.1340999999993</v>
      </c>
      <c r="BO17" s="304">
        <f t="shared" si="28"/>
        <v>9363.86</v>
      </c>
      <c r="BP17" s="310">
        <v>8362.51</v>
      </c>
      <c r="BQ17" s="311">
        <v>1001.36</v>
      </c>
      <c r="BR17" s="307">
        <f>+BP17-BQ17+0.01</f>
        <v>7361.1600000000008</v>
      </c>
      <c r="BS17" s="414">
        <f t="shared" si="29"/>
        <v>11027.380500000001</v>
      </c>
      <c r="BT17" s="415">
        <v>9490.0876000000007</v>
      </c>
      <c r="BU17" s="415">
        <v>1537.2928999999999</v>
      </c>
      <c r="BV17" s="420">
        <f t="shared" si="30"/>
        <v>7952.7947000000004</v>
      </c>
      <c r="BW17" s="421">
        <f t="shared" si="31"/>
        <v>14420.4638</v>
      </c>
      <c r="BX17" s="415">
        <v>12675.671899999999</v>
      </c>
      <c r="BY17" s="415">
        <v>1744.7918999999999</v>
      </c>
      <c r="BZ17" s="417">
        <f t="shared" si="32"/>
        <v>10930.88</v>
      </c>
      <c r="CA17" s="499">
        <f t="shared" si="34"/>
        <v>13672.851599999998</v>
      </c>
      <c r="CB17" s="415">
        <v>12128.381299999999</v>
      </c>
      <c r="CC17" s="406">
        <f t="shared" si="35"/>
        <v>-4.3176456784117319</v>
      </c>
      <c r="CD17" s="411"/>
      <c r="CE17" s="415">
        <v>1544.4703</v>
      </c>
      <c r="CF17" s="406">
        <f t="shared" si="36"/>
        <v>-11.481117031778977</v>
      </c>
      <c r="CG17" s="416">
        <f t="shared" si="37"/>
        <v>10583.911</v>
      </c>
      <c r="CI17" s="409">
        <v>12675.671899999999</v>
      </c>
      <c r="CJ17" s="409">
        <v>1744.7918999999999</v>
      </c>
      <c r="CL17" s="549" t="s">
        <v>27</v>
      </c>
      <c r="CM17" s="409">
        <v>10172.6387</v>
      </c>
      <c r="CN17" s="409">
        <v>8828.8076000000001</v>
      </c>
      <c r="CO17" s="409">
        <v>1343.8311000000001</v>
      </c>
      <c r="CP17" s="409">
        <v>7484.9763999999996</v>
      </c>
      <c r="CQ17" s="409">
        <v>12410.4692</v>
      </c>
      <c r="CR17" s="409">
        <v>10722.656300000001</v>
      </c>
      <c r="CS17" s="409">
        <v>1687.8128999999999</v>
      </c>
      <c r="CT17" s="409">
        <v>9034.8433999999997</v>
      </c>
      <c r="CU17" s="409">
        <v>12410.4692</v>
      </c>
      <c r="CV17" s="409">
        <v>10722.656300000001</v>
      </c>
      <c r="CW17" s="409">
        <v>1687.8128999999999</v>
      </c>
      <c r="CX17" s="409">
        <v>9034.8433999999997</v>
      </c>
      <c r="CY17" s="409">
        <v>14283.891600000001</v>
      </c>
      <c r="CZ17" s="409">
        <v>12485.4028</v>
      </c>
      <c r="DA17" s="409">
        <v>1798.4887000000001</v>
      </c>
      <c r="DB17" s="409">
        <v>10686.914000000001</v>
      </c>
      <c r="DC17" s="550" t="s">
        <v>233</v>
      </c>
      <c r="DD17" s="550" t="s">
        <v>234</v>
      </c>
    </row>
    <row r="18" spans="2:108" s="22" customFormat="1" ht="31.5" customHeight="1" x14ac:dyDescent="0.5">
      <c r="B18" s="309" t="s">
        <v>23</v>
      </c>
      <c r="C18" s="291">
        <v>1912.11</v>
      </c>
      <c r="D18" s="319">
        <v>84.46</v>
      </c>
      <c r="E18" s="320">
        <f t="shared" si="0"/>
        <v>1827.6499999999999</v>
      </c>
      <c r="F18" s="321">
        <v>1912.11</v>
      </c>
      <c r="G18" s="322">
        <v>2557</v>
      </c>
      <c r="H18" s="323">
        <f t="shared" si="1"/>
        <v>33.726616146560609</v>
      </c>
      <c r="I18" s="322">
        <v>84.46</v>
      </c>
      <c r="J18" s="322">
        <v>239.93</v>
      </c>
      <c r="K18" s="323">
        <f t="shared" si="2"/>
        <v>184.07530191806779</v>
      </c>
      <c r="L18" s="324">
        <f t="shared" si="3"/>
        <v>2317.0700000000002</v>
      </c>
      <c r="M18" s="322">
        <v>2557</v>
      </c>
      <c r="N18" s="325">
        <v>2829.15</v>
      </c>
      <c r="O18" s="326">
        <f t="shared" si="4"/>
        <v>10.643332029722334</v>
      </c>
      <c r="P18" s="325">
        <v>239.93</v>
      </c>
      <c r="Q18" s="325">
        <v>115.17</v>
      </c>
      <c r="R18" s="326">
        <f>(Q18-P18)*100/P18</f>
        <v>-51.998499562372359</v>
      </c>
      <c r="S18" s="326">
        <f>N18-Q18</f>
        <v>2713.98</v>
      </c>
      <c r="T18" s="325">
        <v>2829.15</v>
      </c>
      <c r="U18" s="327">
        <v>3168.21</v>
      </c>
      <c r="V18" s="328">
        <f>(U18-T18)*100/T18</f>
        <v>11.984518318222785</v>
      </c>
      <c r="W18" s="329">
        <v>115.17</v>
      </c>
      <c r="X18" s="330">
        <v>234.91</v>
      </c>
      <c r="Y18" s="328">
        <f>(X18-W18)*100/W18</f>
        <v>103.96804723452287</v>
      </c>
      <c r="Z18" s="328">
        <f t="shared" si="9"/>
        <v>2933.3</v>
      </c>
      <c r="AA18" s="327">
        <v>3168.21</v>
      </c>
      <c r="AB18" s="327">
        <v>3134.07</v>
      </c>
      <c r="AC18" s="328">
        <f t="shared" si="10"/>
        <v>-1.0775800846534753</v>
      </c>
      <c r="AD18" s="330">
        <v>234.91</v>
      </c>
      <c r="AE18" s="330">
        <v>247.42</v>
      </c>
      <c r="AF18" s="331">
        <f t="shared" si="11"/>
        <v>5.3254437869822446</v>
      </c>
      <c r="AG18" s="331">
        <f t="shared" si="12"/>
        <v>2886.65</v>
      </c>
      <c r="AH18" s="331">
        <v>3134.07</v>
      </c>
      <c r="AI18" s="70">
        <v>3958.12</v>
      </c>
      <c r="AJ18" s="70">
        <v>26.293605439572094</v>
      </c>
      <c r="AK18" s="70">
        <v>247.42</v>
      </c>
      <c r="AL18" s="70">
        <v>191.59</v>
      </c>
      <c r="AM18" s="70">
        <v>-22.564869452752344</v>
      </c>
      <c r="AN18" s="71">
        <f>+AI18-AL18</f>
        <v>3766.5299999999997</v>
      </c>
      <c r="AO18" s="71">
        <v>4389</v>
      </c>
      <c r="AP18" s="72">
        <v>443.68</v>
      </c>
      <c r="AQ18" s="73">
        <f t="shared" si="22"/>
        <v>3945.32</v>
      </c>
      <c r="AR18" s="71">
        <v>5945.89</v>
      </c>
      <c r="AS18" s="72">
        <v>509.745</v>
      </c>
      <c r="AT18" s="73">
        <f t="shared" si="13"/>
        <v>5436.1450000000004</v>
      </c>
      <c r="AU18" s="74">
        <v>7095.52</v>
      </c>
      <c r="AV18" s="75" t="e">
        <f t="shared" si="14"/>
        <v>#DIV/0!</v>
      </c>
      <c r="AW18" s="75">
        <v>737.02</v>
      </c>
      <c r="AX18" s="62">
        <f t="shared" si="15"/>
        <v>6358.5</v>
      </c>
      <c r="AY18" s="63">
        <f t="shared" si="23"/>
        <v>9381.2800000000007</v>
      </c>
      <c r="AZ18" s="76">
        <v>8417.36</v>
      </c>
      <c r="BA18" s="77" t="e">
        <f t="shared" si="16"/>
        <v>#DIV/0!</v>
      </c>
      <c r="BB18" s="77">
        <v>963.92</v>
      </c>
      <c r="BC18" s="77" t="e">
        <f t="shared" si="17"/>
        <v>#DIV/0!</v>
      </c>
      <c r="BD18" s="63">
        <v>7453.43</v>
      </c>
      <c r="BE18" s="63">
        <f t="shared" si="24"/>
        <v>10956.289999999999</v>
      </c>
      <c r="BF18" s="76">
        <v>9006.3799999999992</v>
      </c>
      <c r="BG18" s="65">
        <f t="shared" si="25"/>
        <v>6.9976809831110769</v>
      </c>
      <c r="BH18" s="77">
        <v>1949.91</v>
      </c>
      <c r="BI18" s="65">
        <f t="shared" si="26"/>
        <v>102.28960909619057</v>
      </c>
      <c r="BJ18" s="63">
        <f t="shared" si="27"/>
        <v>7056.4699999999993</v>
      </c>
      <c r="BK18" s="177">
        <f>SUM(BL18+BM18)</f>
        <v>11062.541000000001</v>
      </c>
      <c r="BL18" s="178">
        <v>9470.6710000000003</v>
      </c>
      <c r="BM18" s="178">
        <v>1591.87</v>
      </c>
      <c r="BN18" s="63">
        <f>+BL18-BM18</f>
        <v>7878.8010000000004</v>
      </c>
      <c r="BO18" s="304">
        <f t="shared" si="28"/>
        <v>9514.48</v>
      </c>
      <c r="BP18" s="332">
        <v>8222.56</v>
      </c>
      <c r="BQ18" s="333">
        <v>1291.93</v>
      </c>
      <c r="BR18" s="307">
        <f>+BP18-BQ18</f>
        <v>6930.6299999999992</v>
      </c>
      <c r="BS18" s="414">
        <f t="shared" si="29"/>
        <v>11550.145200000001</v>
      </c>
      <c r="BT18" s="415">
        <v>9690.6013000000003</v>
      </c>
      <c r="BU18" s="415">
        <v>1859.5438999999999</v>
      </c>
      <c r="BV18" s="420">
        <f t="shared" si="30"/>
        <v>7831.0574000000006</v>
      </c>
      <c r="BW18" s="421">
        <f t="shared" si="31"/>
        <v>13428.764999999999</v>
      </c>
      <c r="BX18" s="415">
        <v>11702.0345</v>
      </c>
      <c r="BY18" s="415">
        <v>1726.7304999999999</v>
      </c>
      <c r="BZ18" s="417">
        <f t="shared" si="32"/>
        <v>9975.3040000000001</v>
      </c>
      <c r="CA18" s="632"/>
      <c r="CB18" s="633"/>
      <c r="CC18" s="634"/>
      <c r="CD18" s="635"/>
      <c r="CE18" s="634"/>
      <c r="CF18" s="634"/>
      <c r="CG18" s="636"/>
      <c r="CI18" s="312"/>
      <c r="CJ18" s="313"/>
      <c r="CL18" s="549" t="s">
        <v>22</v>
      </c>
      <c r="CM18" s="409">
        <v>11027.3806</v>
      </c>
      <c r="CN18" s="409">
        <v>9490.0876000000007</v>
      </c>
      <c r="CO18" s="409">
        <v>1537.2928999999999</v>
      </c>
      <c r="CP18" s="409">
        <v>7952.7947000000004</v>
      </c>
      <c r="CQ18" s="409">
        <v>14420.463900000001</v>
      </c>
      <c r="CR18" s="409">
        <v>12675.671899999999</v>
      </c>
      <c r="CS18" s="409">
        <v>1744.7918999999999</v>
      </c>
      <c r="CT18" s="409">
        <v>10930.8799</v>
      </c>
      <c r="CU18" s="409">
        <v>14420.463900000001</v>
      </c>
      <c r="CV18" s="409">
        <v>12675.671899999999</v>
      </c>
      <c r="CW18" s="409">
        <v>1744.7918999999999</v>
      </c>
      <c r="CX18" s="409">
        <v>10930.8799</v>
      </c>
      <c r="CY18" s="409">
        <v>13672.851699999999</v>
      </c>
      <c r="CZ18" s="409">
        <v>12128.381299999999</v>
      </c>
      <c r="DA18" s="409">
        <v>1544.4703</v>
      </c>
      <c r="DB18" s="409">
        <v>10583.911</v>
      </c>
      <c r="DC18" s="550" t="s">
        <v>235</v>
      </c>
      <c r="DD18" s="550" t="s">
        <v>236</v>
      </c>
    </row>
    <row r="19" spans="2:108" s="22" customFormat="1" ht="31.5" customHeight="1" x14ac:dyDescent="0.5">
      <c r="B19" s="334" t="s">
        <v>5</v>
      </c>
      <c r="C19" s="335"/>
      <c r="D19" s="336"/>
      <c r="E19" s="335"/>
      <c r="F19" s="336"/>
      <c r="G19" s="337"/>
      <c r="H19" s="337"/>
      <c r="I19" s="337"/>
      <c r="J19" s="337"/>
      <c r="K19" s="337"/>
      <c r="L19" s="338"/>
      <c r="M19" s="338"/>
      <c r="N19" s="339"/>
      <c r="O19" s="340"/>
      <c r="P19" s="339"/>
      <c r="Q19" s="339"/>
      <c r="R19" s="340"/>
      <c r="S19" s="339"/>
      <c r="T19" s="339"/>
      <c r="U19" s="341"/>
      <c r="V19" s="342"/>
      <c r="W19" s="341"/>
      <c r="X19" s="341"/>
      <c r="Y19" s="342"/>
      <c r="Z19" s="341"/>
      <c r="AA19" s="341"/>
      <c r="AB19" s="341"/>
      <c r="AC19" s="343"/>
      <c r="AD19" s="341"/>
      <c r="AE19" s="341"/>
      <c r="AF19" s="343"/>
      <c r="AG19" s="344"/>
      <c r="AH19" s="341"/>
      <c r="AI19" s="78">
        <f>SUM(AI7:AI18)-0.02</f>
        <v>42878.660000000011</v>
      </c>
      <c r="AJ19" s="78">
        <f t="shared" ref="AJ19:AT19" si="38">SUM(AJ7:AJ18)</f>
        <v>-94.833872438713556</v>
      </c>
      <c r="AK19" s="78">
        <f t="shared" si="38"/>
        <v>2935.6099999999997</v>
      </c>
      <c r="AL19" s="78">
        <f t="shared" si="38"/>
        <v>2494.8500000000004</v>
      </c>
      <c r="AM19" s="78">
        <f t="shared" si="38"/>
        <v>-128.00598552344798</v>
      </c>
      <c r="AN19" s="79">
        <f t="shared" si="38"/>
        <v>40383.810000000005</v>
      </c>
      <c r="AO19" s="78">
        <f t="shared" si="38"/>
        <v>51112.45</v>
      </c>
      <c r="AP19" s="78">
        <f t="shared" si="38"/>
        <v>4303.88</v>
      </c>
      <c r="AQ19" s="78">
        <f t="shared" si="38"/>
        <v>46808.57</v>
      </c>
      <c r="AR19" s="78">
        <f t="shared" si="38"/>
        <v>59065.32</v>
      </c>
      <c r="AS19" s="80">
        <f t="shared" si="38"/>
        <v>4912.0599999999995</v>
      </c>
      <c r="AT19" s="81">
        <f t="shared" si="38"/>
        <v>54153.260000000009</v>
      </c>
      <c r="AU19" s="78">
        <f>SUM(AU7:AU18)</f>
        <v>74921.52</v>
      </c>
      <c r="AV19" s="78">
        <f t="shared" si="14"/>
        <v>519050.03562310745</v>
      </c>
      <c r="AW19" s="80">
        <f>SUM(AW7:AW18)</f>
        <v>7167.5499999999993</v>
      </c>
      <c r="AX19" s="81">
        <f>SUM(AX7:AX18)</f>
        <v>67753.97</v>
      </c>
      <c r="AY19" s="82">
        <f t="shared" si="23"/>
        <v>93836.310000000012</v>
      </c>
      <c r="AZ19" s="78">
        <f>SUM(AZ7:AZ18)+0.01</f>
        <v>84087.900000000009</v>
      </c>
      <c r="BA19" s="78">
        <f t="shared" si="16"/>
        <v>582566.18563628045</v>
      </c>
      <c r="BB19" s="80">
        <f>SUM(BB7:BB18)</f>
        <v>9748.41</v>
      </c>
      <c r="BC19" s="83">
        <f t="shared" si="17"/>
        <v>7565.6522764803021</v>
      </c>
      <c r="BD19" s="81">
        <f>SUM(BD7:BD18)+0.01</f>
        <v>74339.489999999976</v>
      </c>
      <c r="BE19" s="82">
        <f t="shared" si="24"/>
        <v>115012.39000000001</v>
      </c>
      <c r="BF19" s="78">
        <f>SUM(BF7:BF18)-0.01</f>
        <v>96778.890000000014</v>
      </c>
      <c r="BG19" s="84">
        <f t="shared" si="25"/>
        <v>15.092528175873108</v>
      </c>
      <c r="BH19" s="80">
        <f>SUM(BH7:BH18)</f>
        <v>18233.5</v>
      </c>
      <c r="BI19" s="84">
        <f t="shared" si="26"/>
        <v>87.040758441633045</v>
      </c>
      <c r="BJ19" s="81">
        <f>SUM(BJ7:BJ18)-0.01</f>
        <v>78545.39</v>
      </c>
      <c r="BK19" s="174">
        <f>SUM(BL19+BM19)</f>
        <v>125078.155</v>
      </c>
      <c r="BL19" s="175">
        <f>SUM(BL7:BL18)</f>
        <v>104692.027</v>
      </c>
      <c r="BM19" s="80">
        <f>SUM(BM7:BM18)</f>
        <v>20386.127999999993</v>
      </c>
      <c r="BN19" s="81">
        <f>SUM(BN7:BN18)</f>
        <v>84305.89899999999</v>
      </c>
      <c r="BO19" s="213">
        <f>SUM(BP19+BQ19)</f>
        <v>121050.69</v>
      </c>
      <c r="BP19" s="217">
        <f>SUM(BP7:BP18)-0.01</f>
        <v>101342.44</v>
      </c>
      <c r="BQ19" s="217">
        <f>SUM(BQ7:BQ18)+0.01</f>
        <v>19708.25</v>
      </c>
      <c r="BR19" s="215">
        <f>SUM(BR7:BR18)-0.02</f>
        <v>81634.190000000017</v>
      </c>
      <c r="BS19" s="218">
        <f>SUM(BS7:BS18)</f>
        <v>125268.3067</v>
      </c>
      <c r="BT19" s="217">
        <f>SUM(BT7:BT18)</f>
        <v>101727.60139999999</v>
      </c>
      <c r="BU19" s="217">
        <f>SUM(BU7:BU18)</f>
        <v>23540.705300000001</v>
      </c>
      <c r="BV19" s="390">
        <f>SUM(BV7:BV18)</f>
        <v>78186.896099999998</v>
      </c>
      <c r="BW19" s="498">
        <f>BX19+BY19</f>
        <v>145382.32560000001</v>
      </c>
      <c r="BX19" s="391">
        <f>SUM(BX7:BX18)</f>
        <v>122602.57060000001</v>
      </c>
      <c r="BY19" s="391">
        <f>SUM(BY7:BY18)</f>
        <v>22779.755000000001</v>
      </c>
      <c r="BZ19" s="215">
        <f>BX19-BY19</f>
        <v>99822.815600000002</v>
      </c>
      <c r="CA19" s="229">
        <f>SUM(CA7:CA18)</f>
        <v>146415.99780000001</v>
      </c>
      <c r="CB19" s="558">
        <f>SUM(CB7:CB18)</f>
        <v>126905.22869999999</v>
      </c>
      <c r="CC19" s="559">
        <f>(CB19-CI19)*100/CI19</f>
        <v>14.431573699128382</v>
      </c>
      <c r="CD19" s="558">
        <f>SUM(CD7:CD18)</f>
        <v>127.17</v>
      </c>
      <c r="CE19" s="558">
        <f>SUM(CE7:CE18)</f>
        <v>19510.769100000005</v>
      </c>
      <c r="CF19" s="559">
        <f>(CE19-CJ19)*100/CJ19</f>
        <v>-7.3255764272729298</v>
      </c>
      <c r="CG19" s="560">
        <f>SUM(CG7:CG18)</f>
        <v>107394.4596</v>
      </c>
      <c r="CI19" s="357">
        <f>SUM(CI7:CI18)</f>
        <v>110900.53610000001</v>
      </c>
      <c r="CJ19" s="357">
        <f>SUM(CJ7:CJ18)</f>
        <v>21053.0245</v>
      </c>
      <c r="CL19" s="549" t="s">
        <v>23</v>
      </c>
      <c r="CM19" s="409">
        <v>11550.1453</v>
      </c>
      <c r="CN19" s="409">
        <v>9690.6013000000003</v>
      </c>
      <c r="CO19" s="409">
        <v>1859.5438999999999</v>
      </c>
      <c r="CP19" s="409">
        <v>7831.0573999999997</v>
      </c>
      <c r="CQ19" s="409">
        <v>13428.765100000001</v>
      </c>
      <c r="CR19" s="409">
        <v>11702.0345</v>
      </c>
      <c r="CS19" s="409">
        <v>1726.7304999999999</v>
      </c>
      <c r="CT19" s="409">
        <v>9975.3039000000008</v>
      </c>
      <c r="CU19" s="409">
        <v>13428.765100000001</v>
      </c>
      <c r="CV19" s="409">
        <v>11702.0345</v>
      </c>
      <c r="CW19" s="409">
        <v>1726.7304999999999</v>
      </c>
      <c r="CX19" s="409">
        <v>9975.3039000000008</v>
      </c>
      <c r="CY19" s="409">
        <v>14846.414699999999</v>
      </c>
      <c r="CZ19" s="409">
        <v>13176.3989</v>
      </c>
      <c r="DA19" s="409">
        <v>1670.0156999999999</v>
      </c>
      <c r="DB19" s="409">
        <v>11506.383099999999</v>
      </c>
      <c r="DC19" s="550" t="s">
        <v>242</v>
      </c>
      <c r="DD19" s="550" t="s">
        <v>243</v>
      </c>
    </row>
    <row r="20" spans="2:108" s="12" customFormat="1" ht="20.25" customHeight="1" x14ac:dyDescent="0.5">
      <c r="B20" s="23" t="s">
        <v>34</v>
      </c>
      <c r="C20" s="24"/>
      <c r="D20" s="24"/>
      <c r="E20" s="24"/>
      <c r="F20" s="24"/>
      <c r="G20" s="13"/>
      <c r="H20" s="13"/>
      <c r="I20" s="13"/>
      <c r="J20" s="24"/>
      <c r="K20" s="24"/>
      <c r="L20" s="24"/>
      <c r="M20" s="24"/>
      <c r="N20" s="13"/>
      <c r="O20" s="13"/>
      <c r="P20" s="13"/>
      <c r="Q20" s="24"/>
      <c r="R20" s="24"/>
      <c r="S20" s="24"/>
      <c r="T20" s="24"/>
      <c r="U20" s="13"/>
      <c r="V20" s="13"/>
      <c r="W20" s="13"/>
      <c r="X20" s="24"/>
      <c r="Y20" s="24"/>
      <c r="Z20" s="24"/>
      <c r="AA20" s="24"/>
      <c r="AB20" s="85"/>
      <c r="AC20" s="13"/>
      <c r="AD20" s="13"/>
      <c r="AE20" s="86"/>
      <c r="AF20" s="86"/>
      <c r="AG20" s="49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392"/>
      <c r="BY20" s="392"/>
      <c r="BZ20" s="27"/>
      <c r="CA20" s="27"/>
      <c r="CB20" s="87"/>
      <c r="CC20" s="87"/>
      <c r="CD20" s="87"/>
      <c r="CE20" s="87"/>
      <c r="CF20" s="87"/>
      <c r="CG20" s="38" t="s">
        <v>67</v>
      </c>
      <c r="CL20" s="618"/>
      <c r="CM20" s="551" t="s">
        <v>130</v>
      </c>
      <c r="CN20" s="551" t="s">
        <v>131</v>
      </c>
      <c r="CO20" s="551" t="s">
        <v>132</v>
      </c>
      <c r="CP20" s="551" t="s">
        <v>133</v>
      </c>
      <c r="CQ20" s="551" t="s">
        <v>134</v>
      </c>
      <c r="CR20" s="551" t="s">
        <v>135</v>
      </c>
      <c r="CS20" s="551" t="s">
        <v>136</v>
      </c>
      <c r="CT20" s="551" t="s">
        <v>137</v>
      </c>
      <c r="CU20" s="551" t="s">
        <v>134</v>
      </c>
      <c r="CV20" s="551" t="s">
        <v>135</v>
      </c>
      <c r="CW20" s="551" t="s">
        <v>136</v>
      </c>
      <c r="CX20" s="551" t="s">
        <v>137</v>
      </c>
      <c r="CY20" s="551" t="s">
        <v>244</v>
      </c>
      <c r="CZ20" s="551" t="s">
        <v>245</v>
      </c>
      <c r="DA20" s="551" t="s">
        <v>246</v>
      </c>
      <c r="DB20" s="551" t="s">
        <v>247</v>
      </c>
      <c r="DC20" s="618" t="s">
        <v>248</v>
      </c>
      <c r="DD20" s="618" t="s">
        <v>249</v>
      </c>
    </row>
    <row r="21" spans="2:108" s="515" customFormat="1" ht="18.75" customHeight="1" x14ac:dyDescent="0.2">
      <c r="B21" s="380" t="s">
        <v>103</v>
      </c>
      <c r="C21" s="381"/>
      <c r="D21" s="382"/>
      <c r="E21" s="382"/>
      <c r="F21" s="382"/>
      <c r="G21" s="27"/>
      <c r="H21" s="27"/>
      <c r="I21" s="27"/>
      <c r="N21" s="27"/>
      <c r="O21" s="27"/>
      <c r="P21" s="27"/>
      <c r="U21" s="27"/>
      <c r="V21" s="27"/>
      <c r="W21" s="27"/>
      <c r="AB21" s="27"/>
      <c r="AC21" s="27"/>
      <c r="AD21" s="27"/>
      <c r="AE21" s="516"/>
      <c r="AF21" s="516"/>
      <c r="AG21" s="516"/>
      <c r="AH21" s="517">
        <v>38921.200000000004</v>
      </c>
      <c r="AI21" s="518" t="s">
        <v>44</v>
      </c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 t="s">
        <v>45</v>
      </c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9"/>
      <c r="BY21" s="519"/>
      <c r="BZ21" s="518"/>
      <c r="CA21" s="518"/>
      <c r="CB21" s="518"/>
      <c r="CC21" s="518"/>
      <c r="CD21" s="520"/>
      <c r="CE21" s="521"/>
      <c r="CF21" s="27"/>
      <c r="CG21" s="27" t="s">
        <v>33</v>
      </c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</row>
    <row r="22" spans="2:108" s="515" customFormat="1" ht="18.75" customHeight="1" x14ac:dyDescent="0.2">
      <c r="B22" s="384" t="s">
        <v>104</v>
      </c>
      <c r="C22" s="381"/>
      <c r="D22" s="382"/>
      <c r="E22" s="382"/>
      <c r="F22" s="38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 t="s">
        <v>63</v>
      </c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27" t="s">
        <v>6</v>
      </c>
    </row>
    <row r="23" spans="2:108" s="515" customFormat="1" ht="18.75" customHeight="1" x14ac:dyDescent="0.2">
      <c r="B23" s="380" t="s">
        <v>105</v>
      </c>
      <c r="C23" s="384"/>
      <c r="D23" s="169"/>
      <c r="E23" s="169"/>
      <c r="F23" s="169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522"/>
      <c r="AG23" s="522"/>
      <c r="AH23" s="522"/>
      <c r="AI23" s="523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27"/>
    </row>
    <row r="24" spans="2:108" s="515" customFormat="1" ht="18.75" customHeight="1" x14ac:dyDescent="0.2">
      <c r="B24" s="385" t="s">
        <v>106</v>
      </c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3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27"/>
    </row>
    <row r="25" spans="2:108" s="525" customFormat="1" ht="18.75" customHeight="1" x14ac:dyDescent="0.2">
      <c r="B25" s="514" t="s">
        <v>119</v>
      </c>
    </row>
  </sheetData>
  <mergeCells count="39">
    <mergeCell ref="DC4:DD4"/>
    <mergeCell ref="CQ5:CT5"/>
    <mergeCell ref="CU5:DB5"/>
    <mergeCell ref="DC5:DC7"/>
    <mergeCell ref="DD5:DD7"/>
    <mergeCell ref="CQ6:CQ7"/>
    <mergeCell ref="CR6:CR7"/>
    <mergeCell ref="CS6:CS7"/>
    <mergeCell ref="CT6:CT7"/>
    <mergeCell ref="CY6:DB6"/>
    <mergeCell ref="CU6:CX6"/>
    <mergeCell ref="CL5:CL7"/>
    <mergeCell ref="CM5:CP5"/>
    <mergeCell ref="CM6:CM7"/>
    <mergeCell ref="CN6:CN7"/>
    <mergeCell ref="CO6:CO7"/>
    <mergeCell ref="CP6:CP7"/>
    <mergeCell ref="CL2:DA2"/>
    <mergeCell ref="CL4:DB4"/>
    <mergeCell ref="CI5:CJ5"/>
    <mergeCell ref="G5:L5"/>
    <mergeCell ref="N5:S5"/>
    <mergeCell ref="U5:Z5"/>
    <mergeCell ref="AB5:AG5"/>
    <mergeCell ref="BW5:BZ5"/>
    <mergeCell ref="B3:CG3"/>
    <mergeCell ref="BK5:BN5"/>
    <mergeCell ref="B2:CG2"/>
    <mergeCell ref="B5:B6"/>
    <mergeCell ref="C5:E5"/>
    <mergeCell ref="BO5:BR5"/>
    <mergeCell ref="CA5:CG5"/>
    <mergeCell ref="AI5:AN5"/>
    <mergeCell ref="BS5:BV5"/>
    <mergeCell ref="AO5:AQ5"/>
    <mergeCell ref="AR5:AT5"/>
    <mergeCell ref="AU5:AX5"/>
    <mergeCell ref="AY5:BD5"/>
    <mergeCell ref="BE5:BJ5"/>
  </mergeCells>
  <phoneticPr fontId="19" type="noConversion"/>
  <pageMargins left="0.39370078740157483" right="0" top="0.74803149606299213" bottom="0.74803149606299213" header="0.31496062992125984" footer="0.31496062992125984"/>
  <pageSetup paperSize="9" scale="95" orientation="portrait" r:id="rId1"/>
  <headerFooter>
    <oddHeader>&amp;C&amp;"AngsanaUPC,Regular"&amp;16- 32 -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9"/>
  <sheetViews>
    <sheetView view="pageLayout" topLeftCell="A4" zoomScale="150" zoomScaleNormal="84" zoomScalePageLayoutView="150" workbookViewId="0">
      <selection activeCell="BT6" sqref="BT6:BY12"/>
    </sheetView>
  </sheetViews>
  <sheetFormatPr defaultColWidth="9.125" defaultRowHeight="36" customHeight="1" x14ac:dyDescent="0.5"/>
  <cols>
    <col min="1" max="1" width="8.375" style="5" customWidth="1"/>
    <col min="2" max="8" width="9.125" style="5" hidden="1" customWidth="1"/>
    <col min="9" max="9" width="6.375" style="5" hidden="1" customWidth="1"/>
    <col min="10" max="10" width="6.625" style="5" hidden="1" customWidth="1"/>
    <col min="11" max="11" width="7" style="5" hidden="1" customWidth="1"/>
    <col min="12" max="12" width="6.375" style="5" hidden="1" customWidth="1"/>
    <col min="13" max="13" width="6.75" style="5" hidden="1" customWidth="1"/>
    <col min="14" max="14" width="7.625" style="5" hidden="1" customWidth="1"/>
    <col min="15" max="16" width="6.125" style="5" hidden="1" customWidth="1"/>
    <col min="17" max="17" width="6.375" style="5" hidden="1" customWidth="1"/>
    <col min="18" max="18" width="6.125" style="5" hidden="1" customWidth="1"/>
    <col min="19" max="19" width="6.875" style="5" hidden="1" customWidth="1"/>
    <col min="20" max="20" width="6" style="5" hidden="1" customWidth="1"/>
    <col min="21" max="21" width="5.75" style="5" hidden="1" customWidth="1"/>
    <col min="22" max="23" width="6.125" style="5" hidden="1" customWidth="1"/>
    <col min="24" max="24" width="6.375" style="5" hidden="1" customWidth="1"/>
    <col min="25" max="25" width="6.625" style="5" hidden="1" customWidth="1"/>
    <col min="26" max="26" width="6.375" style="5" hidden="1" customWidth="1"/>
    <col min="27" max="27" width="7.125" style="5" hidden="1" customWidth="1"/>
    <col min="28" max="28" width="7" style="5" hidden="1" customWidth="1"/>
    <col min="29" max="30" width="6.625" style="5" hidden="1" customWidth="1"/>
    <col min="31" max="31" width="6.125" style="5" hidden="1" customWidth="1"/>
    <col min="32" max="32" width="6.625" style="5" hidden="1" customWidth="1"/>
    <col min="33" max="34" width="0" style="5" hidden="1" customWidth="1"/>
    <col min="35" max="35" width="5.375" style="5" hidden="1" customWidth="1"/>
    <col min="36" max="36" width="0" style="5" hidden="1" customWidth="1"/>
    <col min="37" max="37" width="5.375" style="5" hidden="1" customWidth="1"/>
    <col min="38" max="40" width="0" style="5" hidden="1" customWidth="1"/>
    <col min="41" max="41" width="6.625" style="5" hidden="1" customWidth="1"/>
    <col min="42" max="42" width="0" style="5" hidden="1" customWidth="1"/>
    <col min="43" max="43" width="5.625" style="5" hidden="1" customWidth="1"/>
    <col min="44" max="48" width="0" style="5" hidden="1" customWidth="1"/>
    <col min="49" max="49" width="6.375" style="5" hidden="1" customWidth="1"/>
    <col min="50" max="50" width="6.125" style="5" hidden="1" customWidth="1"/>
    <col min="51" max="52" width="0" style="5" hidden="1" customWidth="1"/>
    <col min="53" max="53" width="6.375" style="5" hidden="1" customWidth="1"/>
    <col min="54" max="54" width="0" style="5" hidden="1" customWidth="1"/>
    <col min="55" max="55" width="7.125" style="5" hidden="1" customWidth="1"/>
    <col min="56" max="63" width="6.375" style="5" hidden="1" customWidth="1"/>
    <col min="64" max="67" width="6.375" style="5" customWidth="1"/>
    <col min="68" max="69" width="7" style="5" customWidth="1"/>
    <col min="70" max="70" width="6.375" style="5" customWidth="1"/>
    <col min="71" max="71" width="7.625" style="5" customWidth="1"/>
    <col min="72" max="72" width="7.25" style="198" customWidth="1"/>
    <col min="73" max="73" width="6.375" style="198" customWidth="1"/>
    <col min="74" max="74" width="5.375" style="198" customWidth="1"/>
    <col min="75" max="75" width="6.375" style="198" customWidth="1"/>
    <col min="76" max="76" width="5.25" style="198" customWidth="1"/>
    <col min="77" max="77" width="6.5" style="198" customWidth="1"/>
    <col min="78" max="78" width="7.875" style="5" customWidth="1"/>
    <col min="79" max="80" width="9.125" style="5"/>
    <col min="81" max="81" width="5" style="5" customWidth="1"/>
    <col min="82" max="82" width="9.125" style="5"/>
    <col min="83" max="98" width="6.75" style="566" customWidth="1"/>
    <col min="99" max="102" width="9.125" style="563"/>
    <col min="103" max="16384" width="9.125" style="5"/>
  </cols>
  <sheetData>
    <row r="1" spans="1:102" s="188" customFormat="1" ht="36" customHeight="1" x14ac:dyDescent="0.2">
      <c r="A1" s="723" t="s">
        <v>60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  <c r="AT1" s="723"/>
      <c r="AU1" s="723"/>
      <c r="AV1" s="723"/>
      <c r="AW1" s="723"/>
      <c r="AX1" s="723"/>
      <c r="AY1" s="723"/>
      <c r="AZ1" s="723"/>
      <c r="BA1" s="723"/>
      <c r="BB1" s="723"/>
      <c r="BC1" s="723"/>
      <c r="BD1" s="723"/>
      <c r="BE1" s="723"/>
      <c r="BF1" s="723"/>
      <c r="BG1" s="723"/>
      <c r="BH1" s="723"/>
      <c r="BI1" s="723"/>
      <c r="BJ1" s="723"/>
      <c r="BK1" s="723"/>
      <c r="BL1" s="723"/>
      <c r="BM1" s="723"/>
      <c r="BN1" s="723"/>
      <c r="BO1" s="723"/>
      <c r="BP1" s="723"/>
      <c r="BQ1" s="723"/>
      <c r="BR1" s="723"/>
      <c r="BS1" s="723"/>
      <c r="BT1" s="723"/>
      <c r="BU1" s="723"/>
      <c r="BV1" s="723"/>
      <c r="BW1" s="723"/>
      <c r="BX1" s="723"/>
      <c r="BY1" s="723"/>
      <c r="BZ1" s="191"/>
      <c r="CD1" s="694" t="s">
        <v>250</v>
      </c>
      <c r="CE1" s="694"/>
      <c r="CF1" s="694"/>
      <c r="CG1" s="694"/>
      <c r="CH1" s="694"/>
      <c r="CI1" s="694"/>
      <c r="CJ1" s="694"/>
      <c r="CK1" s="694"/>
      <c r="CL1" s="694"/>
      <c r="CM1" s="694"/>
      <c r="CN1" s="694"/>
      <c r="CO1" s="694"/>
      <c r="CP1" s="694"/>
      <c r="CQ1" s="694"/>
      <c r="CR1" s="694"/>
      <c r="CS1" s="694"/>
      <c r="CT1"/>
      <c r="CU1"/>
      <c r="CV1"/>
      <c r="CW1"/>
      <c r="CX1"/>
    </row>
    <row r="2" spans="1:102" s="188" customFormat="1" ht="36" customHeight="1" x14ac:dyDescent="0.2">
      <c r="A2" s="704" t="s">
        <v>321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4"/>
      <c r="BF2" s="704"/>
      <c r="BG2" s="704"/>
      <c r="BH2" s="704"/>
      <c r="BI2" s="704"/>
      <c r="BJ2" s="704"/>
      <c r="BK2" s="704"/>
      <c r="BL2" s="704"/>
      <c r="BM2" s="704"/>
      <c r="BN2" s="704"/>
      <c r="BO2" s="704"/>
      <c r="BP2" s="704"/>
      <c r="BQ2" s="704"/>
      <c r="BR2" s="704"/>
      <c r="BS2" s="704"/>
      <c r="BT2" s="704"/>
      <c r="BU2" s="704"/>
      <c r="BV2" s="704"/>
      <c r="BW2" s="704"/>
      <c r="BX2" s="704"/>
      <c r="BY2" s="704"/>
      <c r="BZ2" s="389"/>
      <c r="CA2" s="389"/>
      <c r="CB2" s="389"/>
      <c r="CC2" s="389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ht="36" customHeight="1" x14ac:dyDescent="0.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89"/>
      <c r="BV3" s="89"/>
      <c r="BW3" s="89"/>
      <c r="BX3" s="89"/>
      <c r="BY3" s="183" t="s">
        <v>26</v>
      </c>
      <c r="BZ3" s="183"/>
      <c r="CD3" s="695" t="s">
        <v>0</v>
      </c>
      <c r="CE3" s="695">
        <v>2560</v>
      </c>
      <c r="CF3" s="695"/>
      <c r="CG3" s="695"/>
      <c r="CH3" s="695"/>
      <c r="CI3" s="695">
        <v>2561</v>
      </c>
      <c r="CJ3" s="695"/>
      <c r="CK3" s="695"/>
      <c r="CL3" s="695"/>
      <c r="CM3" s="695" t="s">
        <v>241</v>
      </c>
      <c r="CN3" s="695"/>
      <c r="CO3" s="695"/>
      <c r="CP3" s="695"/>
      <c r="CQ3" s="695"/>
      <c r="CR3" s="695"/>
      <c r="CS3" s="695"/>
      <c r="CT3" s="695"/>
      <c r="CU3" s="695" t="s">
        <v>240</v>
      </c>
      <c r="CV3" s="695"/>
      <c r="CW3" s="695" t="s">
        <v>251</v>
      </c>
      <c r="CX3" s="695"/>
    </row>
    <row r="4" spans="1:102" s="12" customFormat="1" ht="36" customHeight="1" x14ac:dyDescent="0.5">
      <c r="A4" s="714" t="s">
        <v>0</v>
      </c>
      <c r="B4" s="716">
        <v>2547</v>
      </c>
      <c r="C4" s="716"/>
      <c r="D4" s="41"/>
      <c r="E4" s="717">
        <v>2548</v>
      </c>
      <c r="F4" s="718"/>
      <c r="G4" s="719"/>
      <c r="H4" s="717">
        <v>2549</v>
      </c>
      <c r="I4" s="718"/>
      <c r="J4" s="719"/>
      <c r="K4" s="717">
        <v>2550</v>
      </c>
      <c r="L4" s="718"/>
      <c r="M4" s="719"/>
      <c r="N4" s="717">
        <v>2550</v>
      </c>
      <c r="O4" s="718"/>
      <c r="P4" s="719"/>
      <c r="Q4" s="720">
        <v>2551</v>
      </c>
      <c r="R4" s="721"/>
      <c r="S4" s="721"/>
      <c r="T4" s="721"/>
      <c r="U4" s="722"/>
      <c r="V4" s="91"/>
      <c r="W4" s="707">
        <v>2552</v>
      </c>
      <c r="X4" s="711"/>
      <c r="Y4" s="711"/>
      <c r="Z4" s="711"/>
      <c r="AA4" s="711"/>
      <c r="AB4" s="712"/>
      <c r="AC4" s="92"/>
      <c r="AD4" s="708">
        <v>2553</v>
      </c>
      <c r="AE4" s="708"/>
      <c r="AF4" s="709"/>
      <c r="AG4" s="708">
        <v>2554</v>
      </c>
      <c r="AH4" s="708"/>
      <c r="AI4" s="709"/>
      <c r="AJ4" s="707">
        <v>2555</v>
      </c>
      <c r="AK4" s="711"/>
      <c r="AL4" s="711"/>
      <c r="AM4" s="711"/>
      <c r="AN4" s="711"/>
      <c r="AO4" s="712"/>
      <c r="AP4" s="707">
        <v>2556</v>
      </c>
      <c r="AQ4" s="708"/>
      <c r="AR4" s="708"/>
      <c r="AS4" s="708"/>
      <c r="AT4" s="708"/>
      <c r="AU4" s="708"/>
      <c r="AV4" s="709"/>
      <c r="AW4" s="707">
        <v>2557</v>
      </c>
      <c r="AX4" s="708"/>
      <c r="AY4" s="708"/>
      <c r="AZ4" s="708"/>
      <c r="BA4" s="708"/>
      <c r="BB4" s="708"/>
      <c r="BC4" s="709"/>
      <c r="BD4" s="707">
        <v>2558</v>
      </c>
      <c r="BE4" s="708"/>
      <c r="BF4" s="708"/>
      <c r="BG4" s="709"/>
      <c r="BH4" s="707">
        <v>2559</v>
      </c>
      <c r="BI4" s="708"/>
      <c r="BJ4" s="708"/>
      <c r="BK4" s="709"/>
      <c r="BL4" s="707">
        <v>2560</v>
      </c>
      <c r="BM4" s="708"/>
      <c r="BN4" s="708"/>
      <c r="BO4" s="708"/>
      <c r="BP4" s="707">
        <v>2561</v>
      </c>
      <c r="BQ4" s="708"/>
      <c r="BR4" s="708"/>
      <c r="BS4" s="708"/>
      <c r="BT4" s="710" t="s">
        <v>324</v>
      </c>
      <c r="BU4" s="710"/>
      <c r="BV4" s="710"/>
      <c r="BW4" s="710"/>
      <c r="BX4" s="710"/>
      <c r="BY4" s="710"/>
      <c r="BZ4" s="193"/>
      <c r="CA4" s="713" t="s">
        <v>326</v>
      </c>
      <c r="CB4" s="713"/>
      <c r="CD4" s="695"/>
      <c r="CE4" s="695" t="s">
        <v>9</v>
      </c>
      <c r="CF4" s="695" t="s">
        <v>1</v>
      </c>
      <c r="CG4" s="695" t="s">
        <v>2</v>
      </c>
      <c r="CH4" s="695" t="s">
        <v>3</v>
      </c>
      <c r="CI4" s="695" t="s">
        <v>9</v>
      </c>
      <c r="CJ4" s="695" t="s">
        <v>1</v>
      </c>
      <c r="CK4" s="695" t="s">
        <v>2</v>
      </c>
      <c r="CL4" s="695" t="s">
        <v>3</v>
      </c>
      <c r="CM4" s="695">
        <v>2561</v>
      </c>
      <c r="CN4" s="695"/>
      <c r="CO4" s="695"/>
      <c r="CP4" s="695"/>
      <c r="CQ4" s="695">
        <v>2562</v>
      </c>
      <c r="CR4" s="695"/>
      <c r="CS4" s="695"/>
      <c r="CT4" s="695"/>
      <c r="CU4" s="695" t="s">
        <v>1</v>
      </c>
      <c r="CV4" s="695" t="s">
        <v>2</v>
      </c>
      <c r="CW4" s="695" t="s">
        <v>1</v>
      </c>
      <c r="CX4" s="695" t="s">
        <v>2</v>
      </c>
    </row>
    <row r="5" spans="1:102" s="14" customFormat="1" ht="36" customHeight="1" x14ac:dyDescent="0.5">
      <c r="A5" s="715"/>
      <c r="B5" s="32" t="s">
        <v>1</v>
      </c>
      <c r="C5" s="32" t="s">
        <v>2</v>
      </c>
      <c r="D5" s="93" t="s">
        <v>3</v>
      </c>
      <c r="E5" s="94" t="s">
        <v>1</v>
      </c>
      <c r="F5" s="94" t="s">
        <v>2</v>
      </c>
      <c r="G5" s="93" t="s">
        <v>3</v>
      </c>
      <c r="H5" s="94" t="s">
        <v>1</v>
      </c>
      <c r="I5" s="94" t="s">
        <v>2</v>
      </c>
      <c r="J5" s="93" t="s">
        <v>3</v>
      </c>
      <c r="K5" s="94" t="s">
        <v>1</v>
      </c>
      <c r="L5" s="94" t="s">
        <v>2</v>
      </c>
      <c r="M5" s="93" t="s">
        <v>3</v>
      </c>
      <c r="N5" s="94" t="s">
        <v>1</v>
      </c>
      <c r="O5" s="94" t="s">
        <v>2</v>
      </c>
      <c r="P5" s="93" t="s">
        <v>3</v>
      </c>
      <c r="Q5" s="95" t="s">
        <v>1</v>
      </c>
      <c r="R5" s="96" t="s">
        <v>4</v>
      </c>
      <c r="S5" s="95" t="s">
        <v>2</v>
      </c>
      <c r="T5" s="96" t="s">
        <v>4</v>
      </c>
      <c r="U5" s="97" t="s">
        <v>3</v>
      </c>
      <c r="V5" s="95">
        <v>51</v>
      </c>
      <c r="W5" s="95" t="s">
        <v>1</v>
      </c>
      <c r="X5" s="96" t="s">
        <v>4</v>
      </c>
      <c r="Y5" s="95">
        <v>51</v>
      </c>
      <c r="Z5" s="95" t="s">
        <v>2</v>
      </c>
      <c r="AA5" s="96" t="s">
        <v>4</v>
      </c>
      <c r="AB5" s="97" t="s">
        <v>3</v>
      </c>
      <c r="AC5" s="98" t="s">
        <v>46</v>
      </c>
      <c r="AD5" s="95" t="s">
        <v>1</v>
      </c>
      <c r="AE5" s="95" t="s">
        <v>2</v>
      </c>
      <c r="AF5" s="95" t="s">
        <v>3</v>
      </c>
      <c r="AG5" s="95" t="s">
        <v>1</v>
      </c>
      <c r="AH5" s="95" t="s">
        <v>2</v>
      </c>
      <c r="AI5" s="95" t="s">
        <v>3</v>
      </c>
      <c r="AJ5" s="95" t="s">
        <v>1</v>
      </c>
      <c r="AK5" s="96" t="s">
        <v>4</v>
      </c>
      <c r="AL5" s="99" t="s">
        <v>47</v>
      </c>
      <c r="AM5" s="95" t="s">
        <v>2</v>
      </c>
      <c r="AN5" s="96" t="s">
        <v>4</v>
      </c>
      <c r="AO5" s="95" t="s">
        <v>3</v>
      </c>
      <c r="AP5" s="95" t="s">
        <v>5</v>
      </c>
      <c r="AQ5" s="95" t="s">
        <v>1</v>
      </c>
      <c r="AR5" s="96" t="s">
        <v>4</v>
      </c>
      <c r="AS5" s="99" t="s">
        <v>47</v>
      </c>
      <c r="AT5" s="95" t="s">
        <v>2</v>
      </c>
      <c r="AU5" s="96" t="s">
        <v>4</v>
      </c>
      <c r="AV5" s="100" t="s">
        <v>3</v>
      </c>
      <c r="AW5" s="95" t="s">
        <v>5</v>
      </c>
      <c r="AX5" s="95" t="s">
        <v>1</v>
      </c>
      <c r="AY5" s="96" t="s">
        <v>4</v>
      </c>
      <c r="AZ5" s="95" t="s">
        <v>2</v>
      </c>
      <c r="BA5" s="95" t="s">
        <v>2</v>
      </c>
      <c r="BB5" s="96" t="s">
        <v>4</v>
      </c>
      <c r="BC5" s="100" t="s">
        <v>3</v>
      </c>
      <c r="BD5" s="185" t="s">
        <v>5</v>
      </c>
      <c r="BE5" s="185" t="s">
        <v>1</v>
      </c>
      <c r="BF5" s="185" t="s">
        <v>2</v>
      </c>
      <c r="BG5" s="100" t="s">
        <v>3</v>
      </c>
      <c r="BH5" s="207" t="s">
        <v>5</v>
      </c>
      <c r="BI5" s="225" t="s">
        <v>1</v>
      </c>
      <c r="BJ5" s="225" t="s">
        <v>2</v>
      </c>
      <c r="BK5" s="222" t="s">
        <v>3</v>
      </c>
      <c r="BL5" s="207" t="s">
        <v>5</v>
      </c>
      <c r="BM5" s="225" t="s">
        <v>1</v>
      </c>
      <c r="BN5" s="225" t="s">
        <v>2</v>
      </c>
      <c r="BO5" s="230" t="s">
        <v>3</v>
      </c>
      <c r="BP5" s="388" t="s">
        <v>5</v>
      </c>
      <c r="BQ5" s="225" t="s">
        <v>1</v>
      </c>
      <c r="BR5" s="225" t="s">
        <v>2</v>
      </c>
      <c r="BS5" s="230" t="s">
        <v>3</v>
      </c>
      <c r="BT5" s="552" t="s">
        <v>5</v>
      </c>
      <c r="BU5" s="225" t="s">
        <v>1</v>
      </c>
      <c r="BV5" s="219" t="s">
        <v>59</v>
      </c>
      <c r="BW5" s="225" t="s">
        <v>2</v>
      </c>
      <c r="BX5" s="219" t="s">
        <v>59</v>
      </c>
      <c r="BY5" s="553" t="s">
        <v>3</v>
      </c>
      <c r="BZ5" s="194"/>
      <c r="CA5" s="192" t="s">
        <v>1</v>
      </c>
      <c r="CB5" s="126" t="s">
        <v>2</v>
      </c>
      <c r="CD5" s="695"/>
      <c r="CE5" s="695"/>
      <c r="CF5" s="695"/>
      <c r="CG5" s="695"/>
      <c r="CH5" s="695"/>
      <c r="CI5" s="695"/>
      <c r="CJ5" s="695"/>
      <c r="CK5" s="695"/>
      <c r="CL5" s="695"/>
      <c r="CM5" s="617" t="s">
        <v>9</v>
      </c>
      <c r="CN5" s="617" t="s">
        <v>1</v>
      </c>
      <c r="CO5" s="617" t="s">
        <v>2</v>
      </c>
      <c r="CP5" s="617" t="s">
        <v>3</v>
      </c>
      <c r="CQ5" s="617" t="s">
        <v>9</v>
      </c>
      <c r="CR5" s="617" t="s">
        <v>1</v>
      </c>
      <c r="CS5" s="617" t="s">
        <v>2</v>
      </c>
      <c r="CT5" s="617" t="s">
        <v>3</v>
      </c>
      <c r="CU5" s="695"/>
      <c r="CV5" s="695"/>
      <c r="CW5" s="695"/>
      <c r="CX5" s="695"/>
    </row>
    <row r="6" spans="1:102" s="14" customFormat="1" ht="36" customHeight="1" x14ac:dyDescent="0.5">
      <c r="A6" s="210" t="s">
        <v>73</v>
      </c>
      <c r="B6" s="211">
        <v>12981.45</v>
      </c>
      <c r="C6" s="211">
        <v>724.88</v>
      </c>
      <c r="D6" s="211">
        <f>B6-C6</f>
        <v>12256.570000000002</v>
      </c>
      <c r="E6" s="101">
        <v>14921.39</v>
      </c>
      <c r="F6" s="101">
        <v>951.53</v>
      </c>
      <c r="G6" s="101">
        <f>E6-F6</f>
        <v>13969.859999999999</v>
      </c>
      <c r="H6" s="101">
        <v>17733.96</v>
      </c>
      <c r="I6" s="101">
        <v>1046.1099999999999</v>
      </c>
      <c r="J6" s="101">
        <f>H6-I6</f>
        <v>16687.849999999999</v>
      </c>
      <c r="K6" s="101">
        <v>17934.61</v>
      </c>
      <c r="L6" s="101">
        <v>1141.73</v>
      </c>
      <c r="M6" s="101">
        <f>K6-L6</f>
        <v>16792.88</v>
      </c>
      <c r="N6" s="101">
        <v>17934.61</v>
      </c>
      <c r="O6" s="101">
        <v>1141.73</v>
      </c>
      <c r="P6" s="101">
        <f>N6-O6</f>
        <v>16792.88</v>
      </c>
      <c r="Q6" s="102">
        <v>26373.68</v>
      </c>
      <c r="R6" s="102">
        <f>(Q6-N6)*100/N6</f>
        <v>47.054661350316508</v>
      </c>
      <c r="S6" s="102">
        <v>1978.76</v>
      </c>
      <c r="T6" s="102">
        <f>(S6-O6)*100/O6</f>
        <v>73.312429383479454</v>
      </c>
      <c r="U6" s="103">
        <f>Q6-S6</f>
        <v>24394.920000000002</v>
      </c>
      <c r="V6" s="104">
        <v>26373.68</v>
      </c>
      <c r="W6" s="105">
        <v>21396.23</v>
      </c>
      <c r="X6" s="106">
        <f>+(W6-V6)/V6*100</f>
        <v>-18.872792875321156</v>
      </c>
      <c r="Y6" s="107">
        <v>1978.76</v>
      </c>
      <c r="Z6" s="107">
        <v>1584.1</v>
      </c>
      <c r="AA6" s="106">
        <f>+(Z6-Y6)/Y6*100</f>
        <v>-19.944813923871521</v>
      </c>
      <c r="AB6" s="106">
        <f t="shared" ref="AB6:AB12" si="0">+W6-Z6</f>
        <v>19812.13</v>
      </c>
      <c r="AC6" s="106">
        <v>12219.88</v>
      </c>
      <c r="AD6" s="108">
        <v>28089.87</v>
      </c>
      <c r="AE6" s="108">
        <v>2813.87</v>
      </c>
      <c r="AF6" s="108">
        <f>(AD6-AE6)+0.01</f>
        <v>25276.01</v>
      </c>
      <c r="AG6" s="108">
        <v>33372.94</v>
      </c>
      <c r="AH6" s="108">
        <v>4107.38</v>
      </c>
      <c r="AI6" s="108">
        <f>SUM(AG6-AH6)</f>
        <v>29265.56</v>
      </c>
      <c r="AJ6" s="108">
        <v>44976.65</v>
      </c>
      <c r="AK6" s="108">
        <f>+(AJ6-CE6)/CE6*100</f>
        <v>-40.151679819840211</v>
      </c>
      <c r="AL6" s="108">
        <v>618.36</v>
      </c>
      <c r="AM6" s="108">
        <v>5458.6</v>
      </c>
      <c r="AN6" s="108">
        <f>+(AM6-CF6)/CF6*100+0.1</f>
        <v>-90.741261091602624</v>
      </c>
      <c r="AO6" s="108">
        <f>(AJ6-AM6)+0.01</f>
        <v>39518.060000000005</v>
      </c>
      <c r="AP6" s="108">
        <f>SUM(AQ6+AT6)</f>
        <v>59651.59</v>
      </c>
      <c r="AQ6" s="65">
        <v>51625.85</v>
      </c>
      <c r="AR6" s="109">
        <f>+(AQ6-CE6)/CE6*100</f>
        <v>-31.303901015907098</v>
      </c>
      <c r="AS6" s="65">
        <v>618.36</v>
      </c>
      <c r="AT6" s="65">
        <v>8025.74</v>
      </c>
      <c r="AU6" s="109">
        <f>+(AT6-CF6)/CF6*100</f>
        <v>-86.533972592481362</v>
      </c>
      <c r="AV6" s="65">
        <f>SUM(AQ6-AT6)-0.01</f>
        <v>43600.1</v>
      </c>
      <c r="AW6" s="65">
        <f>SUM(AX6+BA6)</f>
        <v>74771.744999999995</v>
      </c>
      <c r="AX6" s="110">
        <v>59508.775000000001</v>
      </c>
      <c r="AY6" s="65">
        <f>+(AX6-AQ6)/AQ6*100</f>
        <v>15.269336969754498</v>
      </c>
      <c r="AZ6" s="65">
        <v>618.36</v>
      </c>
      <c r="BA6" s="65">
        <v>15262.97</v>
      </c>
      <c r="BB6" s="65">
        <f>+(BA6-AT6)/AT6*100</f>
        <v>90.175236177598578</v>
      </c>
      <c r="BC6" s="110">
        <f>SUM(AX6-BA6)-0.01</f>
        <v>44245.794999999998</v>
      </c>
      <c r="BD6" s="110">
        <f t="shared" ref="BD6:BD12" si="1">SUM(BE6+BF6)</f>
        <v>77173.313999999998</v>
      </c>
      <c r="BE6" s="65">
        <v>61061.42</v>
      </c>
      <c r="BF6" s="110">
        <v>16111.894</v>
      </c>
      <c r="BG6" s="65">
        <f t="shared" ref="BG6:BG12" si="2">SUM(BE6-BF6)</f>
        <v>44949.525999999998</v>
      </c>
      <c r="BH6" s="220">
        <f t="shared" ref="BH6:BH11" si="3">SUM(BI6+BJ6)</f>
        <v>66670.045299999998</v>
      </c>
      <c r="BI6" s="226">
        <v>53897.3246</v>
      </c>
      <c r="BJ6" s="226">
        <v>12772.7207</v>
      </c>
      <c r="BK6" s="223">
        <f t="shared" ref="BK6:BK12" si="4">SUM(BI6-BJ6)</f>
        <v>41124.603900000002</v>
      </c>
      <c r="BL6" s="422">
        <f>SUM(BM6+BN6)+0.01</f>
        <v>75151.074899999992</v>
      </c>
      <c r="BM6" s="415">
        <v>59599.9084</v>
      </c>
      <c r="BN6" s="415">
        <v>15551.156499999999</v>
      </c>
      <c r="BO6" s="423">
        <f t="shared" ref="BO6:BO11" si="5">SUM(BM6-BN6)</f>
        <v>44048.751900000003</v>
      </c>
      <c r="BP6" s="422">
        <f t="shared" ref="BP6:BP11" si="6">BQ6+BR6</f>
        <v>90653.919099999999</v>
      </c>
      <c r="BQ6" s="415">
        <v>76318.6155</v>
      </c>
      <c r="BR6" s="415">
        <v>14335.303599999999</v>
      </c>
      <c r="BS6" s="619">
        <f t="shared" ref="BS6:BS11" si="7">BQ6-BR6</f>
        <v>61983.311900000001</v>
      </c>
      <c r="BT6" s="637">
        <f>SUM(BU6+BW6)</f>
        <v>91718.185600000012</v>
      </c>
      <c r="BU6" s="638">
        <v>80239.633100000006</v>
      </c>
      <c r="BV6" s="639">
        <f t="shared" ref="BV6:BV12" si="8">SUM(BU6-CA6)*100/CA6</f>
        <v>16.751715116946333</v>
      </c>
      <c r="BW6" s="638">
        <v>11478.5525</v>
      </c>
      <c r="BX6" s="639">
        <f>SUM(BW6-CB6)*100/CB6</f>
        <v>-14.126278209745811</v>
      </c>
      <c r="BY6" s="640">
        <f t="shared" ref="BY6:BY11" si="9">SUM(BU6-BW6)</f>
        <v>68761.080600000001</v>
      </c>
      <c r="BZ6" s="205"/>
      <c r="CA6" s="409">
        <v>68726.727499999994</v>
      </c>
      <c r="CB6" s="409">
        <v>13366.781199999999</v>
      </c>
      <c r="CD6" s="549" t="s">
        <v>122</v>
      </c>
      <c r="CE6" s="409">
        <v>75151.065000000002</v>
      </c>
      <c r="CF6" s="409">
        <v>59599.9084</v>
      </c>
      <c r="CG6" s="409">
        <v>15551.156499999999</v>
      </c>
      <c r="CH6" s="409">
        <v>44048.751900000003</v>
      </c>
      <c r="CI6" s="409">
        <v>90653.919200000004</v>
      </c>
      <c r="CJ6" s="409">
        <v>76318.6155</v>
      </c>
      <c r="CK6" s="409">
        <v>14335.303599999999</v>
      </c>
      <c r="CL6" s="409">
        <v>61983.311900000001</v>
      </c>
      <c r="CM6" s="409">
        <v>90653.919200000004</v>
      </c>
      <c r="CN6" s="409">
        <v>76318.6155</v>
      </c>
      <c r="CO6" s="409">
        <v>14335.303599999999</v>
      </c>
      <c r="CP6" s="409">
        <v>61983.311900000001</v>
      </c>
      <c r="CQ6" s="409">
        <v>101256.46030000001</v>
      </c>
      <c r="CR6" s="409">
        <v>88731.722200000004</v>
      </c>
      <c r="CS6" s="409">
        <v>12524.7381</v>
      </c>
      <c r="CT6" s="409">
        <v>76206.984100000001</v>
      </c>
      <c r="CU6" s="550" t="s">
        <v>252</v>
      </c>
      <c r="CV6" s="550" t="s">
        <v>253</v>
      </c>
      <c r="CW6" s="550" t="s">
        <v>254</v>
      </c>
      <c r="CX6" s="550" t="s">
        <v>255</v>
      </c>
    </row>
    <row r="7" spans="1:102" ht="36" customHeight="1" x14ac:dyDescent="0.5">
      <c r="A7" s="210" t="s">
        <v>74</v>
      </c>
      <c r="B7" s="211">
        <v>5956.52</v>
      </c>
      <c r="C7" s="211">
        <v>33.76</v>
      </c>
      <c r="D7" s="211">
        <f>B7-C7</f>
        <v>5922.76</v>
      </c>
      <c r="E7" s="101">
        <v>9311.33</v>
      </c>
      <c r="F7" s="101">
        <v>37.54</v>
      </c>
      <c r="G7" s="101">
        <f>E7-F7</f>
        <v>9273.7899999999991</v>
      </c>
      <c r="H7" s="101">
        <v>11260.67</v>
      </c>
      <c r="I7" s="101">
        <v>75.540000000000006</v>
      </c>
      <c r="J7" s="101">
        <f>H7-I7</f>
        <v>11185.13</v>
      </c>
      <c r="K7" s="101">
        <v>11777.17</v>
      </c>
      <c r="L7" s="101">
        <v>121.59</v>
      </c>
      <c r="M7" s="101">
        <f>K7-L7</f>
        <v>11655.58</v>
      </c>
      <c r="N7" s="101">
        <v>11777.17</v>
      </c>
      <c r="O7" s="101">
        <v>121.59</v>
      </c>
      <c r="P7" s="101">
        <f>N7-O7</f>
        <v>11655.58</v>
      </c>
      <c r="Q7" s="102">
        <v>16455.04</v>
      </c>
      <c r="R7" s="102">
        <f>(Q7-N7)*100/N7</f>
        <v>39.719813843223804</v>
      </c>
      <c r="S7" s="102">
        <v>26.2</v>
      </c>
      <c r="T7" s="111">
        <f>(S7-O7)*100/O7</f>
        <v>-78.452175343367045</v>
      </c>
      <c r="U7" s="103">
        <f>Q7-S7</f>
        <v>16428.84</v>
      </c>
      <c r="V7" s="104">
        <v>16455.04</v>
      </c>
      <c r="W7" s="105">
        <v>17974.23</v>
      </c>
      <c r="X7" s="106">
        <f>+(W7-V7)/V7*100</f>
        <v>9.2323689276963083</v>
      </c>
      <c r="Y7" s="107">
        <v>26.2</v>
      </c>
      <c r="Z7" s="107">
        <v>48.9</v>
      </c>
      <c r="AA7" s="106">
        <f>+(Z7-Y7)/Y7*100</f>
        <v>86.641221374045799</v>
      </c>
      <c r="AB7" s="106">
        <f t="shared" si="0"/>
        <v>17925.329999999998</v>
      </c>
      <c r="AC7" s="106">
        <v>10375.42</v>
      </c>
      <c r="AD7" s="108">
        <v>18917.54</v>
      </c>
      <c r="AE7" s="108">
        <v>101.57</v>
      </c>
      <c r="AF7" s="108">
        <f>(AD7-AE7)-0.01</f>
        <v>18815.960000000003</v>
      </c>
      <c r="AG7" s="108">
        <v>21761.61</v>
      </c>
      <c r="AH7" s="108">
        <v>150.08000000000001</v>
      </c>
      <c r="AI7" s="108">
        <f>SUM(AG7-AH7)-0.01</f>
        <v>21611.52</v>
      </c>
      <c r="AJ7" s="108">
        <v>24454.14</v>
      </c>
      <c r="AK7" s="108">
        <f>+(AJ7-CE7)/CE7*100</f>
        <v>-26.874656094334714</v>
      </c>
      <c r="AL7" s="108">
        <v>29.56</v>
      </c>
      <c r="AM7" s="108">
        <v>482.58</v>
      </c>
      <c r="AN7" s="108">
        <f>+(AM7-CF7)/CF7*100</f>
        <v>-98.345941085333493</v>
      </c>
      <c r="AO7" s="108">
        <f>(AJ7-AM7)</f>
        <v>23971.559999999998</v>
      </c>
      <c r="AP7" s="108">
        <f>SUM(AQ7+AT7)</f>
        <v>26825.81</v>
      </c>
      <c r="AQ7" s="65">
        <v>25431.83</v>
      </c>
      <c r="AR7" s="109">
        <f>+(AQ7-CE7)/CE7*100</f>
        <v>-23.951064527298207</v>
      </c>
      <c r="AS7" s="65">
        <v>29.56</v>
      </c>
      <c r="AT7" s="65">
        <v>1393.98</v>
      </c>
      <c r="AU7" s="109">
        <f>+(AT7-CF7)/CF7*100</f>
        <v>-95.222087434483782</v>
      </c>
      <c r="AV7" s="65">
        <f>SUM(AQ7-AT7)</f>
        <v>24037.850000000002</v>
      </c>
      <c r="AW7" s="65">
        <f>SUM(AX7+BA7)</f>
        <v>29639.334999999999</v>
      </c>
      <c r="AX7" s="110">
        <v>27557.985000000001</v>
      </c>
      <c r="AY7" s="65">
        <f t="shared" ref="AY7:AY12" si="10">+(AX7-AQ7)/AQ7*100</f>
        <v>8.3602123795259669</v>
      </c>
      <c r="AZ7" s="65">
        <v>29.56</v>
      </c>
      <c r="BA7" s="65">
        <v>2081.35</v>
      </c>
      <c r="BB7" s="65">
        <f>+(BA7-AT7)/AT7*100</f>
        <v>49.309889668431389</v>
      </c>
      <c r="BC7" s="110">
        <f t="shared" ref="BC7:BC12" si="11">SUM(AX7-BA7)</f>
        <v>25476.635000000002</v>
      </c>
      <c r="BD7" s="110">
        <f t="shared" si="1"/>
        <v>31819.444000000003</v>
      </c>
      <c r="BE7" s="65">
        <v>29073.24</v>
      </c>
      <c r="BF7" s="65">
        <v>2746.2040000000002</v>
      </c>
      <c r="BG7" s="65">
        <f t="shared" si="2"/>
        <v>26327.036</v>
      </c>
      <c r="BH7" s="220">
        <f t="shared" si="3"/>
        <v>33714.361299999997</v>
      </c>
      <c r="BI7" s="226">
        <v>29739.1783</v>
      </c>
      <c r="BJ7" s="226">
        <v>3975.183</v>
      </c>
      <c r="BK7" s="223">
        <f t="shared" si="4"/>
        <v>25763.995299999999</v>
      </c>
      <c r="BL7" s="422">
        <f t="shared" ref="BL7:BL11" si="12">SUM(BM7+BN7)</f>
        <v>33441.401599999997</v>
      </c>
      <c r="BM7" s="415">
        <v>29175.502499999999</v>
      </c>
      <c r="BN7" s="415">
        <v>4265.8990999999996</v>
      </c>
      <c r="BO7" s="423">
        <f t="shared" si="5"/>
        <v>24909.6034</v>
      </c>
      <c r="BP7" s="422">
        <f t="shared" si="6"/>
        <v>36230.422299999998</v>
      </c>
      <c r="BQ7" s="415">
        <v>31309.636999999999</v>
      </c>
      <c r="BR7" s="415">
        <v>4920.7852999999996</v>
      </c>
      <c r="BS7" s="619">
        <f t="shared" si="7"/>
        <v>26388.851699999999</v>
      </c>
      <c r="BT7" s="641">
        <f t="shared" ref="BT7:BT11" si="13">SUM(BU7+BW7)</f>
        <v>32209.233100000001</v>
      </c>
      <c r="BU7" s="638">
        <v>28010.160500000002</v>
      </c>
      <c r="BV7" s="642">
        <f t="shared" si="8"/>
        <v>-2.7854552783882469</v>
      </c>
      <c r="BW7" s="638">
        <v>4199.0726000000004</v>
      </c>
      <c r="BX7" s="642">
        <f>SUM(BW7-CB7)*100/CB7</f>
        <v>-6.8624052794950092</v>
      </c>
      <c r="BY7" s="640">
        <f t="shared" si="9"/>
        <v>23811.087900000002</v>
      </c>
      <c r="BZ7" s="356"/>
      <c r="CA7" s="409">
        <v>28812.7261</v>
      </c>
      <c r="CB7" s="409">
        <v>4508.4615000000003</v>
      </c>
      <c r="CD7" s="549" t="s">
        <v>123</v>
      </c>
      <c r="CE7" s="409">
        <v>33441.401700000002</v>
      </c>
      <c r="CF7" s="409">
        <v>29175.502499999999</v>
      </c>
      <c r="CG7" s="409">
        <v>4265.8990999999996</v>
      </c>
      <c r="CH7" s="409">
        <v>24909.603299999999</v>
      </c>
      <c r="CI7" s="409">
        <v>36230.422299999998</v>
      </c>
      <c r="CJ7" s="409">
        <v>31309.636999999999</v>
      </c>
      <c r="CK7" s="409">
        <v>4920.7852999999996</v>
      </c>
      <c r="CL7" s="409">
        <v>26388.851600000002</v>
      </c>
      <c r="CM7" s="409">
        <v>36230.422299999998</v>
      </c>
      <c r="CN7" s="409">
        <v>31309.636999999999</v>
      </c>
      <c r="CO7" s="409">
        <v>4920.7852999999996</v>
      </c>
      <c r="CP7" s="409">
        <v>26388.851600000002</v>
      </c>
      <c r="CQ7" s="409">
        <v>35132.518700000001</v>
      </c>
      <c r="CR7" s="409">
        <v>30573.046200000001</v>
      </c>
      <c r="CS7" s="409">
        <v>4559.4723999999997</v>
      </c>
      <c r="CT7" s="409">
        <v>26013.573700000001</v>
      </c>
      <c r="CU7" s="550" t="s">
        <v>256</v>
      </c>
      <c r="CV7" s="550" t="s">
        <v>257</v>
      </c>
      <c r="CW7" s="550" t="s">
        <v>258</v>
      </c>
      <c r="CX7" s="550" t="s">
        <v>259</v>
      </c>
    </row>
    <row r="8" spans="1:102" ht="36" customHeight="1" x14ac:dyDescent="0.5">
      <c r="A8" s="210" t="s">
        <v>75</v>
      </c>
      <c r="B8" s="211">
        <v>1870.23</v>
      </c>
      <c r="C8" s="211">
        <v>50.42</v>
      </c>
      <c r="D8" s="211">
        <f>B8-C8</f>
        <v>1819.81</v>
      </c>
      <c r="E8" s="101">
        <v>1925.3</v>
      </c>
      <c r="F8" s="101">
        <v>55.05</v>
      </c>
      <c r="G8" s="101">
        <f>E8-F8</f>
        <v>1870.25</v>
      </c>
      <c r="H8" s="101">
        <v>1933.79</v>
      </c>
      <c r="I8" s="101">
        <v>108.53</v>
      </c>
      <c r="J8" s="101">
        <f>H8-I8</f>
        <v>1825.26</v>
      </c>
      <c r="K8" s="101">
        <v>1327.84</v>
      </c>
      <c r="L8" s="101">
        <v>357.12</v>
      </c>
      <c r="M8" s="101">
        <f>K8-L8</f>
        <v>970.71999999999991</v>
      </c>
      <c r="N8" s="101">
        <v>1327.84</v>
      </c>
      <c r="O8" s="101">
        <v>357.12</v>
      </c>
      <c r="P8" s="101">
        <f>N8-O8</f>
        <v>970.71999999999991</v>
      </c>
      <c r="Q8" s="102">
        <v>2043.36</v>
      </c>
      <c r="R8" s="102">
        <f>(Q8-N8)*100/N8</f>
        <v>53.886010362694307</v>
      </c>
      <c r="S8" s="102">
        <v>896.77</v>
      </c>
      <c r="T8" s="112">
        <f>(S8-O8)*100/O8</f>
        <v>151.1116711469534</v>
      </c>
      <c r="U8" s="103">
        <f>Q8-S8</f>
        <v>1146.5899999999999</v>
      </c>
      <c r="V8" s="104">
        <v>2043.36</v>
      </c>
      <c r="W8" s="105">
        <v>1690</v>
      </c>
      <c r="X8" s="106">
        <f>+(W8-V8)/V8*100</f>
        <v>-17.293085897737058</v>
      </c>
      <c r="Y8" s="107">
        <v>896.77</v>
      </c>
      <c r="Z8" s="107">
        <v>837.14</v>
      </c>
      <c r="AA8" s="106">
        <f>+(Z8-Y8)/Y8*100</f>
        <v>-6.6494195836167576</v>
      </c>
      <c r="AB8" s="106">
        <f t="shared" si="0"/>
        <v>852.86</v>
      </c>
      <c r="AC8" s="106">
        <v>1014.21</v>
      </c>
      <c r="AD8" s="108">
        <v>2253.23</v>
      </c>
      <c r="AE8" s="108">
        <v>1377.01</v>
      </c>
      <c r="AF8" s="108">
        <f>(AD8-AE8)</f>
        <v>876.22</v>
      </c>
      <c r="AG8" s="108">
        <v>2772.95</v>
      </c>
      <c r="AH8" s="108">
        <v>627.80999999999995</v>
      </c>
      <c r="AI8" s="108">
        <f>SUM(AG8-AH8)-0.01</f>
        <v>2145.1299999999997</v>
      </c>
      <c r="AJ8" s="108">
        <v>3434.28</v>
      </c>
      <c r="AK8" s="108">
        <f>+(AJ8-CE8)/CE8*100</f>
        <v>-73.245573087633559</v>
      </c>
      <c r="AL8" s="108">
        <v>407.09</v>
      </c>
      <c r="AM8" s="108">
        <v>1086.635</v>
      </c>
      <c r="AN8" s="108">
        <f>+(AM8-CF8)/CF8*100</f>
        <v>-90.637197864412414</v>
      </c>
      <c r="AO8" s="108">
        <f>(AJ8-AM8)-0.02</f>
        <v>2347.6250000000005</v>
      </c>
      <c r="AP8" s="108">
        <f>SUM(AQ8+AT8)</f>
        <v>4935.3799999999992</v>
      </c>
      <c r="AQ8" s="65">
        <v>4753.4799999999996</v>
      </c>
      <c r="AR8" s="109">
        <f>+(AQ8-CE8)/CE8*100</f>
        <v>-62.968472797967664</v>
      </c>
      <c r="AS8" s="65">
        <v>407.09</v>
      </c>
      <c r="AT8" s="65">
        <v>181.9</v>
      </c>
      <c r="AU8" s="109">
        <f>+(AT8-CF8)/CF8*100</f>
        <v>-98.432690177968325</v>
      </c>
      <c r="AV8" s="65">
        <f>SUM(AQ8-AT8)-0.01</f>
        <v>4571.57</v>
      </c>
      <c r="AW8" s="65">
        <f>SUM(AX8+BA8)</f>
        <v>7418.63</v>
      </c>
      <c r="AX8" s="65">
        <v>6799.01</v>
      </c>
      <c r="AY8" s="65">
        <f t="shared" si="10"/>
        <v>43.032262679131939</v>
      </c>
      <c r="AZ8" s="65">
        <v>407.09</v>
      </c>
      <c r="BA8" s="65">
        <v>619.62</v>
      </c>
      <c r="BB8" s="65">
        <f>+(BA8-AT8)/AT8*100</f>
        <v>240.63771302913688</v>
      </c>
      <c r="BC8" s="65">
        <f t="shared" si="11"/>
        <v>6179.39</v>
      </c>
      <c r="BD8" s="110">
        <f t="shared" si="1"/>
        <v>12898.880000000001</v>
      </c>
      <c r="BE8" s="65">
        <v>12250.27</v>
      </c>
      <c r="BF8" s="65">
        <v>648.61</v>
      </c>
      <c r="BG8" s="65">
        <f t="shared" si="2"/>
        <v>11601.66</v>
      </c>
      <c r="BH8" s="220">
        <f t="shared" si="3"/>
        <v>15896.487799999999</v>
      </c>
      <c r="BI8" s="226">
        <v>14405.8977</v>
      </c>
      <c r="BJ8" s="226">
        <v>1490.5900999999999</v>
      </c>
      <c r="BK8" s="223">
        <f t="shared" si="4"/>
        <v>12915.3076</v>
      </c>
      <c r="BL8" s="422">
        <f t="shared" si="12"/>
        <v>12836.305499999999</v>
      </c>
      <c r="BM8" s="415">
        <v>11605.873799999999</v>
      </c>
      <c r="BN8" s="415">
        <v>1230.4317000000001</v>
      </c>
      <c r="BO8" s="423">
        <f t="shared" si="5"/>
        <v>10375.4421</v>
      </c>
      <c r="BP8" s="422">
        <f t="shared" si="6"/>
        <v>12341.648300000001</v>
      </c>
      <c r="BQ8" s="415">
        <v>11011.4221</v>
      </c>
      <c r="BR8" s="415">
        <v>1330.2262000000001</v>
      </c>
      <c r="BS8" s="619">
        <f t="shared" si="7"/>
        <v>9681.1958999999988</v>
      </c>
      <c r="BT8" s="637">
        <f t="shared" si="13"/>
        <v>14465.0772</v>
      </c>
      <c r="BU8" s="638">
        <v>13208.063200000001</v>
      </c>
      <c r="BV8" s="639">
        <f t="shared" si="8"/>
        <v>34.70443735996232</v>
      </c>
      <c r="BW8" s="638">
        <v>1257.0139999999999</v>
      </c>
      <c r="BX8" s="639">
        <f>SUM(BW8-CB8)*100/CB8</f>
        <v>3.4804355415856234</v>
      </c>
      <c r="BY8" s="640">
        <f t="shared" si="9"/>
        <v>11951.049200000001</v>
      </c>
      <c r="BZ8" s="205"/>
      <c r="CA8" s="409">
        <v>9805.2175999999999</v>
      </c>
      <c r="CB8" s="409">
        <v>1214.7358999999999</v>
      </c>
      <c r="CD8" s="549" t="s">
        <v>124</v>
      </c>
      <c r="CE8" s="409">
        <v>12836.3056</v>
      </c>
      <c r="CF8" s="409">
        <v>11605.873799999999</v>
      </c>
      <c r="CG8" s="409">
        <v>1230.4317000000001</v>
      </c>
      <c r="CH8" s="409">
        <v>10375.441999999999</v>
      </c>
      <c r="CI8" s="409">
        <v>12341.6484</v>
      </c>
      <c r="CJ8" s="409">
        <v>11011.4221</v>
      </c>
      <c r="CK8" s="409">
        <v>1330.2262000000001</v>
      </c>
      <c r="CL8" s="409">
        <v>9681.1959000000006</v>
      </c>
      <c r="CM8" s="409">
        <v>12341.6484</v>
      </c>
      <c r="CN8" s="409">
        <v>11011.4221</v>
      </c>
      <c r="CO8" s="409">
        <v>1330.2262000000001</v>
      </c>
      <c r="CP8" s="409">
        <v>9681.1959000000006</v>
      </c>
      <c r="CQ8" s="409">
        <v>15756.6016</v>
      </c>
      <c r="CR8" s="409">
        <v>14412.8451</v>
      </c>
      <c r="CS8" s="409">
        <v>1343.7565</v>
      </c>
      <c r="CT8" s="409">
        <v>13069.0885</v>
      </c>
      <c r="CU8" s="550" t="s">
        <v>260</v>
      </c>
      <c r="CV8" s="550" t="s">
        <v>261</v>
      </c>
      <c r="CW8" s="550" t="s">
        <v>262</v>
      </c>
      <c r="CX8" s="550" t="s">
        <v>263</v>
      </c>
    </row>
    <row r="9" spans="1:102" ht="36" customHeight="1" x14ac:dyDescent="0.5">
      <c r="A9" s="210" t="s">
        <v>76</v>
      </c>
      <c r="B9" s="211">
        <v>163.96</v>
      </c>
      <c r="C9" s="211">
        <v>152.94</v>
      </c>
      <c r="D9" s="211">
        <f>B9-C9</f>
        <v>11.02000000000001</v>
      </c>
      <c r="E9" s="101">
        <v>568.83000000000004</v>
      </c>
      <c r="F9" s="101">
        <v>158.16999999999999</v>
      </c>
      <c r="G9" s="101">
        <f>E9-F9</f>
        <v>410.66000000000008</v>
      </c>
      <c r="H9" s="101">
        <v>548.47</v>
      </c>
      <c r="I9" s="101">
        <v>6.91</v>
      </c>
      <c r="J9" s="101">
        <f>H9-I9</f>
        <v>541.56000000000006</v>
      </c>
      <c r="K9" s="101">
        <v>783.51</v>
      </c>
      <c r="L9" s="101">
        <v>25.94</v>
      </c>
      <c r="M9" s="101">
        <f>K9-L9</f>
        <v>757.56999999999994</v>
      </c>
      <c r="N9" s="101">
        <v>783.51</v>
      </c>
      <c r="O9" s="101">
        <v>25.94</v>
      </c>
      <c r="P9" s="101">
        <f>N9-O9</f>
        <v>757.56999999999994</v>
      </c>
      <c r="Q9" s="102">
        <v>2155.15</v>
      </c>
      <c r="R9" s="113">
        <f>(Q9-N9)*100/N9</f>
        <v>175.06349631785173</v>
      </c>
      <c r="S9" s="102">
        <v>33.840000000000003</v>
      </c>
      <c r="T9" s="102">
        <f>(S9-O9)*100/O9</f>
        <v>30.454895913646883</v>
      </c>
      <c r="U9" s="103">
        <f>Q9-S9</f>
        <v>2121.31</v>
      </c>
      <c r="V9" s="104">
        <v>2155.15</v>
      </c>
      <c r="W9" s="105">
        <v>1648.75</v>
      </c>
      <c r="X9" s="106">
        <f>+(W9-V9)/V9*100</f>
        <v>-23.497204370925463</v>
      </c>
      <c r="Y9" s="107">
        <v>33.840000000000003</v>
      </c>
      <c r="Z9" s="107">
        <v>24.74</v>
      </c>
      <c r="AA9" s="106">
        <f>+(Z9-Y9)/Y9*100</f>
        <v>-26.891252955082756</v>
      </c>
      <c r="AB9" s="106">
        <f t="shared" si="0"/>
        <v>1624.01</v>
      </c>
      <c r="AC9" s="106">
        <v>954</v>
      </c>
      <c r="AD9" s="108">
        <v>1600.27</v>
      </c>
      <c r="AE9" s="108">
        <v>11.43</v>
      </c>
      <c r="AF9" s="108">
        <f>(AD9-AE9)</f>
        <v>1588.84</v>
      </c>
      <c r="AG9" s="108">
        <v>804.82</v>
      </c>
      <c r="AH9" s="108">
        <v>26.79</v>
      </c>
      <c r="AI9" s="108">
        <f>SUM(AG9-AH9)+0.01</f>
        <v>778.04000000000008</v>
      </c>
      <c r="AJ9" s="108">
        <v>1529.02</v>
      </c>
      <c r="AK9" s="108">
        <f>+(AJ9-CE9)/CE9*100</f>
        <v>-49.233611876350629</v>
      </c>
      <c r="AL9" s="108">
        <v>23.21</v>
      </c>
      <c r="AM9" s="108">
        <v>139.73500000000001</v>
      </c>
      <c r="AN9" s="108">
        <f>+(AM9-CF9)/CF9*100+0.1</f>
        <v>-83.899288221101244</v>
      </c>
      <c r="AO9" s="108">
        <f>(AJ9-AM9)-0.01</f>
        <v>1389.2749999999999</v>
      </c>
      <c r="AP9" s="108">
        <f>SUM(AQ9+AT9)-0.01</f>
        <v>1996.94</v>
      </c>
      <c r="AQ9" s="65">
        <v>1851.96</v>
      </c>
      <c r="AR9" s="109">
        <f>+(AQ9-CE9)/CE9*100</f>
        <v>-38.511386280445194</v>
      </c>
      <c r="AS9" s="65">
        <v>23.21</v>
      </c>
      <c r="AT9" s="65">
        <v>144.99</v>
      </c>
      <c r="AU9" s="109">
        <f>+(AT9-CF9)/CF9*100+0.01</f>
        <v>-83.38755107294142</v>
      </c>
      <c r="AV9" s="65">
        <f>SUM(AQ9-AT9)</f>
        <v>1706.97</v>
      </c>
      <c r="AW9" s="65">
        <f>SUM(AX9+BA9)-0.01</f>
        <v>2711.95</v>
      </c>
      <c r="AX9" s="65">
        <v>2442.4</v>
      </c>
      <c r="AY9" s="65">
        <f t="shared" si="10"/>
        <v>31.881898097151129</v>
      </c>
      <c r="AZ9" s="65">
        <v>23.21</v>
      </c>
      <c r="BA9" s="65">
        <v>269.56</v>
      </c>
      <c r="BB9" s="65">
        <f>+(BA9-AT9)/AT9*100</f>
        <v>85.916270087592238</v>
      </c>
      <c r="BC9" s="65">
        <f t="shared" si="11"/>
        <v>2172.84</v>
      </c>
      <c r="BD9" s="110">
        <f t="shared" si="1"/>
        <v>2847.62</v>
      </c>
      <c r="BE9" s="65">
        <v>1968.2</v>
      </c>
      <c r="BF9" s="65">
        <v>879.42</v>
      </c>
      <c r="BG9" s="65">
        <f t="shared" si="2"/>
        <v>1088.7800000000002</v>
      </c>
      <c r="BH9" s="220">
        <f t="shared" si="3"/>
        <v>3734.0452</v>
      </c>
      <c r="BI9" s="226">
        <v>2378.7073</v>
      </c>
      <c r="BJ9" s="226">
        <v>1355.3379</v>
      </c>
      <c r="BK9" s="223">
        <f t="shared" si="4"/>
        <v>1023.3694</v>
      </c>
      <c r="BL9" s="422">
        <f t="shared" si="12"/>
        <v>3011.8746000000001</v>
      </c>
      <c r="BM9" s="415">
        <v>873.30489999999998</v>
      </c>
      <c r="BN9" s="415">
        <v>2138.5697</v>
      </c>
      <c r="BO9" s="423">
        <f t="shared" si="5"/>
        <v>-1265.2647999999999</v>
      </c>
      <c r="BP9" s="422">
        <f t="shared" si="6"/>
        <v>5317.4624000000003</v>
      </c>
      <c r="BQ9" s="415">
        <v>3348.6278000000002</v>
      </c>
      <c r="BR9" s="415">
        <v>1968.8345999999999</v>
      </c>
      <c r="BS9" s="619">
        <f t="shared" si="7"/>
        <v>1379.7932000000003</v>
      </c>
      <c r="BT9" s="637">
        <f t="shared" si="13"/>
        <v>7206.4444000000003</v>
      </c>
      <c r="BU9" s="638">
        <v>4852.2682000000004</v>
      </c>
      <c r="BV9" s="639">
        <f t="shared" si="8"/>
        <v>62.326280001771721</v>
      </c>
      <c r="BW9" s="638">
        <v>2354.1761999999999</v>
      </c>
      <c r="BX9" s="639">
        <f>SUM(BW9-CB9)*100/CB9</f>
        <v>33.818914496056863</v>
      </c>
      <c r="BY9" s="640">
        <f t="shared" si="9"/>
        <v>2498.0920000000006</v>
      </c>
      <c r="BZ9" s="205"/>
      <c r="CA9" s="409">
        <v>2989.2067999999999</v>
      </c>
      <c r="CB9" s="409">
        <v>1759.2253000000001</v>
      </c>
      <c r="CD9" s="549" t="s">
        <v>125</v>
      </c>
      <c r="CE9" s="409">
        <v>3011.8746999999998</v>
      </c>
      <c r="CF9" s="409">
        <v>873.30489999999998</v>
      </c>
      <c r="CG9" s="409">
        <v>2138.5697</v>
      </c>
      <c r="CH9" s="409">
        <v>-1265.2646999999999</v>
      </c>
      <c r="CI9" s="409">
        <v>5317.4624000000003</v>
      </c>
      <c r="CJ9" s="409">
        <v>3348.6278000000002</v>
      </c>
      <c r="CK9" s="409">
        <v>1968.8345999999999</v>
      </c>
      <c r="CL9" s="409">
        <v>1379.7932000000001</v>
      </c>
      <c r="CM9" s="409">
        <v>5317.4624000000003</v>
      </c>
      <c r="CN9" s="409">
        <v>3348.6278000000002</v>
      </c>
      <c r="CO9" s="409">
        <v>1968.8345999999999</v>
      </c>
      <c r="CP9" s="409">
        <v>1379.7932000000001</v>
      </c>
      <c r="CQ9" s="409">
        <v>8239.3817999999992</v>
      </c>
      <c r="CR9" s="409">
        <v>5731.5025999999998</v>
      </c>
      <c r="CS9" s="409">
        <v>2507.8791999999999</v>
      </c>
      <c r="CT9" s="409">
        <v>3223.6233999999999</v>
      </c>
      <c r="CU9" s="550" t="s">
        <v>264</v>
      </c>
      <c r="CV9" s="550" t="s">
        <v>265</v>
      </c>
      <c r="CW9" s="550" t="s">
        <v>266</v>
      </c>
      <c r="CX9" s="550" t="s">
        <v>267</v>
      </c>
    </row>
    <row r="10" spans="1:102" ht="36" customHeight="1" x14ac:dyDescent="0.5">
      <c r="A10" s="210" t="s">
        <v>77</v>
      </c>
      <c r="B10" s="211"/>
      <c r="C10" s="211"/>
      <c r="D10" s="21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102"/>
      <c r="S10" s="102"/>
      <c r="T10" s="102"/>
      <c r="U10" s="103"/>
      <c r="V10" s="104"/>
      <c r="W10" s="105"/>
      <c r="X10" s="106"/>
      <c r="Y10" s="107"/>
      <c r="Z10" s="107"/>
      <c r="AA10" s="106"/>
      <c r="AB10" s="106"/>
      <c r="AC10" s="106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65"/>
      <c r="AR10" s="109"/>
      <c r="AS10" s="65"/>
      <c r="AT10" s="65"/>
      <c r="AU10" s="109"/>
      <c r="AV10" s="65"/>
      <c r="AW10" s="65">
        <f>SUM(AX10+BA10)</f>
        <v>0</v>
      </c>
      <c r="AX10" s="65">
        <v>0</v>
      </c>
      <c r="AY10" s="65" t="e">
        <f>+(AX10-AQ10)/AQ10*100</f>
        <v>#DIV/0!</v>
      </c>
      <c r="AZ10" s="65">
        <v>0</v>
      </c>
      <c r="BA10" s="65">
        <v>0</v>
      </c>
      <c r="BB10" s="65">
        <v>0</v>
      </c>
      <c r="BC10" s="65">
        <f>SUM(AX10-BA10)</f>
        <v>0</v>
      </c>
      <c r="BD10" s="110">
        <f>SUM(BE10+BF10)</f>
        <v>0</v>
      </c>
      <c r="BE10" s="65">
        <v>0</v>
      </c>
      <c r="BF10" s="65">
        <v>0</v>
      </c>
      <c r="BG10" s="65">
        <f>SUM(BE10-BF10)</f>
        <v>0</v>
      </c>
      <c r="BH10" s="220">
        <f>SUM(BI10+BJ10)</f>
        <v>114.19329999999999</v>
      </c>
      <c r="BI10" s="226">
        <v>0</v>
      </c>
      <c r="BJ10" s="226">
        <v>114.19329999999999</v>
      </c>
      <c r="BK10" s="223">
        <f>SUM(BI10-BJ10)</f>
        <v>-114.19329999999999</v>
      </c>
      <c r="BL10" s="422">
        <f t="shared" si="12"/>
        <v>818.89969999999994</v>
      </c>
      <c r="BM10" s="415">
        <v>464.25110000000001</v>
      </c>
      <c r="BN10" s="415">
        <v>354.64859999999999</v>
      </c>
      <c r="BO10" s="423">
        <f t="shared" si="5"/>
        <v>109.60250000000002</v>
      </c>
      <c r="BP10" s="422">
        <f t="shared" si="6"/>
        <v>834.05729999999994</v>
      </c>
      <c r="BQ10" s="415">
        <v>609.45169999999996</v>
      </c>
      <c r="BR10" s="415">
        <v>224.60560000000001</v>
      </c>
      <c r="BS10" s="619">
        <f t="shared" si="7"/>
        <v>384.84609999999998</v>
      </c>
      <c r="BT10" s="637">
        <f>SUM(BU10+BW10)</f>
        <v>814.74450000000002</v>
      </c>
      <c r="BU10" s="638">
        <v>594.86030000000005</v>
      </c>
      <c r="BV10" s="639">
        <f t="shared" si="8"/>
        <v>5.8768887666717493</v>
      </c>
      <c r="BW10" s="638">
        <v>219.88419999999999</v>
      </c>
      <c r="BX10" s="639">
        <f>SUM(BW10-CB10)*100/CB10</f>
        <v>7.8811387257826491</v>
      </c>
      <c r="BY10" s="640">
        <f>SUM(BU10-BW10)</f>
        <v>374.97610000000009</v>
      </c>
      <c r="BZ10" s="205"/>
      <c r="CA10" s="409">
        <v>561.8415</v>
      </c>
      <c r="CB10" s="409">
        <v>203.82079999999999</v>
      </c>
      <c r="CD10" s="549" t="s">
        <v>126</v>
      </c>
      <c r="CE10" s="409">
        <v>818.89980000000003</v>
      </c>
      <c r="CF10" s="409">
        <v>464.25110000000001</v>
      </c>
      <c r="CG10" s="409">
        <v>354.64859999999999</v>
      </c>
      <c r="CH10" s="409">
        <v>109.60250000000001</v>
      </c>
      <c r="CI10" s="409">
        <v>834.05740000000003</v>
      </c>
      <c r="CJ10" s="409">
        <v>609.45169999999996</v>
      </c>
      <c r="CK10" s="409">
        <v>224.60560000000001</v>
      </c>
      <c r="CL10" s="409">
        <v>384.846</v>
      </c>
      <c r="CM10" s="409">
        <v>834.05740000000003</v>
      </c>
      <c r="CN10" s="409">
        <v>609.45169999999996</v>
      </c>
      <c r="CO10" s="409">
        <v>224.60560000000001</v>
      </c>
      <c r="CP10" s="409">
        <v>384.846</v>
      </c>
      <c r="CQ10" s="409">
        <v>875.13720000000001</v>
      </c>
      <c r="CR10" s="409">
        <v>632.2681</v>
      </c>
      <c r="CS10" s="409">
        <v>242.8691</v>
      </c>
      <c r="CT10" s="409">
        <v>389.399</v>
      </c>
      <c r="CU10" s="550" t="s">
        <v>268</v>
      </c>
      <c r="CV10" s="550" t="s">
        <v>269</v>
      </c>
      <c r="CW10" s="550" t="s">
        <v>270</v>
      </c>
      <c r="CX10" s="550" t="s">
        <v>271</v>
      </c>
    </row>
    <row r="11" spans="1:102" ht="36" customHeight="1" x14ac:dyDescent="0.5">
      <c r="A11" s="210" t="s">
        <v>78</v>
      </c>
      <c r="B11" s="211">
        <v>88.57</v>
      </c>
      <c r="C11" s="211">
        <v>0.06</v>
      </c>
      <c r="D11" s="211">
        <f>B11-C11</f>
        <v>88.509999999999991</v>
      </c>
      <c r="E11" s="101">
        <v>150.97</v>
      </c>
      <c r="F11" s="101">
        <v>0</v>
      </c>
      <c r="G11" s="101">
        <f>E11-F11</f>
        <v>150.97</v>
      </c>
      <c r="H11" s="101">
        <v>190.78</v>
      </c>
      <c r="I11" s="101">
        <v>0</v>
      </c>
      <c r="J11" s="101">
        <f>H11-I11</f>
        <v>190.78</v>
      </c>
      <c r="K11" s="101">
        <v>197.98</v>
      </c>
      <c r="L11" s="101">
        <v>0</v>
      </c>
      <c r="M11" s="101">
        <f>K11-L11</f>
        <v>197.98</v>
      </c>
      <c r="N11" s="101">
        <v>197.98</v>
      </c>
      <c r="O11" s="101">
        <v>0</v>
      </c>
      <c r="P11" s="101">
        <f>N11-O11</f>
        <v>197.98</v>
      </c>
      <c r="Q11" s="102">
        <v>252.28</v>
      </c>
      <c r="R11" s="102">
        <f>(Q11-N11)*100/N11</f>
        <v>27.42701282957875</v>
      </c>
      <c r="S11" s="102">
        <v>0</v>
      </c>
      <c r="T11" s="102">
        <v>0</v>
      </c>
      <c r="U11" s="103">
        <f>Q11-S11</f>
        <v>252.28</v>
      </c>
      <c r="V11" s="104">
        <v>252.28</v>
      </c>
      <c r="W11" s="105">
        <v>169.44</v>
      </c>
      <c r="X11" s="106">
        <f>+(W11-V11)/V11*100</f>
        <v>-32.836530838750591</v>
      </c>
      <c r="Y11" s="107">
        <v>0</v>
      </c>
      <c r="Z11" s="107">
        <v>0</v>
      </c>
      <c r="AA11" s="106">
        <v>0</v>
      </c>
      <c r="AB11" s="106">
        <f t="shared" si="0"/>
        <v>169.44</v>
      </c>
      <c r="AC11" s="106">
        <v>64.2</v>
      </c>
      <c r="AD11" s="108">
        <v>251.54</v>
      </c>
      <c r="AE11" s="108">
        <v>0</v>
      </c>
      <c r="AF11" s="108">
        <f>(AD11-AE11)</f>
        <v>251.54</v>
      </c>
      <c r="AG11" s="108">
        <v>353</v>
      </c>
      <c r="AH11" s="108">
        <v>0</v>
      </c>
      <c r="AI11" s="108">
        <f>SUM(AG11-AH11)</f>
        <v>353</v>
      </c>
      <c r="AJ11" s="108">
        <v>527.42999999999995</v>
      </c>
      <c r="AK11" s="108" t="e">
        <f>+(AJ11-#REF!)/#REF!*100</f>
        <v>#REF!</v>
      </c>
      <c r="AL11" s="108">
        <v>0</v>
      </c>
      <c r="AM11" s="108">
        <v>0</v>
      </c>
      <c r="AN11" s="108">
        <v>0</v>
      </c>
      <c r="AO11" s="108">
        <f>(AJ11-AM11)</f>
        <v>527.42999999999995</v>
      </c>
      <c r="AP11" s="108">
        <f>SUM(AQ11+AT11)</f>
        <v>424.79</v>
      </c>
      <c r="AQ11" s="65">
        <v>424.79</v>
      </c>
      <c r="AR11" s="109" t="e">
        <f>+(AQ11-#REF!)/#REF!*100</f>
        <v>#REF!</v>
      </c>
      <c r="AS11" s="65">
        <v>0</v>
      </c>
      <c r="AT11" s="65">
        <v>0</v>
      </c>
      <c r="AU11" s="109">
        <v>0</v>
      </c>
      <c r="AV11" s="65">
        <f>SUM(AQ11-AT11)</f>
        <v>424.79</v>
      </c>
      <c r="AW11" s="65">
        <f>SUM(AX11+BA11)</f>
        <v>470.72</v>
      </c>
      <c r="AX11" s="65">
        <v>470.72</v>
      </c>
      <c r="AY11" s="65">
        <f>+(AX11-AQ11)/AQ11*100</f>
        <v>10.812401421879049</v>
      </c>
      <c r="AZ11" s="65">
        <v>0</v>
      </c>
      <c r="BA11" s="65">
        <v>0</v>
      </c>
      <c r="BB11" s="65">
        <v>0</v>
      </c>
      <c r="BC11" s="65">
        <f t="shared" si="11"/>
        <v>470.72</v>
      </c>
      <c r="BD11" s="110">
        <f t="shared" si="1"/>
        <v>338.9</v>
      </c>
      <c r="BE11" s="65">
        <v>338.9</v>
      </c>
      <c r="BF11" s="65">
        <v>0</v>
      </c>
      <c r="BG11" s="65">
        <f t="shared" si="2"/>
        <v>338.9</v>
      </c>
      <c r="BH11" s="220">
        <f t="shared" si="3"/>
        <v>921.55619999999999</v>
      </c>
      <c r="BI11" s="226">
        <v>921.33280000000002</v>
      </c>
      <c r="BJ11" s="226">
        <v>0.22339999999999999</v>
      </c>
      <c r="BK11" s="223">
        <f t="shared" si="4"/>
        <v>921.10940000000005</v>
      </c>
      <c r="BL11" s="422">
        <f t="shared" si="12"/>
        <v>8.7609999999999992</v>
      </c>
      <c r="BM11" s="415">
        <v>8.7609999999999992</v>
      </c>
      <c r="BN11" s="415">
        <v>0</v>
      </c>
      <c r="BO11" s="423">
        <f t="shared" si="5"/>
        <v>8.7609999999999992</v>
      </c>
      <c r="BP11" s="422">
        <f t="shared" si="6"/>
        <v>4.8169000000000004</v>
      </c>
      <c r="BQ11" s="415">
        <v>4.8169000000000004</v>
      </c>
      <c r="BR11" s="415">
        <v>0</v>
      </c>
      <c r="BS11" s="619">
        <f t="shared" si="7"/>
        <v>4.8169000000000004</v>
      </c>
      <c r="BT11" s="637">
        <f t="shared" si="13"/>
        <v>2.3135999999999997</v>
      </c>
      <c r="BU11" s="638">
        <v>0.24360000000000001</v>
      </c>
      <c r="BV11" s="639">
        <f t="shared" si="8"/>
        <v>-94.942805538832033</v>
      </c>
      <c r="BW11" s="638">
        <v>2.0699999999999998</v>
      </c>
      <c r="BX11" s="639" t="s">
        <v>36</v>
      </c>
      <c r="BY11" s="640">
        <f t="shared" si="9"/>
        <v>-1.8263999999999998</v>
      </c>
      <c r="BZ11" s="205"/>
      <c r="CA11" s="409">
        <v>4.8169000000000004</v>
      </c>
      <c r="CB11" s="409">
        <v>0</v>
      </c>
      <c r="CD11" s="549" t="s">
        <v>127</v>
      </c>
      <c r="CE11" s="409">
        <v>8.7609999999999992</v>
      </c>
      <c r="CF11" s="409">
        <v>8.7609999999999992</v>
      </c>
      <c r="CG11" s="409">
        <v>0</v>
      </c>
      <c r="CH11" s="409">
        <v>8.7609999999999992</v>
      </c>
      <c r="CI11" s="409">
        <v>4.8169000000000004</v>
      </c>
      <c r="CJ11" s="409">
        <v>4.8169000000000004</v>
      </c>
      <c r="CK11" s="409">
        <v>0</v>
      </c>
      <c r="CL11" s="409">
        <v>4.8169000000000004</v>
      </c>
      <c r="CM11" s="409">
        <v>4.8169000000000004</v>
      </c>
      <c r="CN11" s="409">
        <v>4.8169000000000004</v>
      </c>
      <c r="CO11" s="409">
        <v>0</v>
      </c>
      <c r="CP11" s="409">
        <v>4.8169000000000004</v>
      </c>
      <c r="CQ11" s="409">
        <v>2.3136000000000001</v>
      </c>
      <c r="CR11" s="409">
        <v>0.24360000000000001</v>
      </c>
      <c r="CS11" s="409">
        <v>2.0699999999999998</v>
      </c>
      <c r="CT11" s="409">
        <v>-1.8263</v>
      </c>
      <c r="CU11" s="550" t="s">
        <v>209</v>
      </c>
      <c r="CV11" s="550" t="s">
        <v>36</v>
      </c>
      <c r="CW11" s="550" t="s">
        <v>128</v>
      </c>
      <c r="CX11" s="550" t="s">
        <v>129</v>
      </c>
    </row>
    <row r="12" spans="1:102" ht="36" customHeight="1" x14ac:dyDescent="0.5">
      <c r="A12" s="208" t="s">
        <v>5</v>
      </c>
      <c r="B12" s="209"/>
      <c r="C12" s="209"/>
      <c r="D12" s="209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5"/>
      <c r="R12" s="115"/>
      <c r="S12" s="115"/>
      <c r="T12" s="115"/>
      <c r="U12" s="115"/>
      <c r="V12" s="115"/>
      <c r="W12" s="116">
        <f>SUM(W6:W11)+0.01</f>
        <v>42878.66</v>
      </c>
      <c r="X12" s="116">
        <f>SUM(X6:X11)</f>
        <v>-83.267245055037961</v>
      </c>
      <c r="Y12" s="116">
        <f>SUM(Y6:Y11)</f>
        <v>2935.57</v>
      </c>
      <c r="Z12" s="116">
        <f>SUM(Z6:Z11)-0.03</f>
        <v>2494.8499999999995</v>
      </c>
      <c r="AA12" s="116">
        <f>SUM(AA6:AA11)</f>
        <v>33.155734911474767</v>
      </c>
      <c r="AB12" s="116">
        <f t="shared" si="0"/>
        <v>40383.810000000005</v>
      </c>
      <c r="AC12" s="116">
        <f t="shared" ref="AC12:AH12" si="14">SUM(AC6:AC11)</f>
        <v>24627.71</v>
      </c>
      <c r="AD12" s="116">
        <f t="shared" si="14"/>
        <v>51112.450000000004</v>
      </c>
      <c r="AE12" s="116">
        <f t="shared" si="14"/>
        <v>4303.88</v>
      </c>
      <c r="AF12" s="116">
        <f t="shared" si="14"/>
        <v>46808.57</v>
      </c>
      <c r="AG12" s="116">
        <f t="shared" si="14"/>
        <v>59065.32</v>
      </c>
      <c r="AH12" s="117">
        <f t="shared" si="14"/>
        <v>4912.0600000000004</v>
      </c>
      <c r="AI12" s="118">
        <f>SUM(AI6:AI11)+0.01</f>
        <v>54153.26</v>
      </c>
      <c r="AJ12" s="116">
        <f>SUM(AJ6:AJ11)</f>
        <v>74921.52</v>
      </c>
      <c r="AK12" s="118">
        <f>+(AJ12-CE12)/CE12*100</f>
        <v>-40.191162473573719</v>
      </c>
      <c r="AL12" s="116">
        <f>SUM(AL6:AL11)</f>
        <v>1078.22</v>
      </c>
      <c r="AM12" s="117">
        <f>SUM(AM6:AM11)</f>
        <v>7167.55</v>
      </c>
      <c r="AN12" s="118">
        <f>+(AM12-CF12)/CF12*100</f>
        <v>-92.95417369524101</v>
      </c>
      <c r="AO12" s="118">
        <f>SUM(AO6:AO11)+0.02</f>
        <v>67753.97</v>
      </c>
      <c r="AP12" s="84">
        <f>SUM(AQ12+AT12)</f>
        <v>93834.51999999999</v>
      </c>
      <c r="AQ12" s="119">
        <f>SUM(AQ6:AQ11)-0.01</f>
        <v>84087.9</v>
      </c>
      <c r="AR12" s="120">
        <v>12.23</v>
      </c>
      <c r="AS12" s="119">
        <f>SUM(AS6:AS11)</f>
        <v>1078.22</v>
      </c>
      <c r="AT12" s="121">
        <f>SUM(AT6:AT11)+0.01</f>
        <v>9746.619999999999</v>
      </c>
      <c r="AU12" s="120">
        <f>+(AT12-CF12)/CF12*100</f>
        <v>-90.418903031232432</v>
      </c>
      <c r="AV12" s="84">
        <f>SUM(AQ12-AT12)</f>
        <v>74341.279999999999</v>
      </c>
      <c r="AW12" s="122">
        <f>SUM(AX12+BA12)+0.01</f>
        <v>115012.4</v>
      </c>
      <c r="AX12" s="173">
        <f>SUM(AX6:AX11)</f>
        <v>96778.89</v>
      </c>
      <c r="AY12" s="122">
        <f t="shared" si="10"/>
        <v>15.092528175873113</v>
      </c>
      <c r="AZ12" s="173">
        <f>SUM(AZ6:AZ11)</f>
        <v>1078.22</v>
      </c>
      <c r="BA12" s="171">
        <f>SUM(BA6:BA11)</f>
        <v>18233.5</v>
      </c>
      <c r="BB12" s="122">
        <f>+(BA12-AT12)/AT12*100</f>
        <v>87.075109114749537</v>
      </c>
      <c r="BC12" s="122">
        <f t="shared" si="11"/>
        <v>78545.39</v>
      </c>
      <c r="BD12" s="122">
        <f t="shared" si="1"/>
        <v>125078.158</v>
      </c>
      <c r="BE12" s="173">
        <f>SUM(BE6:BE11)</f>
        <v>104692.03</v>
      </c>
      <c r="BF12" s="171">
        <f>SUM(BF6:BF11)</f>
        <v>20386.128000000001</v>
      </c>
      <c r="BG12" s="122">
        <f t="shared" si="2"/>
        <v>84305.902000000002</v>
      </c>
      <c r="BH12" s="221">
        <f>SUM(BI12+BJ12)</f>
        <v>121050.68909999999</v>
      </c>
      <c r="BI12" s="227">
        <f>SUM(BI6:BI11)</f>
        <v>101342.44069999999</v>
      </c>
      <c r="BJ12" s="228">
        <f>SUM(BJ6:BJ11)</f>
        <v>19708.248399999997</v>
      </c>
      <c r="BK12" s="224">
        <f t="shared" si="4"/>
        <v>81634.192299999995</v>
      </c>
      <c r="BL12" s="229">
        <f>SUM(BM12+BN12)</f>
        <v>125268.3073</v>
      </c>
      <c r="BM12" s="227">
        <f>SUM(BM6:BM11)</f>
        <v>101727.6017</v>
      </c>
      <c r="BN12" s="232">
        <f>SUM(BN6:BN11)</f>
        <v>23540.705600000001</v>
      </c>
      <c r="BO12" s="231">
        <f>SUM(BM12-BN12)</f>
        <v>78186.896099999998</v>
      </c>
      <c r="BP12" s="580">
        <f>SUM(BQ12+BR12)</f>
        <v>145382.32630000002</v>
      </c>
      <c r="BQ12" s="500">
        <f>SUM(BQ6:BQ11)</f>
        <v>122602.57100000001</v>
      </c>
      <c r="BR12" s="362">
        <f>SUM(BR6:BR11)</f>
        <v>22779.755299999997</v>
      </c>
      <c r="BS12" s="546">
        <f>SUM(BQ12-BR12)</f>
        <v>99822.815700000006</v>
      </c>
      <c r="BT12" s="643">
        <f>SUM(BU12+BW12)</f>
        <v>146415.99840000001</v>
      </c>
      <c r="BU12" s="644">
        <f>SUM(BU6:BU11)</f>
        <v>126905.22890000002</v>
      </c>
      <c r="BV12" s="645">
        <f t="shared" si="8"/>
        <v>14.431573569918296</v>
      </c>
      <c r="BW12" s="646">
        <f>SUM(BW6:BW11)</f>
        <v>19510.769500000002</v>
      </c>
      <c r="BX12" s="645">
        <f>SUM(BW12-CB12)*100/CB12</f>
        <v>-7.3255754076990156</v>
      </c>
      <c r="BY12" s="647">
        <f>SUM(BU12-BW12)</f>
        <v>107394.45940000002</v>
      </c>
      <c r="BZ12" s="206"/>
      <c r="CA12" s="227">
        <f>SUM(CA6:CA11)</f>
        <v>110900.5364</v>
      </c>
      <c r="CB12" s="232">
        <f>SUM(CB6:CB11)</f>
        <v>21053.024700000002</v>
      </c>
      <c r="CD12" s="618"/>
      <c r="CE12" s="551" t="s">
        <v>130</v>
      </c>
      <c r="CF12" s="551" t="s">
        <v>131</v>
      </c>
      <c r="CG12" s="551" t="s">
        <v>132</v>
      </c>
      <c r="CH12" s="551" t="s">
        <v>133</v>
      </c>
      <c r="CI12" s="551" t="s">
        <v>134</v>
      </c>
      <c r="CJ12" s="551" t="s">
        <v>135</v>
      </c>
      <c r="CK12" s="551" t="s">
        <v>136</v>
      </c>
      <c r="CL12" s="551" t="s">
        <v>137</v>
      </c>
      <c r="CM12" s="551" t="s">
        <v>134</v>
      </c>
      <c r="CN12" s="551" t="s">
        <v>135</v>
      </c>
      <c r="CO12" s="551" t="s">
        <v>136</v>
      </c>
      <c r="CP12" s="551" t="s">
        <v>137</v>
      </c>
      <c r="CQ12" s="551" t="s">
        <v>244</v>
      </c>
      <c r="CR12" s="551" t="s">
        <v>245</v>
      </c>
      <c r="CS12" s="551" t="s">
        <v>272</v>
      </c>
      <c r="CT12" s="551" t="s">
        <v>247</v>
      </c>
      <c r="CU12" s="618" t="s">
        <v>248</v>
      </c>
      <c r="CV12" s="618" t="s">
        <v>249</v>
      </c>
      <c r="CW12" s="618"/>
      <c r="CX12" s="618"/>
    </row>
    <row r="13" spans="1:102" ht="24" customHeight="1" x14ac:dyDescent="0.5">
      <c r="A13" s="123" t="s">
        <v>38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124"/>
      <c r="T13" s="89"/>
      <c r="U13" s="125"/>
      <c r="V13" s="125"/>
      <c r="W13" s="89"/>
      <c r="X13" s="89"/>
      <c r="Y13" s="89"/>
      <c r="Z13" s="124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355"/>
      <c r="BU13" s="354"/>
      <c r="BV13" s="354"/>
      <c r="BW13" s="354"/>
      <c r="BX13" s="354"/>
      <c r="BY13" s="38" t="s">
        <v>67</v>
      </c>
      <c r="BZ13" s="38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378" customFormat="1" ht="18.75" customHeight="1" x14ac:dyDescent="0.2">
      <c r="A14" s="380" t="s">
        <v>103</v>
      </c>
      <c r="B14" s="381"/>
      <c r="C14" s="382"/>
      <c r="D14" s="382"/>
      <c r="E14" s="382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7"/>
      <c r="T14" s="526"/>
      <c r="U14" s="527"/>
      <c r="V14" s="527"/>
      <c r="W14" s="526"/>
      <c r="X14" s="526"/>
      <c r="Y14" s="526"/>
      <c r="Z14" s="527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7"/>
      <c r="BR14" s="527"/>
      <c r="BS14" s="527"/>
      <c r="BT14" s="528"/>
      <c r="BU14" s="529"/>
      <c r="BV14" s="529"/>
      <c r="BW14" s="529"/>
      <c r="BX14" s="529"/>
      <c r="BY14" s="527" t="s">
        <v>33</v>
      </c>
      <c r="BZ14" s="527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204" customFormat="1" ht="18.75" customHeight="1" x14ac:dyDescent="0.2">
      <c r="A15" s="384" t="s">
        <v>104</v>
      </c>
      <c r="B15" s="381"/>
      <c r="C15" s="382"/>
      <c r="D15" s="382"/>
      <c r="E15" s="382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7"/>
      <c r="T15" s="526"/>
      <c r="U15" s="527"/>
      <c r="V15" s="527"/>
      <c r="W15" s="526"/>
      <c r="X15" s="526"/>
      <c r="Y15" s="526"/>
      <c r="Z15" s="527"/>
      <c r="AA15" s="526"/>
      <c r="AB15" s="526"/>
      <c r="AC15" s="526"/>
      <c r="AD15" s="526"/>
      <c r="AE15" s="526"/>
      <c r="AF15" s="526"/>
      <c r="AG15" s="526"/>
      <c r="AH15" s="526"/>
      <c r="AI15" s="526"/>
      <c r="AJ15" s="530"/>
      <c r="AK15" s="526"/>
      <c r="AL15" s="526"/>
      <c r="AM15" s="526"/>
      <c r="AN15" s="526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31" t="s">
        <v>63</v>
      </c>
      <c r="BE15" s="527"/>
      <c r="BF15" s="527"/>
      <c r="BG15" s="527"/>
      <c r="BH15" s="527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8"/>
      <c r="BU15" s="532"/>
      <c r="BV15" s="529"/>
      <c r="BW15" s="529"/>
      <c r="BX15" s="529"/>
      <c r="BY15" s="527" t="s">
        <v>6</v>
      </c>
      <c r="BZ15" s="527"/>
      <c r="CE15" s="564"/>
      <c r="CF15" s="564"/>
      <c r="CG15" s="564"/>
      <c r="CH15" s="564"/>
      <c r="CI15" s="564"/>
      <c r="CJ15" s="564"/>
      <c r="CK15" s="564"/>
      <c r="CL15" s="564"/>
      <c r="CM15" s="564"/>
      <c r="CN15" s="564"/>
      <c r="CO15" s="564"/>
      <c r="CP15" s="564"/>
      <c r="CQ15" s="564"/>
      <c r="CR15" s="564"/>
      <c r="CS15" s="564"/>
      <c r="CT15" s="564"/>
      <c r="CU15" s="561"/>
      <c r="CV15" s="561"/>
      <c r="CW15" s="561"/>
      <c r="CX15" s="561"/>
    </row>
    <row r="16" spans="1:102" s="515" customFormat="1" ht="18.75" customHeight="1" x14ac:dyDescent="0.2">
      <c r="A16" s="380" t="s">
        <v>105</v>
      </c>
      <c r="B16" s="384"/>
      <c r="C16" s="169"/>
      <c r="D16" s="169"/>
      <c r="E16" s="169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3"/>
      <c r="AF16" s="533"/>
      <c r="AG16" s="533"/>
      <c r="AH16" s="533"/>
      <c r="AI16" s="533"/>
      <c r="AJ16" s="533"/>
      <c r="AK16" s="533"/>
      <c r="AL16" s="533"/>
      <c r="AM16" s="533"/>
      <c r="AN16" s="533"/>
      <c r="AO16" s="533"/>
      <c r="AP16" s="533"/>
      <c r="AQ16" s="533"/>
      <c r="AR16" s="533"/>
      <c r="AS16" s="533"/>
      <c r="AT16" s="385"/>
      <c r="AU16" s="26"/>
      <c r="BJ16" s="204"/>
      <c r="BT16" s="534"/>
      <c r="BU16" s="534"/>
      <c r="BV16" s="534"/>
      <c r="BW16" s="534"/>
      <c r="BX16" s="534"/>
      <c r="BY16" s="535"/>
      <c r="BZ16" s="536"/>
      <c r="CB16" s="537"/>
      <c r="CC16" s="27"/>
      <c r="CE16" s="565"/>
      <c r="CF16" s="565"/>
      <c r="CG16" s="565"/>
      <c r="CH16" s="565"/>
      <c r="CI16" s="565"/>
      <c r="CJ16" s="565"/>
      <c r="CK16" s="565"/>
      <c r="CL16" s="565"/>
      <c r="CM16" s="565"/>
      <c r="CN16" s="565"/>
      <c r="CO16" s="565"/>
      <c r="CP16" s="565"/>
      <c r="CQ16" s="565"/>
      <c r="CR16" s="565"/>
      <c r="CS16" s="565"/>
      <c r="CT16" s="565"/>
      <c r="CU16" s="562"/>
      <c r="CV16" s="562"/>
      <c r="CW16" s="562"/>
      <c r="CX16" s="562"/>
    </row>
    <row r="17" spans="1:102" s="204" customFormat="1" ht="18.75" customHeight="1" x14ac:dyDescent="0.2">
      <c r="A17" s="385" t="s">
        <v>106</v>
      </c>
      <c r="BT17" s="538"/>
      <c r="BU17" s="538"/>
      <c r="BV17" s="538"/>
      <c r="BW17" s="538"/>
      <c r="BX17" s="538"/>
      <c r="BY17" s="538"/>
      <c r="CE17" s="564"/>
      <c r="CF17" s="564"/>
      <c r="CG17" s="564"/>
      <c r="CH17" s="564"/>
      <c r="CI17" s="564"/>
      <c r="CJ17" s="564"/>
      <c r="CK17" s="564"/>
      <c r="CL17" s="564"/>
      <c r="CM17" s="564"/>
      <c r="CN17" s="564"/>
      <c r="CO17" s="564"/>
      <c r="CP17" s="564"/>
      <c r="CQ17" s="564"/>
      <c r="CR17" s="564"/>
      <c r="CS17" s="564"/>
      <c r="CT17" s="564"/>
      <c r="CU17" s="561"/>
      <c r="CV17" s="561"/>
      <c r="CW17" s="561"/>
      <c r="CX17" s="561"/>
    </row>
    <row r="18" spans="1:102" s="204" customFormat="1" ht="18.75" customHeight="1" x14ac:dyDescent="0.2">
      <c r="A18" s="514" t="s">
        <v>119</v>
      </c>
      <c r="BT18" s="538"/>
      <c r="BU18" s="538"/>
      <c r="BV18" s="538"/>
      <c r="BW18" s="538"/>
      <c r="BX18" s="538"/>
      <c r="BY18" s="538"/>
      <c r="CE18" s="564"/>
      <c r="CF18" s="564"/>
      <c r="CG18" s="564"/>
      <c r="CH18" s="564"/>
      <c r="CI18" s="564"/>
      <c r="CJ18" s="564"/>
      <c r="CK18" s="564"/>
      <c r="CL18" s="564"/>
      <c r="CM18" s="564"/>
      <c r="CN18" s="564"/>
      <c r="CO18" s="564"/>
      <c r="CP18" s="564"/>
      <c r="CQ18" s="564"/>
      <c r="CR18" s="564"/>
      <c r="CS18" s="564"/>
      <c r="CT18" s="564"/>
      <c r="CU18" s="561"/>
      <c r="CV18" s="561"/>
      <c r="CW18" s="561"/>
      <c r="CX18" s="561"/>
    </row>
    <row r="19" spans="1:102" ht="36" customHeight="1" x14ac:dyDescent="0.5">
      <c r="O19" s="29">
        <f t="shared" ref="O19:AA19" si="15">SUM(O7:O13)</f>
        <v>504.65000000000003</v>
      </c>
      <c r="P19" s="29">
        <f t="shared" si="15"/>
        <v>13581.849999999999</v>
      </c>
      <c r="Q19" s="29">
        <f t="shared" si="15"/>
        <v>20905.830000000002</v>
      </c>
      <c r="R19" s="29">
        <f t="shared" si="15"/>
        <v>296.0963333533486</v>
      </c>
      <c r="S19" s="29">
        <f t="shared" si="15"/>
        <v>956.81000000000006</v>
      </c>
      <c r="T19" s="29">
        <f t="shared" si="15"/>
        <v>103.11439171723323</v>
      </c>
      <c r="U19" s="29">
        <f t="shared" si="15"/>
        <v>19949.02</v>
      </c>
      <c r="V19" s="29">
        <f t="shared" si="15"/>
        <v>20905.830000000002</v>
      </c>
      <c r="W19" s="29">
        <f t="shared" si="15"/>
        <v>64361.08</v>
      </c>
      <c r="X19" s="29">
        <f t="shared" si="15"/>
        <v>-147.66169723475477</v>
      </c>
      <c r="Y19" s="29">
        <f t="shared" si="15"/>
        <v>3892.38</v>
      </c>
      <c r="Z19" s="29">
        <f t="shared" si="15"/>
        <v>3405.6299999999992</v>
      </c>
      <c r="AA19" s="29">
        <f t="shared" si="15"/>
        <v>86.256283746821055</v>
      </c>
      <c r="AB19" s="29">
        <f>SUM(Z14-AA14)</f>
        <v>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>
        <f>SUM(AT7:AT13)</f>
        <v>11467.49</v>
      </c>
      <c r="AU19" s="30" t="e">
        <f>(AT14-BK14)*100/BK14</f>
        <v>#DIV/0!</v>
      </c>
      <c r="AV19" s="31">
        <f>SUM(AV7:AV13)</f>
        <v>105082.46</v>
      </c>
    </row>
  </sheetData>
  <mergeCells count="42">
    <mergeCell ref="CI4:CI5"/>
    <mergeCell ref="CJ4:CJ5"/>
    <mergeCell ref="CK4:CK5"/>
    <mergeCell ref="CL4:CL5"/>
    <mergeCell ref="CQ4:CT4"/>
    <mergeCell ref="CM4:CP4"/>
    <mergeCell ref="CD3:CD5"/>
    <mergeCell ref="CE3:CH3"/>
    <mergeCell ref="CE4:CE5"/>
    <mergeCell ref="CF4:CF5"/>
    <mergeCell ref="CG4:CG5"/>
    <mergeCell ref="CH4:CH5"/>
    <mergeCell ref="CD1:CS1"/>
    <mergeCell ref="CI3:CL3"/>
    <mergeCell ref="CM3:CT3"/>
    <mergeCell ref="CA4:CB4"/>
    <mergeCell ref="A4:A5"/>
    <mergeCell ref="B4:C4"/>
    <mergeCell ref="E4:G4"/>
    <mergeCell ref="H4:J4"/>
    <mergeCell ref="BP4:BS4"/>
    <mergeCell ref="K4:M4"/>
    <mergeCell ref="N4:P4"/>
    <mergeCell ref="Q4:U4"/>
    <mergeCell ref="W4:AB4"/>
    <mergeCell ref="BL4:BO4"/>
    <mergeCell ref="A1:BY1"/>
    <mergeCell ref="A2:BY2"/>
    <mergeCell ref="BD4:BG4"/>
    <mergeCell ref="BT4:BY4"/>
    <mergeCell ref="AD4:AF4"/>
    <mergeCell ref="AG4:AI4"/>
    <mergeCell ref="AJ4:AO4"/>
    <mergeCell ref="AP4:AV4"/>
    <mergeCell ref="AW4:BC4"/>
    <mergeCell ref="BH4:BK4"/>
    <mergeCell ref="CU3:CV3"/>
    <mergeCell ref="CW3:CX3"/>
    <mergeCell ref="CU4:CU5"/>
    <mergeCell ref="CV4:CV5"/>
    <mergeCell ref="CW4:CW5"/>
    <mergeCell ref="CX4:CX5"/>
  </mergeCells>
  <phoneticPr fontId="19" type="noConversion"/>
  <pageMargins left="0.3" right="0" top="1.3771701388888888" bottom="0.75" header="0.3" footer="0.3"/>
  <pageSetup scale="95" orientation="portrait" horizontalDpi="4294967295" verticalDpi="4294967295" r:id="rId1"/>
  <headerFooter>
    <oddHeader>&amp;C&amp;"AngsanaUPC,Regular"&amp;16- 33 -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4"/>
  <sheetViews>
    <sheetView showWhiteSpace="0" view="pageLayout" topLeftCell="A10" zoomScale="130" zoomScaleNormal="150" zoomScalePageLayoutView="130" workbookViewId="0">
      <selection activeCell="AN11" sqref="AN11"/>
    </sheetView>
  </sheetViews>
  <sheetFormatPr defaultColWidth="9.125" defaultRowHeight="23.25" x14ac:dyDescent="0.5"/>
  <cols>
    <col min="1" max="1" width="15.375" style="5" customWidth="1"/>
    <col min="2" max="2" width="6.375" style="5" hidden="1" customWidth="1"/>
    <col min="3" max="4" width="6.125" style="5" hidden="1" customWidth="1"/>
    <col min="5" max="5" width="6.875" style="5" hidden="1" customWidth="1"/>
    <col min="6" max="17" width="0" style="5" hidden="1" customWidth="1"/>
    <col min="18" max="18" width="6.125" style="5" hidden="1" customWidth="1"/>
    <col min="19" max="19" width="5.875" style="5" hidden="1" customWidth="1"/>
    <col min="20" max="20" width="6" style="5" hidden="1" customWidth="1"/>
    <col min="21" max="24" width="6.125" style="5" hidden="1" customWidth="1"/>
    <col min="25" max="25" width="1.625" style="5" hidden="1" customWidth="1"/>
    <col min="26" max="26" width="6" style="5" hidden="1" customWidth="1"/>
    <col min="27" max="27" width="5.625" style="198" hidden="1" customWidth="1"/>
    <col min="28" max="28" width="6" style="198" hidden="1" customWidth="1"/>
    <col min="29" max="29" width="5.25" style="5" hidden="1" customWidth="1"/>
    <col min="30" max="30" width="6" style="5" customWidth="1"/>
    <col min="31" max="32" width="6" style="198" customWidth="1"/>
    <col min="33" max="37" width="5.625" style="5" customWidth="1"/>
    <col min="38" max="39" width="6" style="572" customWidth="1"/>
    <col min="40" max="40" width="4.125" style="572" customWidth="1"/>
    <col min="41" max="41" width="6" style="572" customWidth="1"/>
    <col min="42" max="42" width="4.375" style="572" customWidth="1"/>
    <col min="43" max="43" width="5.625" style="572" customWidth="1"/>
    <col min="44" max="44" width="7.375" style="5" customWidth="1"/>
    <col min="45" max="45" width="6.375" style="5" customWidth="1"/>
    <col min="46" max="46" width="3.875" style="5" customWidth="1"/>
    <col min="47" max="47" width="9.125" style="5"/>
    <col min="48" max="48" width="22.875" style="5" customWidth="1"/>
    <col min="49" max="56" width="0" style="5" hidden="1" customWidth="1"/>
    <col min="57" max="16384" width="9.125" style="5"/>
  </cols>
  <sheetData>
    <row r="1" spans="1:68" ht="20.25" customHeight="1" x14ac:dyDescent="0.5">
      <c r="A1" s="764" t="s">
        <v>48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127"/>
      <c r="AS1" s="127"/>
      <c r="AU1" s="694" t="s">
        <v>273</v>
      </c>
      <c r="AV1" s="694"/>
      <c r="AW1" s="694"/>
      <c r="AX1" s="694"/>
      <c r="AY1" s="694"/>
      <c r="AZ1" s="694"/>
      <c r="BA1" s="694"/>
      <c r="BB1" s="694"/>
      <c r="BC1" s="694"/>
      <c r="BD1" s="694"/>
      <c r="BE1" s="694"/>
      <c r="BF1" s="694"/>
      <c r="BG1" s="694"/>
      <c r="BH1" s="694"/>
      <c r="BI1" s="694"/>
      <c r="BJ1"/>
      <c r="BK1"/>
      <c r="BL1"/>
      <c r="BM1"/>
      <c r="BN1"/>
      <c r="BO1"/>
      <c r="BP1"/>
    </row>
    <row r="2" spans="1:68" ht="24.75" customHeight="1" x14ac:dyDescent="0.5">
      <c r="A2" s="704" t="s">
        <v>321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389"/>
      <c r="AS2" s="389"/>
      <c r="AT2" s="389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</row>
    <row r="3" spans="1:68" s="6" customFormat="1" ht="12.75" customHeight="1" x14ac:dyDescent="0.45">
      <c r="A3" s="128"/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571"/>
      <c r="AM3" s="572"/>
      <c r="AN3" s="572"/>
      <c r="AO3" s="571"/>
      <c r="AP3" s="571"/>
      <c r="AQ3" s="573" t="s">
        <v>26</v>
      </c>
      <c r="AR3" s="131"/>
      <c r="AU3" s="695" t="s">
        <v>29</v>
      </c>
      <c r="AV3" s="695"/>
      <c r="AW3" s="695">
        <v>2560</v>
      </c>
      <c r="AX3" s="695"/>
      <c r="AY3" s="695"/>
      <c r="AZ3" s="695"/>
      <c r="BA3" s="695">
        <v>2561</v>
      </c>
      <c r="BB3" s="695"/>
      <c r="BC3" s="695"/>
      <c r="BD3" s="695"/>
      <c r="BE3" s="695" t="s">
        <v>241</v>
      </c>
      <c r="BF3" s="695"/>
      <c r="BG3" s="695"/>
      <c r="BH3" s="695"/>
      <c r="BI3" s="695"/>
      <c r="BJ3" s="695"/>
      <c r="BK3" s="695"/>
      <c r="BL3" s="695"/>
      <c r="BM3" s="695" t="s">
        <v>240</v>
      </c>
      <c r="BN3" s="695"/>
      <c r="BO3" s="695" t="s">
        <v>251</v>
      </c>
      <c r="BP3" s="695"/>
    </row>
    <row r="4" spans="1:68" s="7" customFormat="1" ht="16.5" customHeight="1" x14ac:dyDescent="0.2">
      <c r="A4" s="714" t="s">
        <v>29</v>
      </c>
      <c r="B4" s="548"/>
      <c r="C4" s="548"/>
      <c r="D4" s="548"/>
      <c r="E4" s="714"/>
      <c r="F4" s="758"/>
      <c r="G4" s="758"/>
      <c r="H4" s="758"/>
      <c r="I4" s="758"/>
      <c r="J4" s="759"/>
      <c r="K4" s="752"/>
      <c r="L4" s="752"/>
      <c r="M4" s="760"/>
      <c r="N4" s="697">
        <v>2556</v>
      </c>
      <c r="O4" s="762"/>
      <c r="P4" s="762"/>
      <c r="Q4" s="763"/>
      <c r="R4" s="697">
        <v>2557</v>
      </c>
      <c r="S4" s="762"/>
      <c r="T4" s="762"/>
      <c r="U4" s="763"/>
      <c r="V4" s="729">
        <v>2558</v>
      </c>
      <c r="W4" s="730"/>
      <c r="X4" s="730"/>
      <c r="Y4" s="731"/>
      <c r="Z4" s="729">
        <v>2559</v>
      </c>
      <c r="AA4" s="730"/>
      <c r="AB4" s="730"/>
      <c r="AC4" s="731"/>
      <c r="AD4" s="729">
        <v>2560</v>
      </c>
      <c r="AE4" s="730"/>
      <c r="AF4" s="730"/>
      <c r="AG4" s="731"/>
      <c r="AH4" s="729">
        <v>2561</v>
      </c>
      <c r="AI4" s="730"/>
      <c r="AJ4" s="730"/>
      <c r="AK4" s="731"/>
      <c r="AL4" s="732" t="s">
        <v>324</v>
      </c>
      <c r="AM4" s="733"/>
      <c r="AN4" s="733"/>
      <c r="AO4" s="733"/>
      <c r="AP4" s="733"/>
      <c r="AQ4" s="734"/>
      <c r="AR4" s="751" t="s">
        <v>326</v>
      </c>
      <c r="AS4" s="751"/>
      <c r="AU4" s="695"/>
      <c r="AV4" s="695"/>
      <c r="AW4" s="695" t="s">
        <v>9</v>
      </c>
      <c r="AX4" s="695" t="s">
        <v>1</v>
      </c>
      <c r="AY4" s="695" t="s">
        <v>2</v>
      </c>
      <c r="AZ4" s="695" t="s">
        <v>3</v>
      </c>
      <c r="BA4" s="695" t="s">
        <v>9</v>
      </c>
      <c r="BB4" s="695" t="s">
        <v>1</v>
      </c>
      <c r="BC4" s="695" t="s">
        <v>2</v>
      </c>
      <c r="BD4" s="695" t="s">
        <v>3</v>
      </c>
      <c r="BE4" s="695">
        <v>2561</v>
      </c>
      <c r="BF4" s="695"/>
      <c r="BG4" s="695"/>
      <c r="BH4" s="695"/>
      <c r="BI4" s="695">
        <v>2562</v>
      </c>
      <c r="BJ4" s="695"/>
      <c r="BK4" s="695"/>
      <c r="BL4" s="695"/>
      <c r="BM4" s="695" t="s">
        <v>1</v>
      </c>
      <c r="BN4" s="695" t="s">
        <v>2</v>
      </c>
      <c r="BO4" s="695" t="s">
        <v>1</v>
      </c>
      <c r="BP4" s="695" t="s">
        <v>2</v>
      </c>
    </row>
    <row r="5" spans="1:68" s="7" customFormat="1" ht="19.5" customHeight="1" x14ac:dyDescent="0.2">
      <c r="A5" s="715"/>
      <c r="B5" s="548"/>
      <c r="C5" s="548"/>
      <c r="D5" s="548"/>
      <c r="E5" s="715"/>
      <c r="F5" s="758"/>
      <c r="G5" s="758"/>
      <c r="H5" s="758"/>
      <c r="I5" s="758"/>
      <c r="J5" s="759"/>
      <c r="K5" s="753"/>
      <c r="L5" s="753"/>
      <c r="M5" s="761"/>
      <c r="N5" s="132" t="s">
        <v>5</v>
      </c>
      <c r="O5" s="132" t="s">
        <v>1</v>
      </c>
      <c r="P5" s="132" t="s">
        <v>2</v>
      </c>
      <c r="Q5" s="133" t="s">
        <v>3</v>
      </c>
      <c r="R5" s="134" t="s">
        <v>5</v>
      </c>
      <c r="S5" s="135" t="s">
        <v>1</v>
      </c>
      <c r="T5" s="134" t="s">
        <v>2</v>
      </c>
      <c r="U5" s="136" t="s">
        <v>3</v>
      </c>
      <c r="V5" s="137" t="s">
        <v>5</v>
      </c>
      <c r="W5" s="138" t="s">
        <v>1</v>
      </c>
      <c r="X5" s="132" t="s">
        <v>2</v>
      </c>
      <c r="Y5" s="139" t="s">
        <v>3</v>
      </c>
      <c r="Z5" s="137" t="s">
        <v>5</v>
      </c>
      <c r="AA5" s="289" t="s">
        <v>1</v>
      </c>
      <c r="AB5" s="289" t="s">
        <v>2</v>
      </c>
      <c r="AC5" s="133" t="s">
        <v>3</v>
      </c>
      <c r="AD5" s="137" t="s">
        <v>5</v>
      </c>
      <c r="AE5" s="289" t="s">
        <v>1</v>
      </c>
      <c r="AF5" s="289" t="s">
        <v>2</v>
      </c>
      <c r="AG5" s="133" t="s">
        <v>3</v>
      </c>
      <c r="AH5" s="137" t="s">
        <v>5</v>
      </c>
      <c r="AI5" s="289" t="s">
        <v>1</v>
      </c>
      <c r="AJ5" s="289" t="s">
        <v>2</v>
      </c>
      <c r="AK5" s="133" t="s">
        <v>3</v>
      </c>
      <c r="AL5" s="574" t="s">
        <v>5</v>
      </c>
      <c r="AM5" s="575" t="s">
        <v>1</v>
      </c>
      <c r="AN5" s="576" t="s">
        <v>59</v>
      </c>
      <c r="AO5" s="575" t="s">
        <v>2</v>
      </c>
      <c r="AP5" s="576" t="s">
        <v>59</v>
      </c>
      <c r="AQ5" s="577" t="s">
        <v>3</v>
      </c>
      <c r="AR5" s="140" t="s">
        <v>1</v>
      </c>
      <c r="AS5" s="140" t="s">
        <v>2</v>
      </c>
      <c r="AU5" s="695"/>
      <c r="AV5" s="695"/>
      <c r="AW5" s="695"/>
      <c r="AX5" s="695"/>
      <c r="AY5" s="695"/>
      <c r="AZ5" s="695"/>
      <c r="BA5" s="695"/>
      <c r="BB5" s="695"/>
      <c r="BC5" s="695"/>
      <c r="BD5" s="695"/>
      <c r="BE5" s="617" t="s">
        <v>9</v>
      </c>
      <c r="BF5" s="617" t="s">
        <v>1</v>
      </c>
      <c r="BG5" s="617" t="s">
        <v>2</v>
      </c>
      <c r="BH5" s="617" t="s">
        <v>3</v>
      </c>
      <c r="BI5" s="617" t="s">
        <v>9</v>
      </c>
      <c r="BJ5" s="617" t="s">
        <v>1</v>
      </c>
      <c r="BK5" s="617" t="s">
        <v>2</v>
      </c>
      <c r="BL5" s="617" t="s">
        <v>3</v>
      </c>
      <c r="BM5" s="695"/>
      <c r="BN5" s="695"/>
      <c r="BO5" s="695"/>
      <c r="BP5" s="695"/>
    </row>
    <row r="6" spans="1:68" s="7" customFormat="1" ht="14.25" customHeight="1" x14ac:dyDescent="0.2">
      <c r="A6" s="726" t="s">
        <v>88</v>
      </c>
      <c r="B6" s="727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727"/>
      <c r="AK6" s="727"/>
      <c r="AL6" s="727"/>
      <c r="AM6" s="727"/>
      <c r="AN6" s="727"/>
      <c r="AO6" s="727"/>
      <c r="AP6" s="727"/>
      <c r="AQ6" s="728"/>
      <c r="AR6" s="203"/>
      <c r="AS6" s="203"/>
      <c r="AU6" s="724" t="s">
        <v>210</v>
      </c>
      <c r="AV6" s="724"/>
      <c r="AW6" s="724"/>
      <c r="AX6" s="724"/>
      <c r="AY6" s="724"/>
      <c r="AZ6" s="724"/>
      <c r="BA6" s="724"/>
      <c r="BB6" s="724"/>
      <c r="BC6" s="724"/>
      <c r="BD6" s="724"/>
      <c r="BE6" s="724"/>
      <c r="BF6" s="724"/>
      <c r="BG6" s="724"/>
      <c r="BH6" s="724"/>
      <c r="BI6" s="724"/>
      <c r="BJ6" s="724"/>
      <c r="BK6" s="724"/>
      <c r="BL6" s="724"/>
      <c r="BM6" s="724"/>
      <c r="BN6" s="724"/>
      <c r="BO6" s="724"/>
      <c r="BP6" s="724"/>
    </row>
    <row r="7" spans="1:68" s="8" customFormat="1" ht="19.5" customHeight="1" x14ac:dyDescent="0.5">
      <c r="A7" s="233" t="s">
        <v>79</v>
      </c>
      <c r="B7" s="239">
        <v>6941.52</v>
      </c>
      <c r="C7" s="239">
        <v>7256.61</v>
      </c>
      <c r="D7" s="239">
        <v>7815.32</v>
      </c>
      <c r="E7" s="240">
        <v>11439.85</v>
      </c>
      <c r="F7" s="241">
        <v>11872.76</v>
      </c>
      <c r="G7" s="242">
        <v>12992.08</v>
      </c>
      <c r="H7" s="242">
        <v>15028.08</v>
      </c>
      <c r="I7" s="242">
        <v>26227.53</v>
      </c>
      <c r="J7" s="243">
        <v>21316.9</v>
      </c>
      <c r="K7" s="234" t="e">
        <f>SUM(#REF!)</f>
        <v>#REF!</v>
      </c>
      <c r="L7" s="234" t="e">
        <f>SUM(#REF!)</f>
        <v>#REF!</v>
      </c>
      <c r="M7" s="234" t="e">
        <f>SUM(#REF!)</f>
        <v>#REF!</v>
      </c>
      <c r="N7" s="235">
        <v>57854.76</v>
      </c>
      <c r="O7" s="236">
        <v>51625.85</v>
      </c>
      <c r="P7" s="244">
        <v>6228.91</v>
      </c>
      <c r="Q7" s="269">
        <f>SUM(O7-P7)</f>
        <v>45396.94</v>
      </c>
      <c r="R7" s="244">
        <f>SUM(S7+T7)</f>
        <v>72600.78</v>
      </c>
      <c r="S7" s="235">
        <v>59508.78</v>
      </c>
      <c r="T7" s="237">
        <v>13092</v>
      </c>
      <c r="U7" s="237">
        <f>SUM(S7-T7)-0.01</f>
        <v>46416.77</v>
      </c>
      <c r="V7" s="237">
        <f>SUM(W7+X7)</f>
        <v>71989.789999999994</v>
      </c>
      <c r="W7" s="235">
        <v>61061.42</v>
      </c>
      <c r="X7" s="235">
        <v>10928.37</v>
      </c>
      <c r="Y7" s="282">
        <f>SUM(W7-X7)</f>
        <v>50133.049999999996</v>
      </c>
      <c r="Z7" s="284">
        <f>SUM(AA7+AB7)</f>
        <v>59721.22</v>
      </c>
      <c r="AA7" s="236">
        <v>53897.32</v>
      </c>
      <c r="AB7" s="235">
        <v>5823.9</v>
      </c>
      <c r="AC7" s="238">
        <f>SUM(AA7-AB7)</f>
        <v>48073.42</v>
      </c>
      <c r="AD7" s="424">
        <f>SUM(AE7+AF7)</f>
        <v>67467.274699999994</v>
      </c>
      <c r="AE7" s="428">
        <v>59599.9084</v>
      </c>
      <c r="AF7" s="428">
        <v>7867.3662999999997</v>
      </c>
      <c r="AG7" s="285">
        <f>SUM(AE7-AF7)</f>
        <v>51732.542099999999</v>
      </c>
      <c r="AH7" s="430">
        <f>AI7+AJ7</f>
        <v>85547.481</v>
      </c>
      <c r="AI7" s="507">
        <v>76318.6155</v>
      </c>
      <c r="AJ7" s="507">
        <v>9228.8654999999999</v>
      </c>
      <c r="AK7" s="545">
        <f>AI7-AJ7</f>
        <v>67089.75</v>
      </c>
      <c r="AL7" s="583">
        <f>SUM(AM7+AO7)</f>
        <v>87855.217499999999</v>
      </c>
      <c r="AM7" s="501">
        <v>80239.633100000006</v>
      </c>
      <c r="AN7" s="584">
        <f>+(AM7-AR7)/AR7*100</f>
        <v>16.751715116946333</v>
      </c>
      <c r="AO7" s="501">
        <v>7615.5843999999997</v>
      </c>
      <c r="AP7" s="584">
        <f>+(AO7-AS7)/AS7*100</f>
        <v>-10.263014181456352</v>
      </c>
      <c r="AQ7" s="585">
        <f>SUM(AM7-AO7)</f>
        <v>72624.048700000014</v>
      </c>
      <c r="AR7" s="409">
        <v>68726.727499999994</v>
      </c>
      <c r="AS7" s="409">
        <v>8486.5614000000005</v>
      </c>
      <c r="AU7"/>
      <c r="AV7" s="549" t="s">
        <v>141</v>
      </c>
      <c r="AW7" s="409">
        <v>67467.274799999999</v>
      </c>
      <c r="AX7" s="409">
        <v>59599.9084</v>
      </c>
      <c r="AY7" s="409">
        <v>7867.3662999999997</v>
      </c>
      <c r="AZ7" s="409">
        <v>51732.542099999999</v>
      </c>
      <c r="BA7" s="409">
        <v>85547.481100000005</v>
      </c>
      <c r="BB7" s="409">
        <v>76318.6155</v>
      </c>
      <c r="BC7" s="409">
        <v>9228.8654999999999</v>
      </c>
      <c r="BD7" s="409">
        <v>67089.75</v>
      </c>
      <c r="BE7" s="409">
        <v>85547.481100000005</v>
      </c>
      <c r="BF7" s="409">
        <v>76318.6155</v>
      </c>
      <c r="BG7" s="409">
        <v>9228.8654999999999</v>
      </c>
      <c r="BH7" s="409">
        <v>67089.75</v>
      </c>
      <c r="BI7" s="409">
        <v>97069.366599999994</v>
      </c>
      <c r="BJ7" s="409">
        <v>88731.722200000004</v>
      </c>
      <c r="BK7" s="409">
        <v>8337.6443999999992</v>
      </c>
      <c r="BL7" s="409">
        <v>80394.077799999999</v>
      </c>
      <c r="BM7" s="550" t="s">
        <v>252</v>
      </c>
      <c r="BN7" s="550" t="s">
        <v>274</v>
      </c>
      <c r="BO7" s="550" t="s">
        <v>254</v>
      </c>
      <c r="BP7" s="550" t="s">
        <v>275</v>
      </c>
    </row>
    <row r="8" spans="1:68" s="8" customFormat="1" ht="19.5" customHeight="1" x14ac:dyDescent="0.5">
      <c r="A8" s="233" t="s">
        <v>80</v>
      </c>
      <c r="B8" s="239"/>
      <c r="C8" s="239"/>
      <c r="D8" s="239"/>
      <c r="E8" s="240"/>
      <c r="F8" s="241"/>
      <c r="G8" s="242"/>
      <c r="H8" s="242"/>
      <c r="I8" s="242"/>
      <c r="J8" s="243"/>
      <c r="K8" s="234"/>
      <c r="L8" s="234"/>
      <c r="M8" s="234"/>
      <c r="N8" s="235"/>
      <c r="O8" s="236"/>
      <c r="P8" s="244"/>
      <c r="Q8" s="269"/>
      <c r="R8" s="244">
        <f>SUM(S8+T8)</f>
        <v>742.96</v>
      </c>
      <c r="S8" s="235">
        <v>0</v>
      </c>
      <c r="T8" s="237">
        <v>742.96</v>
      </c>
      <c r="U8" s="237">
        <f>SUM(S8-T8)-0.01</f>
        <v>-742.97</v>
      </c>
      <c r="V8" s="237">
        <f>SUM(W8+X8)</f>
        <v>2249.38</v>
      </c>
      <c r="W8" s="235">
        <v>0</v>
      </c>
      <c r="X8" s="235">
        <v>2249.38</v>
      </c>
      <c r="Y8" s="282">
        <f>SUM(W8-X8)</f>
        <v>-2249.38</v>
      </c>
      <c r="Z8" s="284">
        <f>SUM(AA8+AB8)</f>
        <v>3170.84</v>
      </c>
      <c r="AA8" s="235">
        <v>0</v>
      </c>
      <c r="AB8" s="235">
        <v>3170.84</v>
      </c>
      <c r="AC8" s="238">
        <f>SUM(AA8-AB8)</f>
        <v>-3170.84</v>
      </c>
      <c r="AD8" s="424">
        <f>SUM(AE8+AF8)</f>
        <v>3425.9724000000001</v>
      </c>
      <c r="AE8" s="428">
        <v>0</v>
      </c>
      <c r="AF8" s="428">
        <v>3425.9724000000001</v>
      </c>
      <c r="AG8" s="285">
        <f>SUM(AE8-AF8)</f>
        <v>-3425.9724000000001</v>
      </c>
      <c r="AH8" s="430">
        <f>AI8+AJ8</f>
        <v>2616.1574999999998</v>
      </c>
      <c r="AI8" s="507">
        <v>0</v>
      </c>
      <c r="AJ8" s="507">
        <v>2616.1574999999998</v>
      </c>
      <c r="AK8" s="545">
        <f>AI8-AJ8</f>
        <v>-2616.1574999999998</v>
      </c>
      <c r="AL8" s="586">
        <f>SUM(AM8+AO8)</f>
        <v>2258.7891</v>
      </c>
      <c r="AM8" s="587">
        <v>0</v>
      </c>
      <c r="AN8" s="584" t="s">
        <v>36</v>
      </c>
      <c r="AO8" s="501">
        <v>2258.7891</v>
      </c>
      <c r="AP8" s="584">
        <f>+(AO8-AS8)/AS8*100</f>
        <v>-8.4391367424394534</v>
      </c>
      <c r="AQ8" s="585">
        <f>SUM(AM8-AO8)</f>
        <v>-2258.7891</v>
      </c>
      <c r="AR8" s="409">
        <v>0</v>
      </c>
      <c r="AS8" s="409">
        <v>2466.9810000000002</v>
      </c>
      <c r="AU8"/>
      <c r="AV8" s="549" t="s">
        <v>142</v>
      </c>
      <c r="AW8" s="409">
        <v>3425.9724000000001</v>
      </c>
      <c r="AX8" s="409">
        <v>0</v>
      </c>
      <c r="AY8" s="409">
        <v>3425.9724000000001</v>
      </c>
      <c r="AZ8" s="409">
        <v>-3425.9724000000001</v>
      </c>
      <c r="BA8" s="409">
        <v>2616.1574999999998</v>
      </c>
      <c r="BB8" s="409">
        <v>0</v>
      </c>
      <c r="BC8" s="409">
        <v>2616.1574999999998</v>
      </c>
      <c r="BD8" s="409">
        <v>-2616.1574999999998</v>
      </c>
      <c r="BE8" s="409">
        <v>2616.1574999999998</v>
      </c>
      <c r="BF8" s="409">
        <v>0</v>
      </c>
      <c r="BG8" s="409">
        <v>2616.1574999999998</v>
      </c>
      <c r="BH8" s="409">
        <v>-2616.1574999999998</v>
      </c>
      <c r="BI8" s="409">
        <v>2551.3661000000002</v>
      </c>
      <c r="BJ8" s="409">
        <v>0</v>
      </c>
      <c r="BK8" s="409">
        <v>2551.3661000000002</v>
      </c>
      <c r="BL8" s="409">
        <v>-2551.3661000000002</v>
      </c>
      <c r="BM8" s="550" t="s">
        <v>36</v>
      </c>
      <c r="BN8" s="550" t="s">
        <v>276</v>
      </c>
      <c r="BO8" s="550" t="s">
        <v>36</v>
      </c>
      <c r="BP8" s="550" t="s">
        <v>277</v>
      </c>
    </row>
    <row r="9" spans="1:68" s="8" customFormat="1" ht="19.5" customHeight="1" x14ac:dyDescent="0.5">
      <c r="A9" s="233" t="s">
        <v>212</v>
      </c>
      <c r="B9" s="239"/>
      <c r="C9" s="239"/>
      <c r="D9" s="239"/>
      <c r="E9" s="240"/>
      <c r="F9" s="241"/>
      <c r="G9" s="242"/>
      <c r="H9" s="242"/>
      <c r="I9" s="242"/>
      <c r="J9" s="243"/>
      <c r="K9" s="234"/>
      <c r="L9" s="234"/>
      <c r="M9" s="234"/>
      <c r="N9" s="235"/>
      <c r="O9" s="236"/>
      <c r="P9" s="244"/>
      <c r="Q9" s="269"/>
      <c r="R9" s="244">
        <f>SUM(S9+T9)</f>
        <v>544.44000000000005</v>
      </c>
      <c r="S9" s="235">
        <v>0</v>
      </c>
      <c r="T9" s="237">
        <v>544.44000000000005</v>
      </c>
      <c r="U9" s="237">
        <f>SUM(S9-T9)-0.01</f>
        <v>-544.45000000000005</v>
      </c>
      <c r="V9" s="237">
        <f>SUM(W9+X9)</f>
        <v>1382.95</v>
      </c>
      <c r="W9" s="235">
        <v>0</v>
      </c>
      <c r="X9" s="235">
        <v>1382.95</v>
      </c>
      <c r="Y9" s="282">
        <f>SUM(W9-X9)</f>
        <v>-1382.95</v>
      </c>
      <c r="Z9" s="284">
        <f>SUM(AA9+AB9)</f>
        <v>1633.28</v>
      </c>
      <c r="AA9" s="235">
        <v>0</v>
      </c>
      <c r="AB9" s="235">
        <v>1633.28</v>
      </c>
      <c r="AC9" s="238">
        <f>SUM(AA9-AB9)</f>
        <v>-1633.28</v>
      </c>
      <c r="AD9" s="568">
        <f>SUM(AE9+AF9)</f>
        <v>2250.1667000000002</v>
      </c>
      <c r="AE9" s="428">
        <v>0</v>
      </c>
      <c r="AF9" s="428">
        <v>2250.1667000000002</v>
      </c>
      <c r="AG9" s="567">
        <f>SUM(AE9-AF9)</f>
        <v>-2250.1667000000002</v>
      </c>
      <c r="AH9" s="430">
        <f>AI9+AJ9</f>
        <v>1444.3054999999999</v>
      </c>
      <c r="AI9" s="569">
        <v>0</v>
      </c>
      <c r="AJ9" s="569">
        <v>1444.3054999999999</v>
      </c>
      <c r="AK9" s="567">
        <f>AI9-AJ9</f>
        <v>-1444.3054999999999</v>
      </c>
      <c r="AL9" s="586">
        <f>SUM(AM9+AO9)</f>
        <v>1012.919</v>
      </c>
      <c r="AM9" s="587">
        <v>0</v>
      </c>
      <c r="AN9" s="584" t="s">
        <v>36</v>
      </c>
      <c r="AO9" s="501">
        <v>1012.919</v>
      </c>
      <c r="AP9" s="584">
        <f>+(AO9-AS9)/AS9*100</f>
        <v>-28.723913892165648</v>
      </c>
      <c r="AQ9" s="585">
        <f>SUM(AM9-AO9)</f>
        <v>-1012.919</v>
      </c>
      <c r="AR9" s="409">
        <v>0</v>
      </c>
      <c r="AS9" s="409">
        <v>1421.1204</v>
      </c>
      <c r="AU9"/>
      <c r="AV9" s="549" t="s">
        <v>143</v>
      </c>
      <c r="AW9" s="409">
        <v>2250.1667000000002</v>
      </c>
      <c r="AX9" s="409">
        <v>0</v>
      </c>
      <c r="AY9" s="409">
        <v>2250.1667000000002</v>
      </c>
      <c r="AZ9" s="409">
        <v>-2250.1667000000002</v>
      </c>
      <c r="BA9" s="409">
        <v>1444.3054999999999</v>
      </c>
      <c r="BB9" s="409">
        <v>0</v>
      </c>
      <c r="BC9" s="409">
        <v>1444.3054999999999</v>
      </c>
      <c r="BD9" s="409">
        <v>-1444.3054999999999</v>
      </c>
      <c r="BE9" s="409">
        <v>1444.3054999999999</v>
      </c>
      <c r="BF9" s="409">
        <v>0</v>
      </c>
      <c r="BG9" s="409">
        <v>1444.3054999999999</v>
      </c>
      <c r="BH9" s="409">
        <v>-1444.3054999999999</v>
      </c>
      <c r="BI9" s="409">
        <v>1044.4675999999999</v>
      </c>
      <c r="BJ9" s="409">
        <v>0</v>
      </c>
      <c r="BK9" s="409">
        <v>1044.4675999999999</v>
      </c>
      <c r="BL9" s="409">
        <v>-1044.4675999999999</v>
      </c>
      <c r="BM9" s="550" t="s">
        <v>36</v>
      </c>
      <c r="BN9" s="550" t="s">
        <v>278</v>
      </c>
      <c r="BO9" s="550" t="s">
        <v>36</v>
      </c>
      <c r="BP9" s="550" t="s">
        <v>279</v>
      </c>
    </row>
    <row r="10" spans="1:68" s="8" customFormat="1" ht="19.5" customHeight="1" x14ac:dyDescent="0.5">
      <c r="A10" s="233" t="s">
        <v>213</v>
      </c>
      <c r="B10" s="239"/>
      <c r="C10" s="239"/>
      <c r="D10" s="239"/>
      <c r="E10" s="240"/>
      <c r="F10" s="241"/>
      <c r="G10" s="242"/>
      <c r="H10" s="242"/>
      <c r="I10" s="242"/>
      <c r="J10" s="243"/>
      <c r="K10" s="234"/>
      <c r="L10" s="234"/>
      <c r="M10" s="234"/>
      <c r="N10" s="235"/>
      <c r="O10" s="236"/>
      <c r="P10" s="244"/>
      <c r="Q10" s="269"/>
      <c r="R10" s="244">
        <f>SUM(S10+T10)</f>
        <v>883.58</v>
      </c>
      <c r="S10" s="235">
        <v>0</v>
      </c>
      <c r="T10" s="237">
        <v>883.58</v>
      </c>
      <c r="U10" s="237">
        <f>SUM(S10-T10)-0.01</f>
        <v>-883.59</v>
      </c>
      <c r="V10" s="237">
        <f>SUM(W10+X10)</f>
        <v>1551.19</v>
      </c>
      <c r="W10" s="235">
        <v>0</v>
      </c>
      <c r="X10" s="235">
        <v>1551.19</v>
      </c>
      <c r="Y10" s="282">
        <f>SUM(W10-X10)</f>
        <v>-1551.19</v>
      </c>
      <c r="Z10" s="284">
        <f>SUM(AA10+AB10)</f>
        <v>2144.69</v>
      </c>
      <c r="AA10" s="235">
        <v>0</v>
      </c>
      <c r="AB10" s="235">
        <v>2144.69</v>
      </c>
      <c r="AC10" s="238">
        <f>SUM(AA10-AB10)</f>
        <v>-2144.69</v>
      </c>
      <c r="AD10" s="424">
        <f>SUM(AE10+AF10)</f>
        <v>2007.6511</v>
      </c>
      <c r="AE10" s="428">
        <v>0</v>
      </c>
      <c r="AF10" s="428">
        <v>2007.6511</v>
      </c>
      <c r="AG10" s="285">
        <f>SUM(AE10-AF10)</f>
        <v>-2007.6511</v>
      </c>
      <c r="AH10" s="430">
        <f>AI10+AJ10</f>
        <v>1045.9749999999999</v>
      </c>
      <c r="AI10" s="507">
        <v>0</v>
      </c>
      <c r="AJ10" s="507">
        <v>1045.9749999999999</v>
      </c>
      <c r="AK10" s="545">
        <f>AI10-AJ10</f>
        <v>-1045.9749999999999</v>
      </c>
      <c r="AL10" s="586">
        <f>SUM(AM10+AO10)</f>
        <v>591.25980000000004</v>
      </c>
      <c r="AM10" s="587">
        <v>0</v>
      </c>
      <c r="AN10" s="584" t="s">
        <v>36</v>
      </c>
      <c r="AO10" s="501">
        <v>591.25980000000004</v>
      </c>
      <c r="AP10" s="584">
        <f>+(AO10-AS10)/AS10*100</f>
        <v>-40.404304607625917</v>
      </c>
      <c r="AQ10" s="588">
        <f>SUM(AM10-AO10)</f>
        <v>-591.25980000000004</v>
      </c>
      <c r="AR10" s="409">
        <v>0</v>
      </c>
      <c r="AS10" s="409">
        <v>992.11829999999998</v>
      </c>
      <c r="AU10"/>
      <c r="AV10" s="549" t="s">
        <v>144</v>
      </c>
      <c r="AW10" s="409">
        <v>2007.6511</v>
      </c>
      <c r="AX10" s="409">
        <v>0</v>
      </c>
      <c r="AY10" s="409">
        <v>2007.6511</v>
      </c>
      <c r="AZ10" s="409">
        <v>-2007.6511</v>
      </c>
      <c r="BA10" s="409">
        <v>1045.9749999999999</v>
      </c>
      <c r="BB10" s="409">
        <v>0</v>
      </c>
      <c r="BC10" s="409">
        <v>1045.9749999999999</v>
      </c>
      <c r="BD10" s="409">
        <v>-1045.9749999999999</v>
      </c>
      <c r="BE10" s="409">
        <v>1045.9749999999999</v>
      </c>
      <c r="BF10" s="409">
        <v>0</v>
      </c>
      <c r="BG10" s="409">
        <v>1045.9749999999999</v>
      </c>
      <c r="BH10" s="409">
        <v>-1045.9749999999999</v>
      </c>
      <c r="BI10" s="409">
        <v>591.25980000000004</v>
      </c>
      <c r="BJ10" s="409">
        <v>0</v>
      </c>
      <c r="BK10" s="409">
        <v>591.25980000000004</v>
      </c>
      <c r="BL10" s="409">
        <v>-591.25980000000004</v>
      </c>
      <c r="BM10" s="550" t="s">
        <v>36</v>
      </c>
      <c r="BN10" s="550" t="s">
        <v>280</v>
      </c>
      <c r="BO10" s="550" t="s">
        <v>36</v>
      </c>
      <c r="BP10" s="550" t="s">
        <v>281</v>
      </c>
    </row>
    <row r="11" spans="1:68" s="378" customFormat="1" ht="14.25" customHeight="1" x14ac:dyDescent="0.2">
      <c r="A11" s="363" t="s">
        <v>5</v>
      </c>
      <c r="B11" s="364"/>
      <c r="C11" s="364"/>
      <c r="D11" s="364"/>
      <c r="E11" s="365"/>
      <c r="F11" s="366"/>
      <c r="G11" s="367"/>
      <c r="H11" s="367"/>
      <c r="I11" s="367"/>
      <c r="J11" s="368"/>
      <c r="K11" s="369"/>
      <c r="L11" s="369"/>
      <c r="M11" s="369"/>
      <c r="N11" s="370"/>
      <c r="O11" s="371"/>
      <c r="P11" s="372"/>
      <c r="Q11" s="373"/>
      <c r="R11" s="372"/>
      <c r="S11" s="370"/>
      <c r="T11" s="372"/>
      <c r="U11" s="372"/>
      <c r="V11" s="372"/>
      <c r="W11" s="370"/>
      <c r="X11" s="370"/>
      <c r="Y11" s="374"/>
      <c r="Z11" s="375">
        <f t="shared" ref="Z11:AG11" si="0">SUM(Z7:Z10)</f>
        <v>66670.03</v>
      </c>
      <c r="AA11" s="376">
        <f t="shared" si="0"/>
        <v>53897.32</v>
      </c>
      <c r="AB11" s="376">
        <f t="shared" si="0"/>
        <v>12772.710000000001</v>
      </c>
      <c r="AC11" s="377">
        <f t="shared" si="0"/>
        <v>41124.61</v>
      </c>
      <c r="AD11" s="425">
        <f>SUM(AD7:AD10)+0.01</f>
        <v>75151.074899999992</v>
      </c>
      <c r="AE11" s="426">
        <f t="shared" si="0"/>
        <v>59599.9084</v>
      </c>
      <c r="AF11" s="426">
        <f t="shared" si="0"/>
        <v>15551.156500000001</v>
      </c>
      <c r="AG11" s="429">
        <f t="shared" si="0"/>
        <v>44048.751899999996</v>
      </c>
      <c r="AH11" s="425">
        <f>AI11+AJ11</f>
        <v>90653.918999999994</v>
      </c>
      <c r="AI11" s="426">
        <f>SUM(AI7:AI10)</f>
        <v>76318.6155</v>
      </c>
      <c r="AJ11" s="426">
        <f>SUM(AJ7:AJ10)</f>
        <v>14335.3035</v>
      </c>
      <c r="AK11" s="429">
        <f>AI11-AJ11</f>
        <v>61983.311999999998</v>
      </c>
      <c r="AL11" s="589">
        <f>SUM(AL7:AL10)</f>
        <v>91718.185399999988</v>
      </c>
      <c r="AM11" s="590">
        <f>SUM(AM7:AM10)</f>
        <v>80239.633100000006</v>
      </c>
      <c r="AN11" s="591">
        <f>(AM11-AR11)*100/AR11</f>
        <v>16.751715116946333</v>
      </c>
      <c r="AO11" s="590">
        <f>SUM(AO7:AO10)</f>
        <v>11478.552299999999</v>
      </c>
      <c r="AP11" s="591">
        <f>(AO11-AS11)*100/AS11</f>
        <v>-14.126279063551063</v>
      </c>
      <c r="AQ11" s="592">
        <f>SUM(AQ7:AQ10)</f>
        <v>68761.080800000025</v>
      </c>
      <c r="AR11" s="504">
        <f>SUM(AR7:AR10)</f>
        <v>68726.727499999994</v>
      </c>
      <c r="AS11" s="376">
        <f>SUM(AS7:AS10)</f>
        <v>13366.7811</v>
      </c>
      <c r="AU11"/>
      <c r="AV11" s="618"/>
      <c r="AW11" s="551" t="s">
        <v>145</v>
      </c>
      <c r="AX11" s="551" t="s">
        <v>146</v>
      </c>
      <c r="AY11" s="551" t="s">
        <v>147</v>
      </c>
      <c r="AZ11" s="551" t="s">
        <v>148</v>
      </c>
      <c r="BA11" s="551" t="s">
        <v>149</v>
      </c>
      <c r="BB11" s="551" t="s">
        <v>150</v>
      </c>
      <c r="BC11" s="551" t="s">
        <v>151</v>
      </c>
      <c r="BD11" s="551" t="s">
        <v>152</v>
      </c>
      <c r="BE11" s="551" t="s">
        <v>149</v>
      </c>
      <c r="BF11" s="551" t="s">
        <v>150</v>
      </c>
      <c r="BG11" s="551" t="s">
        <v>151</v>
      </c>
      <c r="BH11" s="551" t="s">
        <v>152</v>
      </c>
      <c r="BI11" s="551" t="s">
        <v>282</v>
      </c>
      <c r="BJ11" s="551" t="s">
        <v>283</v>
      </c>
      <c r="BK11" s="551" t="s">
        <v>284</v>
      </c>
      <c r="BL11" s="551" t="s">
        <v>285</v>
      </c>
      <c r="BM11" s="618" t="s">
        <v>252</v>
      </c>
      <c r="BN11" s="618" t="s">
        <v>253</v>
      </c>
      <c r="BO11" s="618" t="s">
        <v>254</v>
      </c>
      <c r="BP11" s="618" t="s">
        <v>255</v>
      </c>
    </row>
    <row r="12" spans="1:68" s="378" customFormat="1" ht="14.25" customHeight="1" x14ac:dyDescent="0.2">
      <c r="A12" s="726" t="s">
        <v>89</v>
      </c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8"/>
      <c r="AR12" s="141"/>
      <c r="AS12" s="141"/>
      <c r="AU12" s="724" t="s">
        <v>153</v>
      </c>
      <c r="AV12" s="724"/>
      <c r="AW12" s="724"/>
      <c r="AX12" s="724"/>
      <c r="AY12" s="724"/>
      <c r="AZ12" s="724"/>
      <c r="BA12" s="724"/>
      <c r="BB12" s="724"/>
      <c r="BC12" s="724"/>
      <c r="BD12" s="724"/>
      <c r="BE12" s="724"/>
      <c r="BF12" s="724"/>
      <c r="BG12" s="724"/>
      <c r="BH12" s="724"/>
      <c r="BI12" s="724"/>
      <c r="BJ12" s="724"/>
      <c r="BK12" s="724"/>
      <c r="BL12" s="724"/>
      <c r="BM12" s="724"/>
      <c r="BN12" s="724"/>
      <c r="BO12" s="724"/>
      <c r="BP12" s="724"/>
    </row>
    <row r="13" spans="1:68" ht="19.5" customHeight="1" x14ac:dyDescent="0.5">
      <c r="A13" s="233" t="s">
        <v>82</v>
      </c>
      <c r="B13" s="239">
        <v>6898.37</v>
      </c>
      <c r="C13" s="239">
        <v>6623.99</v>
      </c>
      <c r="D13" s="239">
        <v>5896.74</v>
      </c>
      <c r="E13" s="240">
        <v>5956.52</v>
      </c>
      <c r="F13" s="241">
        <v>9311.33</v>
      </c>
      <c r="G13" s="242">
        <v>11260.67</v>
      </c>
      <c r="H13" s="242">
        <v>11777.17</v>
      </c>
      <c r="I13" s="242">
        <v>16455.04</v>
      </c>
      <c r="J13" s="243">
        <v>17974.23</v>
      </c>
      <c r="K13" s="234">
        <v>18917.54</v>
      </c>
      <c r="L13" s="234">
        <v>21761.61</v>
      </c>
      <c r="M13" s="234">
        <v>24454.134999999998</v>
      </c>
      <c r="N13" s="235">
        <f>SUM(O13+P13)</f>
        <v>26825.81</v>
      </c>
      <c r="O13" s="236">
        <v>25431.83</v>
      </c>
      <c r="P13" s="244">
        <v>1393.98</v>
      </c>
      <c r="Q13" s="269">
        <f>SUM(O13-P13)</f>
        <v>24037.850000000002</v>
      </c>
      <c r="R13" s="244">
        <f>SUM(S13+T13)</f>
        <v>29636.49</v>
      </c>
      <c r="S13" s="245">
        <v>27555.18</v>
      </c>
      <c r="T13" s="237">
        <v>2081.31</v>
      </c>
      <c r="U13" s="237">
        <f>SUM(S13-T13)</f>
        <v>25473.87</v>
      </c>
      <c r="V13" s="237">
        <f>SUM(W13+X13)</f>
        <v>31816.99</v>
      </c>
      <c r="W13" s="245">
        <v>29073.24</v>
      </c>
      <c r="X13" s="245">
        <v>2743.75</v>
      </c>
      <c r="Y13" s="282">
        <f>SUM(W13-X13)</f>
        <v>26329.49</v>
      </c>
      <c r="Z13" s="284">
        <f>SUM(AA13+AB13)</f>
        <v>33714.21</v>
      </c>
      <c r="AA13" s="246">
        <v>29739.18</v>
      </c>
      <c r="AB13" s="245">
        <v>3975.03</v>
      </c>
      <c r="AC13" s="238">
        <f>SUM(AA13-AB13)</f>
        <v>25764.15</v>
      </c>
      <c r="AD13" s="424">
        <f>SUM(AE13+AF13)</f>
        <v>33440.931599999996</v>
      </c>
      <c r="AE13" s="428">
        <v>29175.502499999999</v>
      </c>
      <c r="AF13" s="428">
        <v>4265.4291000000003</v>
      </c>
      <c r="AG13" s="285">
        <f>SUM(AE13-AF13)</f>
        <v>24910.073399999997</v>
      </c>
      <c r="AH13" s="430">
        <f>AI13+AJ13</f>
        <v>32416.6469</v>
      </c>
      <c r="AI13" s="507">
        <v>31309.636999999999</v>
      </c>
      <c r="AJ13" s="507">
        <v>1107.0099</v>
      </c>
      <c r="AK13" s="497">
        <f>AI13-AJ13</f>
        <v>30202.627099999998</v>
      </c>
      <c r="AL13" s="583">
        <f>SUM(AM13+AO13)</f>
        <v>28091.955600000001</v>
      </c>
      <c r="AM13" s="501">
        <v>28010.160500000002</v>
      </c>
      <c r="AN13" s="584">
        <f>+(AM13-AR13)/AR13*100</f>
        <v>-2.7854552783882469</v>
      </c>
      <c r="AO13" s="501">
        <v>81.795100000000005</v>
      </c>
      <c r="AP13" s="584">
        <f>+(AO13-AS13)/AS13*100</f>
        <v>-92.464695952995299</v>
      </c>
      <c r="AQ13" s="585">
        <f>SUM(AM13-AO13)</f>
        <v>27928.365400000002</v>
      </c>
      <c r="AR13" s="409">
        <v>28812.7261</v>
      </c>
      <c r="AS13" s="409">
        <v>1085.4917</v>
      </c>
      <c r="AU13"/>
      <c r="AV13" s="549" t="s">
        <v>154</v>
      </c>
      <c r="AW13" s="409">
        <v>33440.931700000001</v>
      </c>
      <c r="AX13" s="409">
        <v>29175.502499999999</v>
      </c>
      <c r="AY13" s="409">
        <v>4265.4291000000003</v>
      </c>
      <c r="AZ13" s="409">
        <v>24910.0733</v>
      </c>
      <c r="BA13" s="409">
        <v>32416.6469</v>
      </c>
      <c r="BB13" s="409">
        <v>31309.636999999999</v>
      </c>
      <c r="BC13" s="409">
        <v>1107.0099</v>
      </c>
      <c r="BD13" s="409">
        <v>30202.627</v>
      </c>
      <c r="BE13" s="409">
        <v>32416.6469</v>
      </c>
      <c r="BF13" s="409">
        <v>31309.636999999999</v>
      </c>
      <c r="BG13" s="409">
        <v>1107.0099</v>
      </c>
      <c r="BH13" s="409">
        <v>30202.627</v>
      </c>
      <c r="BI13" s="409">
        <v>30656.488799999999</v>
      </c>
      <c r="BJ13" s="409">
        <v>30573.046200000001</v>
      </c>
      <c r="BK13" s="409">
        <v>83.442499999999995</v>
      </c>
      <c r="BL13" s="409">
        <v>30489.6037</v>
      </c>
      <c r="BM13" s="550" t="s">
        <v>256</v>
      </c>
      <c r="BN13" s="550" t="s">
        <v>237</v>
      </c>
      <c r="BO13" s="550" t="s">
        <v>258</v>
      </c>
      <c r="BP13" s="550" t="s">
        <v>286</v>
      </c>
    </row>
    <row r="14" spans="1:68" s="204" customFormat="1" ht="13.5" customHeight="1" x14ac:dyDescent="0.2">
      <c r="A14" s="352" t="s">
        <v>85</v>
      </c>
      <c r="B14" s="247">
        <v>6898.37</v>
      </c>
      <c r="C14" s="247">
        <v>6623.99</v>
      </c>
      <c r="D14" s="247">
        <v>5896.74</v>
      </c>
      <c r="E14" s="248">
        <v>5956.52</v>
      </c>
      <c r="F14" s="249">
        <v>9311.33</v>
      </c>
      <c r="G14" s="250">
        <v>11260.67</v>
      </c>
      <c r="H14" s="250">
        <v>11777.17</v>
      </c>
      <c r="I14" s="250">
        <v>16455.04</v>
      </c>
      <c r="J14" s="251">
        <v>17974.23</v>
      </c>
      <c r="K14" s="252">
        <v>18917.54</v>
      </c>
      <c r="L14" s="252">
        <v>21761.61</v>
      </c>
      <c r="M14" s="252">
        <v>24454.134999999998</v>
      </c>
      <c r="N14" s="253">
        <f>SUM(O14+P14)</f>
        <v>26825.81</v>
      </c>
      <c r="O14" s="254">
        <v>25431.83</v>
      </c>
      <c r="P14" s="255">
        <v>1393.98</v>
      </c>
      <c r="Q14" s="256">
        <f>SUM(O14-P14)</f>
        <v>24037.850000000002</v>
      </c>
      <c r="R14" s="255">
        <f>SUM(S14+T14)</f>
        <v>29636.49</v>
      </c>
      <c r="S14" s="358">
        <v>27555.18</v>
      </c>
      <c r="T14" s="257">
        <v>2081.31</v>
      </c>
      <c r="U14" s="257">
        <f>SUM(S14-T14)</f>
        <v>25473.87</v>
      </c>
      <c r="V14" s="257">
        <f>SUM(W14+X14)</f>
        <v>31816.99</v>
      </c>
      <c r="W14" s="358">
        <v>29073.24</v>
      </c>
      <c r="X14" s="358">
        <v>2743.75</v>
      </c>
      <c r="Y14" s="360">
        <f>SUM(W14-X14)</f>
        <v>26329.49</v>
      </c>
      <c r="Z14" s="735">
        <f>SUM(AA14+AB14)</f>
        <v>0</v>
      </c>
      <c r="AA14" s="737">
        <v>0</v>
      </c>
      <c r="AB14" s="737">
        <v>0</v>
      </c>
      <c r="AC14" s="739">
        <f>SUM(AA14-AB14)</f>
        <v>0</v>
      </c>
      <c r="AD14" s="745">
        <f>SUM(AE14+AF14)</f>
        <v>0</v>
      </c>
      <c r="AE14" s="756">
        <v>0</v>
      </c>
      <c r="AF14" s="756">
        <v>0</v>
      </c>
      <c r="AG14" s="741">
        <f>SUM(AE14-AF14)</f>
        <v>0</v>
      </c>
      <c r="AH14" s="750">
        <f>AI14+AJ14</f>
        <v>3100.0666999999999</v>
      </c>
      <c r="AI14" s="748">
        <v>0</v>
      </c>
      <c r="AJ14" s="748">
        <v>3100.0666999999999</v>
      </c>
      <c r="AK14" s="749">
        <f>AI14-AJ14</f>
        <v>-3100.0666999999999</v>
      </c>
      <c r="AL14" s="742">
        <f>SUM(AM14+AO14)</f>
        <v>3601.3863999999999</v>
      </c>
      <c r="AM14" s="743">
        <v>0</v>
      </c>
      <c r="AN14" s="744" t="s">
        <v>36</v>
      </c>
      <c r="AO14" s="743">
        <v>3601.3863999999999</v>
      </c>
      <c r="AP14" s="744">
        <f>(AO14-AS14)*100/AS14</f>
        <v>30.843568536925833</v>
      </c>
      <c r="AQ14" s="757">
        <f>SUM(AM14-AO14)</f>
        <v>-3601.3863999999999</v>
      </c>
      <c r="AR14" s="754">
        <v>0</v>
      </c>
      <c r="AS14" s="746">
        <v>2752.4367000000002</v>
      </c>
      <c r="AU14"/>
      <c r="AV14" s="549" t="s">
        <v>155</v>
      </c>
      <c r="AW14" s="409"/>
      <c r="AX14" s="409"/>
      <c r="AY14" s="409"/>
      <c r="AZ14" s="409"/>
      <c r="BA14" s="409">
        <v>3100.0666999999999</v>
      </c>
      <c r="BB14" s="409">
        <v>0</v>
      </c>
      <c r="BC14" s="409">
        <v>3100.0666999999999</v>
      </c>
      <c r="BD14" s="409">
        <v>-3100.0666999999999</v>
      </c>
      <c r="BE14" s="409">
        <v>3100.0666999999999</v>
      </c>
      <c r="BF14" s="409">
        <v>0</v>
      </c>
      <c r="BG14" s="409">
        <v>3100.0666999999999</v>
      </c>
      <c r="BH14" s="409">
        <v>-3100.0666999999999</v>
      </c>
      <c r="BI14" s="409">
        <v>3926.3357000000001</v>
      </c>
      <c r="BJ14" s="409">
        <v>0</v>
      </c>
      <c r="BK14" s="409">
        <v>3926.3357000000001</v>
      </c>
      <c r="BL14" s="409">
        <v>-3926.3357000000001</v>
      </c>
      <c r="BM14" s="550" t="s">
        <v>36</v>
      </c>
      <c r="BN14" s="550" t="s">
        <v>287</v>
      </c>
      <c r="BO14" s="550" t="s">
        <v>36</v>
      </c>
      <c r="BP14" s="550" t="s">
        <v>288</v>
      </c>
    </row>
    <row r="15" spans="1:68" s="204" customFormat="1" ht="14.25" customHeight="1" x14ac:dyDescent="0.2">
      <c r="A15" s="353" t="s">
        <v>86</v>
      </c>
      <c r="B15" s="258"/>
      <c r="C15" s="258"/>
      <c r="D15" s="258"/>
      <c r="E15" s="259"/>
      <c r="F15" s="260"/>
      <c r="G15" s="261"/>
      <c r="H15" s="261"/>
      <c r="I15" s="261"/>
      <c r="J15" s="262"/>
      <c r="K15" s="263"/>
      <c r="L15" s="263"/>
      <c r="M15" s="263"/>
      <c r="N15" s="264"/>
      <c r="O15" s="265"/>
      <c r="P15" s="266"/>
      <c r="Q15" s="267"/>
      <c r="R15" s="266"/>
      <c r="S15" s="359"/>
      <c r="T15" s="268"/>
      <c r="U15" s="268"/>
      <c r="V15" s="268"/>
      <c r="W15" s="359"/>
      <c r="X15" s="359"/>
      <c r="Y15" s="361"/>
      <c r="Z15" s="736"/>
      <c r="AA15" s="738"/>
      <c r="AB15" s="738"/>
      <c r="AC15" s="740"/>
      <c r="AD15" s="745"/>
      <c r="AE15" s="756"/>
      <c r="AF15" s="756"/>
      <c r="AG15" s="741"/>
      <c r="AH15" s="750"/>
      <c r="AI15" s="748"/>
      <c r="AJ15" s="748"/>
      <c r="AK15" s="749"/>
      <c r="AL15" s="742"/>
      <c r="AM15" s="743"/>
      <c r="AN15" s="744"/>
      <c r="AO15" s="743"/>
      <c r="AP15" s="744"/>
      <c r="AQ15" s="757"/>
      <c r="AR15" s="755"/>
      <c r="AS15" s="747"/>
      <c r="AU15"/>
      <c r="AV15" s="549" t="s">
        <v>289</v>
      </c>
      <c r="AW15" s="409">
        <v>0.47</v>
      </c>
      <c r="AX15" s="409">
        <v>0</v>
      </c>
      <c r="AY15" s="409">
        <v>0.47</v>
      </c>
      <c r="AZ15" s="409">
        <v>-0.47</v>
      </c>
      <c r="BA15" s="409">
        <v>617.4153</v>
      </c>
      <c r="BB15" s="409">
        <v>0</v>
      </c>
      <c r="BC15" s="409">
        <v>617.4153</v>
      </c>
      <c r="BD15" s="409">
        <v>-617.4153</v>
      </c>
      <c r="BE15" s="409">
        <v>617.4153</v>
      </c>
      <c r="BF15" s="409">
        <v>0</v>
      </c>
      <c r="BG15" s="409">
        <v>617.4153</v>
      </c>
      <c r="BH15" s="409">
        <v>-617.4153</v>
      </c>
      <c r="BI15" s="409">
        <v>453.67380000000003</v>
      </c>
      <c r="BJ15" s="409">
        <v>0</v>
      </c>
      <c r="BK15" s="409">
        <v>453.67380000000003</v>
      </c>
      <c r="BL15" s="409">
        <v>-453.67380000000003</v>
      </c>
      <c r="BM15" s="550" t="s">
        <v>36</v>
      </c>
      <c r="BN15" s="550" t="s">
        <v>290</v>
      </c>
      <c r="BO15" s="550" t="s">
        <v>36</v>
      </c>
      <c r="BP15" s="550" t="s">
        <v>291</v>
      </c>
    </row>
    <row r="16" spans="1:68" ht="19.5" customHeight="1" x14ac:dyDescent="0.5">
      <c r="A16" s="233" t="s">
        <v>83</v>
      </c>
      <c r="B16" s="239">
        <v>6898.37</v>
      </c>
      <c r="C16" s="239">
        <v>6623.99</v>
      </c>
      <c r="D16" s="239">
        <v>5896.74</v>
      </c>
      <c r="E16" s="240">
        <v>5956.52</v>
      </c>
      <c r="F16" s="241">
        <v>9311.33</v>
      </c>
      <c r="G16" s="242">
        <v>11260.67</v>
      </c>
      <c r="H16" s="242">
        <v>11777.17</v>
      </c>
      <c r="I16" s="242">
        <v>16455.04</v>
      </c>
      <c r="J16" s="243">
        <v>17974.23</v>
      </c>
      <c r="K16" s="234">
        <v>18917.54</v>
      </c>
      <c r="L16" s="234">
        <v>21761.61</v>
      </c>
      <c r="M16" s="234">
        <v>24454.134999999998</v>
      </c>
      <c r="N16" s="235">
        <f>SUM(O16+P16)</f>
        <v>26825.81</v>
      </c>
      <c r="O16" s="236">
        <v>25431.83</v>
      </c>
      <c r="P16" s="244">
        <v>1393.98</v>
      </c>
      <c r="Q16" s="269">
        <f>SUM(O16-P16)</f>
        <v>24037.850000000002</v>
      </c>
      <c r="R16" s="244">
        <f>SUM(S16+T16)</f>
        <v>29636.49</v>
      </c>
      <c r="S16" s="245">
        <v>27555.18</v>
      </c>
      <c r="T16" s="237">
        <v>2081.31</v>
      </c>
      <c r="U16" s="237">
        <f>SUM(S16-T16)</f>
        <v>25473.87</v>
      </c>
      <c r="V16" s="237">
        <f>SUM(W16+X16)</f>
        <v>31816.99</v>
      </c>
      <c r="W16" s="245">
        <v>29073.24</v>
      </c>
      <c r="X16" s="245">
        <v>2743.75</v>
      </c>
      <c r="Y16" s="282">
        <f>SUM(W16-X16)</f>
        <v>26329.49</v>
      </c>
      <c r="Z16" s="284">
        <f>SUM(AA16+AB16)</f>
        <v>0.15</v>
      </c>
      <c r="AA16" s="245">
        <v>0</v>
      </c>
      <c r="AB16" s="245">
        <v>0.15</v>
      </c>
      <c r="AC16" s="238">
        <f>SUM(AA16-AB16)</f>
        <v>-0.15</v>
      </c>
      <c r="AD16" s="424">
        <f>SUM(AE16+AF16)</f>
        <v>0.47</v>
      </c>
      <c r="AE16" s="428">
        <v>0</v>
      </c>
      <c r="AF16" s="428">
        <v>0.47</v>
      </c>
      <c r="AG16" s="285">
        <f>SUM(AE16-AF16)</f>
        <v>-0.47</v>
      </c>
      <c r="AH16" s="430">
        <f>AI16+AJ16</f>
        <v>617.4153</v>
      </c>
      <c r="AI16" s="496">
        <v>0</v>
      </c>
      <c r="AJ16" s="507">
        <v>617.4153</v>
      </c>
      <c r="AK16" s="497">
        <f>AI16-AJ16</f>
        <v>-617.4153</v>
      </c>
      <c r="AL16" s="586">
        <f>SUM(AM16+AO16)</f>
        <v>427.03870000000001</v>
      </c>
      <c r="AM16" s="594">
        <v>0</v>
      </c>
      <c r="AN16" s="584" t="s">
        <v>36</v>
      </c>
      <c r="AO16" s="501">
        <v>427.03870000000001</v>
      </c>
      <c r="AP16" s="584">
        <f>+(AO16-AS16)/AS16*100</f>
        <v>-25.653411598513966</v>
      </c>
      <c r="AQ16" s="588">
        <f>SUM(AM16-AO16)</f>
        <v>-427.03870000000001</v>
      </c>
      <c r="AR16" s="508">
        <v>0</v>
      </c>
      <c r="AS16" s="409">
        <v>574.38909999999998</v>
      </c>
      <c r="AU16"/>
      <c r="AV16" s="549" t="s">
        <v>156</v>
      </c>
      <c r="AW16" s="409"/>
      <c r="AX16" s="409"/>
      <c r="AY16" s="409"/>
      <c r="AZ16" s="409"/>
      <c r="BA16" s="409">
        <v>94.635099999999994</v>
      </c>
      <c r="BB16" s="409">
        <v>0</v>
      </c>
      <c r="BC16" s="409">
        <v>94.635099999999994</v>
      </c>
      <c r="BD16" s="409">
        <v>-94.635099999999994</v>
      </c>
      <c r="BE16" s="409">
        <v>94.635099999999994</v>
      </c>
      <c r="BF16" s="409">
        <v>0</v>
      </c>
      <c r="BG16" s="409">
        <v>94.635099999999994</v>
      </c>
      <c r="BH16" s="409">
        <v>-94.635099999999994</v>
      </c>
      <c r="BI16" s="409">
        <v>93.470200000000006</v>
      </c>
      <c r="BJ16" s="409">
        <v>0</v>
      </c>
      <c r="BK16" s="409">
        <v>93.470200000000006</v>
      </c>
      <c r="BL16" s="409">
        <v>-93.470200000000006</v>
      </c>
      <c r="BM16" s="550" t="s">
        <v>36</v>
      </c>
      <c r="BN16" s="550" t="s">
        <v>292</v>
      </c>
      <c r="BO16" s="550" t="s">
        <v>36</v>
      </c>
      <c r="BP16" s="550" t="s">
        <v>211</v>
      </c>
    </row>
    <row r="17" spans="1:68" ht="19.5" customHeight="1" x14ac:dyDescent="0.5">
      <c r="A17" s="233" t="s">
        <v>115</v>
      </c>
      <c r="B17" s="239">
        <v>6898.37</v>
      </c>
      <c r="C17" s="239">
        <v>6623.99</v>
      </c>
      <c r="D17" s="239">
        <v>5896.74</v>
      </c>
      <c r="E17" s="240">
        <v>5956.52</v>
      </c>
      <c r="F17" s="241">
        <v>9311.33</v>
      </c>
      <c r="G17" s="242">
        <v>11260.67</v>
      </c>
      <c r="H17" s="242">
        <v>11777.17</v>
      </c>
      <c r="I17" s="242">
        <v>16455.04</v>
      </c>
      <c r="J17" s="243">
        <v>17974.23</v>
      </c>
      <c r="K17" s="234">
        <v>18917.54</v>
      </c>
      <c r="L17" s="234">
        <v>21761.61</v>
      </c>
      <c r="M17" s="234">
        <v>24454.134999999998</v>
      </c>
      <c r="N17" s="235">
        <f>SUM(O17+P17)</f>
        <v>26825.81</v>
      </c>
      <c r="O17" s="236">
        <v>25431.83</v>
      </c>
      <c r="P17" s="244">
        <v>1393.98</v>
      </c>
      <c r="Q17" s="269">
        <f>SUM(O17-P17)</f>
        <v>24037.850000000002</v>
      </c>
      <c r="R17" s="244">
        <f>SUM(S17+T17)</f>
        <v>29636.49</v>
      </c>
      <c r="S17" s="245">
        <v>27555.18</v>
      </c>
      <c r="T17" s="237">
        <v>2081.31</v>
      </c>
      <c r="U17" s="237">
        <f>SUM(S17-T17)</f>
        <v>25473.87</v>
      </c>
      <c r="V17" s="237">
        <f>SUM(W17+X17)</f>
        <v>31816.99</v>
      </c>
      <c r="W17" s="245">
        <v>29073.24</v>
      </c>
      <c r="X17" s="245">
        <v>2743.75</v>
      </c>
      <c r="Y17" s="282">
        <f>SUM(W17-X17)</f>
        <v>26329.49</v>
      </c>
      <c r="Z17" s="284">
        <f>SUM(AA17+AB17)</f>
        <v>0</v>
      </c>
      <c r="AA17" s="245">
        <v>0</v>
      </c>
      <c r="AB17" s="245">
        <v>0</v>
      </c>
      <c r="AC17" s="238">
        <f>SUM(AA17-AB17)</f>
        <v>0</v>
      </c>
      <c r="AD17" s="424">
        <f>SUM(AE17+AF17)</f>
        <v>0</v>
      </c>
      <c r="AE17" s="245">
        <v>0</v>
      </c>
      <c r="AF17" s="245">
        <v>0</v>
      </c>
      <c r="AG17" s="285">
        <f>SUM(AE17-AF17)</f>
        <v>0</v>
      </c>
      <c r="AH17" s="430">
        <f>AI17+AJ17</f>
        <v>94.635099999999994</v>
      </c>
      <c r="AI17" s="496">
        <v>0</v>
      </c>
      <c r="AJ17" s="507">
        <v>94.635099999999994</v>
      </c>
      <c r="AK17" s="497">
        <f>AI17-AJ17</f>
        <v>-94.635099999999994</v>
      </c>
      <c r="AL17" s="586">
        <f>SUM(AM17+AO17)</f>
        <v>86.302199999999999</v>
      </c>
      <c r="AM17" s="594">
        <v>0</v>
      </c>
      <c r="AN17" s="584" t="s">
        <v>36</v>
      </c>
      <c r="AO17" s="501">
        <v>86.302199999999999</v>
      </c>
      <c r="AP17" s="584">
        <f>+(AO17-AS17)/AS17*100</f>
        <v>-8.7093116244039308</v>
      </c>
      <c r="AQ17" s="588">
        <f>SUM(AM17-AO17)</f>
        <v>-86.302199999999999</v>
      </c>
      <c r="AR17" s="509">
        <v>0</v>
      </c>
      <c r="AS17" s="409">
        <v>94.535600000000002</v>
      </c>
      <c r="AU17"/>
      <c r="AV17" s="549" t="s">
        <v>157</v>
      </c>
      <c r="AW17" s="409"/>
      <c r="AX17" s="409"/>
      <c r="AY17" s="409"/>
      <c r="AZ17" s="409"/>
      <c r="BA17" s="409">
        <v>1.5530999999999999</v>
      </c>
      <c r="BB17" s="409">
        <v>0</v>
      </c>
      <c r="BC17" s="409">
        <v>1.5530999999999999</v>
      </c>
      <c r="BD17" s="409">
        <v>-1.5530999999999999</v>
      </c>
      <c r="BE17" s="409">
        <v>1.5530999999999999</v>
      </c>
      <c r="BF17" s="409">
        <v>0</v>
      </c>
      <c r="BG17" s="409">
        <v>1.5530999999999999</v>
      </c>
      <c r="BH17" s="409">
        <v>-1.5530999999999999</v>
      </c>
      <c r="BI17" s="409">
        <v>2.5499999999999998</v>
      </c>
      <c r="BJ17" s="409">
        <v>0</v>
      </c>
      <c r="BK17" s="409">
        <v>2.5499999999999998</v>
      </c>
      <c r="BL17" s="409">
        <v>-2.5499999999999998</v>
      </c>
      <c r="BM17" s="550" t="s">
        <v>36</v>
      </c>
      <c r="BN17" s="550" t="s">
        <v>238</v>
      </c>
      <c r="BO17" s="550" t="s">
        <v>36</v>
      </c>
      <c r="BP17" s="550" t="s">
        <v>129</v>
      </c>
    </row>
    <row r="18" spans="1:68" ht="19.5" customHeight="1" x14ac:dyDescent="0.5">
      <c r="A18" s="233" t="s">
        <v>116</v>
      </c>
      <c r="B18" s="239">
        <v>6898.37</v>
      </c>
      <c r="C18" s="239">
        <v>6623.99</v>
      </c>
      <c r="D18" s="239">
        <v>5896.74</v>
      </c>
      <c r="E18" s="240">
        <v>5957.52</v>
      </c>
      <c r="F18" s="241">
        <v>9311.33</v>
      </c>
      <c r="G18" s="242">
        <v>11260.67</v>
      </c>
      <c r="H18" s="242">
        <v>11777.17</v>
      </c>
      <c r="I18" s="242">
        <v>16455.04</v>
      </c>
      <c r="J18" s="243">
        <v>17974.23</v>
      </c>
      <c r="K18" s="234">
        <v>18917.54</v>
      </c>
      <c r="L18" s="234">
        <v>21761.61</v>
      </c>
      <c r="M18" s="234">
        <v>24454.134999999998</v>
      </c>
      <c r="N18" s="235">
        <f>SUM(O18+P18)</f>
        <v>26825.81</v>
      </c>
      <c r="O18" s="236">
        <v>25431.83</v>
      </c>
      <c r="P18" s="244">
        <v>1393.98</v>
      </c>
      <c r="Q18" s="269">
        <f>SUM(O18-P18)</f>
        <v>24037.850000000002</v>
      </c>
      <c r="R18" s="244">
        <f>SUM(S18+T18)</f>
        <v>29636.49</v>
      </c>
      <c r="S18" s="245">
        <v>27555.18</v>
      </c>
      <c r="T18" s="237">
        <v>2081.31</v>
      </c>
      <c r="U18" s="237">
        <f>SUM(S18-T18)</f>
        <v>25473.87</v>
      </c>
      <c r="V18" s="237">
        <f>SUM(W18+X18)</f>
        <v>31816.99</v>
      </c>
      <c r="W18" s="245">
        <v>29073.24</v>
      </c>
      <c r="X18" s="245">
        <v>2743.75</v>
      </c>
      <c r="Y18" s="282">
        <f>SUM(W18-X18)</f>
        <v>26329.49</v>
      </c>
      <c r="Z18" s="284">
        <f>SUM(AA18+AB18)</f>
        <v>0</v>
      </c>
      <c r="AA18" s="245">
        <v>0</v>
      </c>
      <c r="AB18" s="245">
        <v>0</v>
      </c>
      <c r="AC18" s="238">
        <f>SUM(AA18-AB18)</f>
        <v>0</v>
      </c>
      <c r="AD18" s="424">
        <f>SUM(AE18+AF18)</f>
        <v>0</v>
      </c>
      <c r="AE18" s="245">
        <v>0</v>
      </c>
      <c r="AF18" s="245">
        <v>0</v>
      </c>
      <c r="AG18" s="285">
        <f>SUM(AE18-AF18)</f>
        <v>0</v>
      </c>
      <c r="AH18" s="430">
        <f>AI18+AJ18</f>
        <v>1.5530999999999999</v>
      </c>
      <c r="AI18" s="496">
        <v>0</v>
      </c>
      <c r="AJ18" s="507">
        <v>1.5530999999999999</v>
      </c>
      <c r="AK18" s="497">
        <f>AI18-AJ18</f>
        <v>-1.5530999999999999</v>
      </c>
      <c r="AL18" s="586">
        <f>SUM(AM18+AO18)</f>
        <v>2.5499999999999998</v>
      </c>
      <c r="AM18" s="594">
        <v>0</v>
      </c>
      <c r="AN18" s="584" t="s">
        <v>36</v>
      </c>
      <c r="AO18" s="501">
        <v>2.5499999999999998</v>
      </c>
      <c r="AP18" s="593">
        <f>+(AO18-AS18)/AS18*100</f>
        <v>64.187753525207654</v>
      </c>
      <c r="AQ18" s="588">
        <f>SUM(AM18-AO18)</f>
        <v>-2.5499999999999998</v>
      </c>
      <c r="AR18" s="509">
        <v>0</v>
      </c>
      <c r="AS18" s="409">
        <v>1.5530999999999999</v>
      </c>
      <c r="AU18"/>
      <c r="AV18" s="549" t="s">
        <v>158</v>
      </c>
      <c r="AW18" s="409"/>
      <c r="AX18" s="409"/>
      <c r="AY18" s="409"/>
      <c r="AZ18" s="409"/>
      <c r="BA18" s="409">
        <v>0.105</v>
      </c>
      <c r="BB18" s="409">
        <v>0</v>
      </c>
      <c r="BC18" s="409">
        <v>0.105</v>
      </c>
      <c r="BD18" s="409">
        <v>-0.105</v>
      </c>
      <c r="BE18" s="409">
        <v>0.105</v>
      </c>
      <c r="BF18" s="409">
        <v>0</v>
      </c>
      <c r="BG18" s="409">
        <v>0.105</v>
      </c>
      <c r="BH18" s="409">
        <v>-0.105</v>
      </c>
      <c r="BI18" s="409"/>
      <c r="BJ18" s="409"/>
      <c r="BK18" s="409"/>
      <c r="BL18" s="409"/>
      <c r="BM18" s="550" t="s">
        <v>36</v>
      </c>
      <c r="BN18" s="550" t="s">
        <v>36</v>
      </c>
      <c r="BO18" s="550" t="s">
        <v>36</v>
      </c>
      <c r="BP18" s="550" t="s">
        <v>128</v>
      </c>
    </row>
    <row r="19" spans="1:68" ht="19.5" customHeight="1" x14ac:dyDescent="0.5">
      <c r="A19" s="233" t="s">
        <v>99</v>
      </c>
      <c r="B19" s="239">
        <v>6898.37</v>
      </c>
      <c r="C19" s="239">
        <v>6623.99</v>
      </c>
      <c r="D19" s="239">
        <v>5896.74</v>
      </c>
      <c r="E19" s="240">
        <v>5958.52</v>
      </c>
      <c r="F19" s="241">
        <v>9311.33</v>
      </c>
      <c r="G19" s="242">
        <v>11260.67</v>
      </c>
      <c r="H19" s="242">
        <v>11777.17</v>
      </c>
      <c r="I19" s="242">
        <v>16455.04</v>
      </c>
      <c r="J19" s="243">
        <v>17974.23</v>
      </c>
      <c r="K19" s="234">
        <v>18917.54</v>
      </c>
      <c r="L19" s="234">
        <v>21761.61</v>
      </c>
      <c r="M19" s="234">
        <v>24454.134999999998</v>
      </c>
      <c r="N19" s="235">
        <f>SUM(O19+P19)</f>
        <v>26825.81</v>
      </c>
      <c r="O19" s="236">
        <v>25431.83</v>
      </c>
      <c r="P19" s="244">
        <v>1393.98</v>
      </c>
      <c r="Q19" s="269">
        <f>SUM(O19-P19)</f>
        <v>24037.850000000002</v>
      </c>
      <c r="R19" s="244">
        <f>SUM(S19+T19)</f>
        <v>29636.49</v>
      </c>
      <c r="S19" s="245">
        <v>27555.18</v>
      </c>
      <c r="T19" s="237">
        <v>2081.31</v>
      </c>
      <c r="U19" s="237">
        <f>SUM(S19-T19)</f>
        <v>25473.87</v>
      </c>
      <c r="V19" s="237">
        <f>SUM(W19+X19)</f>
        <v>31816.99</v>
      </c>
      <c r="W19" s="245">
        <v>29073.24</v>
      </c>
      <c r="X19" s="245">
        <v>2743.75</v>
      </c>
      <c r="Y19" s="282">
        <f>SUM(W19-X19)</f>
        <v>26329.49</v>
      </c>
      <c r="Z19" s="284">
        <f>SUM(AA19+AB19)</f>
        <v>0</v>
      </c>
      <c r="AA19" s="245">
        <v>0</v>
      </c>
      <c r="AB19" s="245">
        <v>0</v>
      </c>
      <c r="AC19" s="238">
        <f>SUM(AA19-AB19)</f>
        <v>0</v>
      </c>
      <c r="AD19" s="424">
        <f>SUM(AE19+AF19)</f>
        <v>0</v>
      </c>
      <c r="AE19" s="245">
        <v>0</v>
      </c>
      <c r="AF19" s="245">
        <v>0</v>
      </c>
      <c r="AG19" s="285">
        <f>SUM(AE19-AF19)</f>
        <v>0</v>
      </c>
      <c r="AH19" s="430">
        <f>AI19+AJ19</f>
        <v>0.105</v>
      </c>
      <c r="AI19" s="496">
        <v>0</v>
      </c>
      <c r="AJ19" s="507">
        <v>0.105</v>
      </c>
      <c r="AK19" s="497">
        <f>AI19-AJ19</f>
        <v>-0.105</v>
      </c>
      <c r="AL19" s="586">
        <f>SUM(AM19+AO19)</f>
        <v>0</v>
      </c>
      <c r="AM19" s="594">
        <v>0</v>
      </c>
      <c r="AN19" s="584" t="s">
        <v>36</v>
      </c>
      <c r="AO19" s="594">
        <v>0</v>
      </c>
      <c r="AP19" s="584" t="s">
        <v>36</v>
      </c>
      <c r="AQ19" s="588">
        <f>SUM(AM19-AO19)</f>
        <v>0</v>
      </c>
      <c r="AR19" s="509">
        <v>0</v>
      </c>
      <c r="AS19" s="409">
        <v>5.5E-2</v>
      </c>
      <c r="AU19"/>
      <c r="AV19" s="618"/>
      <c r="AW19" s="551" t="s">
        <v>159</v>
      </c>
      <c r="AX19" s="551" t="s">
        <v>160</v>
      </c>
      <c r="AY19" s="551" t="s">
        <v>161</v>
      </c>
      <c r="AZ19" s="551" t="s">
        <v>162</v>
      </c>
      <c r="BA19" s="551" t="s">
        <v>163</v>
      </c>
      <c r="BB19" s="551" t="s">
        <v>164</v>
      </c>
      <c r="BC19" s="551" t="s">
        <v>165</v>
      </c>
      <c r="BD19" s="551" t="s">
        <v>166</v>
      </c>
      <c r="BE19" s="551" t="s">
        <v>163</v>
      </c>
      <c r="BF19" s="551" t="s">
        <v>164</v>
      </c>
      <c r="BG19" s="551" t="s">
        <v>165</v>
      </c>
      <c r="BH19" s="551" t="s">
        <v>166</v>
      </c>
      <c r="BI19" s="551" t="s">
        <v>293</v>
      </c>
      <c r="BJ19" s="551" t="s">
        <v>294</v>
      </c>
      <c r="BK19" s="551" t="s">
        <v>295</v>
      </c>
      <c r="BL19" s="551" t="s">
        <v>296</v>
      </c>
      <c r="BM19" s="618" t="s">
        <v>256</v>
      </c>
      <c r="BN19" s="618" t="s">
        <v>257</v>
      </c>
      <c r="BO19" s="618" t="s">
        <v>258</v>
      </c>
      <c r="BP19" s="618" t="s">
        <v>259</v>
      </c>
    </row>
    <row r="20" spans="1:68" s="204" customFormat="1" ht="14.25" customHeight="1" x14ac:dyDescent="0.2">
      <c r="A20" s="363" t="s">
        <v>5</v>
      </c>
      <c r="B20" s="364"/>
      <c r="C20" s="364"/>
      <c r="D20" s="364"/>
      <c r="E20" s="365"/>
      <c r="F20" s="366"/>
      <c r="G20" s="367"/>
      <c r="H20" s="367"/>
      <c r="I20" s="367"/>
      <c r="J20" s="368"/>
      <c r="K20" s="369"/>
      <c r="L20" s="369"/>
      <c r="M20" s="369"/>
      <c r="N20" s="370"/>
      <c r="O20" s="371"/>
      <c r="P20" s="372"/>
      <c r="Q20" s="373"/>
      <c r="R20" s="372"/>
      <c r="S20" s="370"/>
      <c r="T20" s="372"/>
      <c r="U20" s="372"/>
      <c r="V20" s="372"/>
      <c r="W20" s="370"/>
      <c r="X20" s="370"/>
      <c r="Y20" s="374"/>
      <c r="Z20" s="375">
        <f t="shared" ref="Z20:AG20" si="1">SUM(Z13:Z17)</f>
        <v>33714.36</v>
      </c>
      <c r="AA20" s="376">
        <f t="shared" si="1"/>
        <v>29739.18</v>
      </c>
      <c r="AB20" s="376">
        <f t="shared" si="1"/>
        <v>3975.1800000000003</v>
      </c>
      <c r="AC20" s="377">
        <f t="shared" si="1"/>
        <v>25764</v>
      </c>
      <c r="AD20" s="425">
        <f t="shared" si="1"/>
        <v>33441.401599999997</v>
      </c>
      <c r="AE20" s="426">
        <f t="shared" si="1"/>
        <v>29175.502499999999</v>
      </c>
      <c r="AF20" s="426">
        <f t="shared" si="1"/>
        <v>4265.8991000000005</v>
      </c>
      <c r="AG20" s="429">
        <f t="shared" si="1"/>
        <v>24909.603399999996</v>
      </c>
      <c r="AH20" s="425">
        <f>AI20+AJ20</f>
        <v>36230.422099999996</v>
      </c>
      <c r="AI20" s="426">
        <f>SUM(AI13:AI19)</f>
        <v>31309.636999999999</v>
      </c>
      <c r="AJ20" s="426">
        <f>SUM(AJ13:AJ19)</f>
        <v>4920.7851000000001</v>
      </c>
      <c r="AK20" s="427">
        <f>AI20-AJ20</f>
        <v>26388.851899999998</v>
      </c>
      <c r="AL20" s="589">
        <f>SUM(AL13:AL19)</f>
        <v>32209.232899999999</v>
      </c>
      <c r="AM20" s="590">
        <f>SUM(AM13:AM19)</f>
        <v>28010.160500000002</v>
      </c>
      <c r="AN20" s="591">
        <f>(AM20-AR20)*100/AR20</f>
        <v>-2.7854552783882469</v>
      </c>
      <c r="AO20" s="591">
        <f>SUM(AO13:AO19)</f>
        <v>4199.0724</v>
      </c>
      <c r="AP20" s="591">
        <f>(AO20-AS20)*100/AS20</f>
        <v>-6.862378727991377</v>
      </c>
      <c r="AQ20" s="592">
        <f>SUM(AQ13:AQ19)</f>
        <v>23811.088100000004</v>
      </c>
      <c r="AR20" s="510">
        <f>SUM(AR13:AR17)</f>
        <v>28812.7261</v>
      </c>
      <c r="AS20" s="620">
        <v>4508.46</v>
      </c>
      <c r="AU20" s="724" t="s">
        <v>167</v>
      </c>
      <c r="AV20" s="724"/>
      <c r="AW20" s="724"/>
      <c r="AX20" s="724"/>
      <c r="AY20" s="724"/>
      <c r="AZ20" s="724"/>
      <c r="BA20" s="724"/>
      <c r="BB20" s="724"/>
      <c r="BC20" s="724"/>
      <c r="BD20" s="724"/>
      <c r="BE20" s="724"/>
      <c r="BF20" s="724"/>
      <c r="BG20" s="724"/>
      <c r="BH20" s="724"/>
      <c r="BI20" s="724"/>
      <c r="BJ20" s="724"/>
      <c r="BK20" s="724"/>
      <c r="BL20" s="724"/>
      <c r="BM20" s="724"/>
      <c r="BN20" s="724"/>
      <c r="BO20" s="724"/>
      <c r="BP20" s="724"/>
    </row>
    <row r="21" spans="1:68" s="204" customFormat="1" ht="14.25" customHeight="1" x14ac:dyDescent="0.2">
      <c r="A21" s="726" t="s">
        <v>81</v>
      </c>
      <c r="B21" s="727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7"/>
      <c r="AP21" s="727"/>
      <c r="AQ21" s="728"/>
      <c r="AR21" s="142"/>
      <c r="AS21" s="142"/>
      <c r="AU21"/>
      <c r="AV21" s="549" t="s">
        <v>168</v>
      </c>
      <c r="AW21" s="409">
        <v>12834.797699999999</v>
      </c>
      <c r="AX21" s="409">
        <v>11605.873799999999</v>
      </c>
      <c r="AY21" s="409">
        <v>1228.9238</v>
      </c>
      <c r="AZ21" s="409">
        <v>10376.950000000001</v>
      </c>
      <c r="BA21" s="409">
        <v>12253.1317</v>
      </c>
      <c r="BB21" s="409">
        <v>11011.4221</v>
      </c>
      <c r="BC21" s="409">
        <v>1241.7094999999999</v>
      </c>
      <c r="BD21" s="409">
        <v>9769.7126000000007</v>
      </c>
      <c r="BE21" s="409">
        <v>12253.1317</v>
      </c>
      <c r="BF21" s="409">
        <v>11011.4221</v>
      </c>
      <c r="BG21" s="409">
        <v>1241.7094999999999</v>
      </c>
      <c r="BH21" s="409">
        <v>9769.7126000000007</v>
      </c>
      <c r="BI21" s="409">
        <v>14447.284600000001</v>
      </c>
      <c r="BJ21" s="409">
        <v>14412.8451</v>
      </c>
      <c r="BK21" s="409">
        <v>34.439500000000002</v>
      </c>
      <c r="BL21" s="409">
        <v>14378.405500000001</v>
      </c>
      <c r="BM21" s="550" t="s">
        <v>260</v>
      </c>
      <c r="BN21" s="550" t="s">
        <v>297</v>
      </c>
      <c r="BO21" s="550" t="s">
        <v>262</v>
      </c>
      <c r="BP21" s="550" t="s">
        <v>298</v>
      </c>
    </row>
    <row r="22" spans="1:68" ht="19.5" customHeight="1" x14ac:dyDescent="0.5">
      <c r="A22" s="233" t="s">
        <v>84</v>
      </c>
      <c r="B22" s="270">
        <v>575.95000000000005</v>
      </c>
      <c r="C22" s="270">
        <v>711.93</v>
      </c>
      <c r="D22" s="270">
        <v>995.57</v>
      </c>
      <c r="E22" s="240">
        <v>1870.23</v>
      </c>
      <c r="F22" s="241">
        <v>1925.3</v>
      </c>
      <c r="G22" s="242">
        <v>1933.79</v>
      </c>
      <c r="H22" s="242">
        <v>1327.84</v>
      </c>
      <c r="I22" s="242">
        <v>2043.36</v>
      </c>
      <c r="J22" s="243">
        <v>1690</v>
      </c>
      <c r="K22" s="234">
        <v>2253.23</v>
      </c>
      <c r="L22" s="234">
        <v>2772.95</v>
      </c>
      <c r="M22" s="234">
        <v>3434.28</v>
      </c>
      <c r="N22" s="235">
        <f>SUM(O22+P22)</f>
        <v>4935.3799999999992</v>
      </c>
      <c r="O22" s="235">
        <v>4753.4799999999996</v>
      </c>
      <c r="P22" s="244">
        <v>181.9</v>
      </c>
      <c r="Q22" s="244">
        <f>SUM(O22-P22)-0.01</f>
        <v>4571.57</v>
      </c>
      <c r="R22" s="244">
        <f>SUM(S22+T22)</f>
        <v>6874.92</v>
      </c>
      <c r="S22" s="245">
        <v>6749.14</v>
      </c>
      <c r="T22" s="237">
        <v>125.78</v>
      </c>
      <c r="U22" s="237">
        <f>SUM(S22-T22)</f>
        <v>6623.3600000000006</v>
      </c>
      <c r="V22" s="237">
        <f>SUM(W22+X22)</f>
        <v>12135.82</v>
      </c>
      <c r="W22" s="245">
        <v>12061.74</v>
      </c>
      <c r="X22" s="245">
        <v>74.08</v>
      </c>
      <c r="Y22" s="282">
        <f>SUM(W22-X22)</f>
        <v>11987.66</v>
      </c>
      <c r="Z22" s="284">
        <f>SUM(AA22+AB22)</f>
        <v>14493.539999999999</v>
      </c>
      <c r="AA22" s="246">
        <v>14381.91</v>
      </c>
      <c r="AB22" s="245">
        <v>111.63</v>
      </c>
      <c r="AC22" s="238">
        <f>SUM(AA22-AB22)</f>
        <v>14270.28</v>
      </c>
      <c r="AD22" s="424">
        <f>SUM(AE22+AF22)</f>
        <v>12834.7976</v>
      </c>
      <c r="AE22" s="428">
        <v>11605.873799999999</v>
      </c>
      <c r="AF22" s="428">
        <v>1228.9238</v>
      </c>
      <c r="AG22" s="285">
        <f>SUM(AE22-AF22)</f>
        <v>10376.949999999999</v>
      </c>
      <c r="AH22" s="430">
        <f t="shared" ref="AH22:AH27" si="2">AI22+AJ22</f>
        <v>12253.131600000001</v>
      </c>
      <c r="AI22" s="507">
        <v>11011.4221</v>
      </c>
      <c r="AJ22" s="507">
        <v>1241.7094999999999</v>
      </c>
      <c r="AK22" s="545">
        <f t="shared" ref="AK22:AK27" si="3">AI22-AJ22</f>
        <v>9769.7125999999989</v>
      </c>
      <c r="AL22" s="583">
        <f>SUM(AM22+AO22)</f>
        <v>13233.3253</v>
      </c>
      <c r="AM22" s="501">
        <v>13208.063200000001</v>
      </c>
      <c r="AN22" s="584">
        <f>+(AM22-AR22)/AR22*100</f>
        <v>34.70443735996232</v>
      </c>
      <c r="AO22" s="501">
        <v>25.2621</v>
      </c>
      <c r="AP22" s="584">
        <f>+(AO22-AS22)/AS22*100</f>
        <v>-97.915232958301772</v>
      </c>
      <c r="AQ22" s="585">
        <f>SUM(AM22-AO22)</f>
        <v>13182.801100000001</v>
      </c>
      <c r="AR22" s="409">
        <v>9805.2175999999999</v>
      </c>
      <c r="AS22" s="409">
        <v>1211.7469000000001</v>
      </c>
      <c r="AU22"/>
      <c r="AV22" s="549" t="s">
        <v>169</v>
      </c>
      <c r="AW22" s="409">
        <v>1.5079</v>
      </c>
      <c r="AX22" s="409">
        <v>0</v>
      </c>
      <c r="AY22" s="409">
        <v>1.5079</v>
      </c>
      <c r="AZ22" s="409">
        <v>-1.5079</v>
      </c>
      <c r="BA22" s="409">
        <v>18.678899999999999</v>
      </c>
      <c r="BB22" s="409">
        <v>0</v>
      </c>
      <c r="BC22" s="409">
        <v>18.678899999999999</v>
      </c>
      <c r="BD22" s="409">
        <v>-18.678899999999999</v>
      </c>
      <c r="BE22" s="409">
        <v>18.678899999999999</v>
      </c>
      <c r="BF22" s="409">
        <v>0</v>
      </c>
      <c r="BG22" s="409">
        <v>18.678899999999999</v>
      </c>
      <c r="BH22" s="409">
        <v>-18.678899999999999</v>
      </c>
      <c r="BI22" s="409">
        <v>796.05060000000003</v>
      </c>
      <c r="BJ22" s="409">
        <v>0</v>
      </c>
      <c r="BK22" s="409">
        <v>796.05060000000003</v>
      </c>
      <c r="BL22" s="409">
        <v>-796.05060000000003</v>
      </c>
      <c r="BM22" s="550" t="s">
        <v>36</v>
      </c>
      <c r="BN22" s="550" t="s">
        <v>299</v>
      </c>
      <c r="BO22" s="550" t="s">
        <v>36</v>
      </c>
      <c r="BP22" s="550" t="s">
        <v>300</v>
      </c>
    </row>
    <row r="23" spans="1:68" ht="19.5" customHeight="1" x14ac:dyDescent="0.5">
      <c r="A23" s="233" t="s">
        <v>110</v>
      </c>
      <c r="B23" s="270">
        <v>0</v>
      </c>
      <c r="C23" s="270">
        <v>388.4</v>
      </c>
      <c r="D23" s="270">
        <v>332.15</v>
      </c>
      <c r="E23" s="240">
        <v>387.69</v>
      </c>
      <c r="F23" s="241">
        <v>511.26</v>
      </c>
      <c r="G23" s="242">
        <v>1141.8499999999999</v>
      </c>
      <c r="H23" s="242">
        <v>349.69</v>
      </c>
      <c r="I23" s="242">
        <v>25.82</v>
      </c>
      <c r="J23" s="243">
        <v>7.5</v>
      </c>
      <c r="K23" s="234">
        <v>2.2200000000000002</v>
      </c>
      <c r="L23" s="234">
        <v>1.02</v>
      </c>
      <c r="M23" s="234">
        <v>0</v>
      </c>
      <c r="N23" s="235">
        <v>377.5</v>
      </c>
      <c r="O23" s="244">
        <v>0</v>
      </c>
      <c r="P23" s="244">
        <v>377.5</v>
      </c>
      <c r="Q23" s="244">
        <f>SUM(O23-P23)</f>
        <v>-377.5</v>
      </c>
      <c r="R23" s="244">
        <f>SUM(S23+T23)</f>
        <v>148.65</v>
      </c>
      <c r="S23" s="235">
        <v>26.02</v>
      </c>
      <c r="T23" s="237">
        <v>122.63</v>
      </c>
      <c r="U23" s="237">
        <f>SUM(S23-T23)</f>
        <v>-96.61</v>
      </c>
      <c r="V23" s="237">
        <f>SUM(W23+X23)</f>
        <v>250.11</v>
      </c>
      <c r="W23" s="235">
        <v>150.38</v>
      </c>
      <c r="X23" s="235">
        <v>99.73</v>
      </c>
      <c r="Y23" s="282">
        <f>SUM(W23-X23)</f>
        <v>50.649999999999991</v>
      </c>
      <c r="Z23" s="284">
        <f>SUM(AA23+AB23)</f>
        <v>807.27</v>
      </c>
      <c r="AA23" s="235">
        <v>23.99</v>
      </c>
      <c r="AB23" s="235">
        <v>783.28</v>
      </c>
      <c r="AC23" s="238">
        <f>SUM(AA23-AB23)</f>
        <v>-759.29</v>
      </c>
      <c r="AD23" s="424">
        <f>SUM(AE23+AF23)</f>
        <v>1.5079</v>
      </c>
      <c r="AE23" s="428">
        <v>0</v>
      </c>
      <c r="AF23" s="428">
        <v>1.5079</v>
      </c>
      <c r="AG23" s="285">
        <f>SUM(AE23-AF23)</f>
        <v>-1.5079</v>
      </c>
      <c r="AH23" s="430">
        <f>AI23+AJ23</f>
        <v>18.678899999999999</v>
      </c>
      <c r="AI23" s="507">
        <v>0</v>
      </c>
      <c r="AJ23" s="507">
        <v>18.678899999999999</v>
      </c>
      <c r="AK23" s="545">
        <f t="shared" si="3"/>
        <v>-18.678899999999999</v>
      </c>
      <c r="AL23" s="586">
        <f>SUM(AM23+AO23)</f>
        <v>748.40679999999998</v>
      </c>
      <c r="AM23" s="587">
        <v>0</v>
      </c>
      <c r="AN23" s="584" t="s">
        <v>36</v>
      </c>
      <c r="AO23" s="501">
        <v>748.40679999999998</v>
      </c>
      <c r="AP23" s="595">
        <f>+(AO23-AS23)/AS23*100</f>
        <v>61461.799786131451</v>
      </c>
      <c r="AQ23" s="588">
        <f>SUM(AM23-AO23)</f>
        <v>-748.40679999999998</v>
      </c>
      <c r="AR23" s="409">
        <v>0</v>
      </c>
      <c r="AS23" s="409">
        <v>1.2157</v>
      </c>
      <c r="AU23"/>
      <c r="AV23" s="549" t="s">
        <v>170</v>
      </c>
      <c r="AW23" s="409"/>
      <c r="AX23" s="409"/>
      <c r="AY23" s="409"/>
      <c r="AZ23" s="409"/>
      <c r="BA23" s="409">
        <v>40.983499999999999</v>
      </c>
      <c r="BB23" s="409">
        <v>0</v>
      </c>
      <c r="BC23" s="409">
        <v>40.983499999999999</v>
      </c>
      <c r="BD23" s="409">
        <v>-40.983499999999999</v>
      </c>
      <c r="BE23" s="409">
        <v>40.983499999999999</v>
      </c>
      <c r="BF23" s="409">
        <v>0</v>
      </c>
      <c r="BG23" s="409">
        <v>40.983499999999999</v>
      </c>
      <c r="BH23" s="409">
        <v>-40.983499999999999</v>
      </c>
      <c r="BI23" s="409">
        <v>306.85879999999997</v>
      </c>
      <c r="BJ23" s="409">
        <v>0</v>
      </c>
      <c r="BK23" s="409">
        <v>306.85879999999997</v>
      </c>
      <c r="BL23" s="409">
        <v>-306.85879999999997</v>
      </c>
      <c r="BM23" s="550" t="s">
        <v>36</v>
      </c>
      <c r="BN23" s="550" t="s">
        <v>301</v>
      </c>
      <c r="BO23" s="550" t="s">
        <v>36</v>
      </c>
      <c r="BP23" s="550" t="s">
        <v>302</v>
      </c>
    </row>
    <row r="24" spans="1:68" ht="19.5" customHeight="1" x14ac:dyDescent="0.5">
      <c r="A24" s="233" t="s">
        <v>111</v>
      </c>
      <c r="B24" s="270">
        <v>0</v>
      </c>
      <c r="C24" s="270">
        <v>590.54999999999995</v>
      </c>
      <c r="D24" s="270">
        <v>585.54</v>
      </c>
      <c r="E24" s="240">
        <v>574.39</v>
      </c>
      <c r="F24" s="241">
        <v>591.37</v>
      </c>
      <c r="G24" s="242">
        <v>528.1</v>
      </c>
      <c r="H24" s="242">
        <v>186.14</v>
      </c>
      <c r="I24" s="242">
        <v>10.07</v>
      </c>
      <c r="J24" s="243">
        <v>18.82</v>
      </c>
      <c r="K24" s="234">
        <v>0</v>
      </c>
      <c r="L24" s="234">
        <v>0</v>
      </c>
      <c r="M24" s="234">
        <v>0</v>
      </c>
      <c r="N24" s="235">
        <v>710.1</v>
      </c>
      <c r="O24" s="244">
        <v>0</v>
      </c>
      <c r="P24" s="244">
        <v>710.1</v>
      </c>
      <c r="Q24" s="244">
        <f>SUM(O24-P24)</f>
        <v>-710.1</v>
      </c>
      <c r="R24" s="244">
        <f>SUM(S24+T24)</f>
        <v>272.18</v>
      </c>
      <c r="S24" s="235">
        <v>1.6</v>
      </c>
      <c r="T24" s="237">
        <v>270.58</v>
      </c>
      <c r="U24" s="237">
        <f>SUM(S24-T24)</f>
        <v>-268.97999999999996</v>
      </c>
      <c r="V24" s="237">
        <f>SUM(W24+X24)</f>
        <v>390.85</v>
      </c>
      <c r="W24" s="235">
        <v>0</v>
      </c>
      <c r="X24" s="235">
        <v>390.85</v>
      </c>
      <c r="Y24" s="282">
        <f>SUM(W24-X24)</f>
        <v>-390.85</v>
      </c>
      <c r="Z24" s="284">
        <f>SUM(AA24+AB24)</f>
        <v>251.44</v>
      </c>
      <c r="AA24" s="235">
        <v>0</v>
      </c>
      <c r="AB24" s="235">
        <v>251.44</v>
      </c>
      <c r="AC24" s="238">
        <f>SUM(AA24-AB24)</f>
        <v>-251.44</v>
      </c>
      <c r="AD24" s="424">
        <f>SUM(AE24+AF24)</f>
        <v>0</v>
      </c>
      <c r="AE24" s="235">
        <v>0</v>
      </c>
      <c r="AF24" s="235">
        <v>0</v>
      </c>
      <c r="AG24" s="285">
        <f>SUM(AE24-AF24)</f>
        <v>0</v>
      </c>
      <c r="AH24" s="430">
        <f t="shared" si="2"/>
        <v>40.983499999999999</v>
      </c>
      <c r="AI24" s="507">
        <v>0</v>
      </c>
      <c r="AJ24" s="507">
        <v>40.983499999999999</v>
      </c>
      <c r="AK24" s="545">
        <f t="shared" si="3"/>
        <v>-40.983499999999999</v>
      </c>
      <c r="AL24" s="586">
        <f>SUM(AM24+AO24)</f>
        <v>291.73439999999999</v>
      </c>
      <c r="AM24" s="587">
        <v>0</v>
      </c>
      <c r="AN24" s="584" t="s">
        <v>36</v>
      </c>
      <c r="AO24" s="501">
        <v>291.73439999999999</v>
      </c>
      <c r="AP24" s="595">
        <f>+(AO24-AS24)/AS24*100</f>
        <v>16586.74712577933</v>
      </c>
      <c r="AQ24" s="588">
        <f>SUM(AM24-AO24)</f>
        <v>-291.73439999999999</v>
      </c>
      <c r="AR24" s="409">
        <v>0</v>
      </c>
      <c r="AS24" s="409">
        <v>1.7483</v>
      </c>
      <c r="AU24"/>
      <c r="AV24" s="549" t="s">
        <v>171</v>
      </c>
      <c r="AW24" s="409"/>
      <c r="AX24" s="409"/>
      <c r="AY24" s="409"/>
      <c r="AZ24" s="409"/>
      <c r="BA24" s="409">
        <v>28.6371</v>
      </c>
      <c r="BB24" s="409">
        <v>0</v>
      </c>
      <c r="BC24" s="409">
        <v>28.6371</v>
      </c>
      <c r="BD24" s="409">
        <v>-28.6371</v>
      </c>
      <c r="BE24" s="409">
        <v>28.6371</v>
      </c>
      <c r="BF24" s="409">
        <v>0</v>
      </c>
      <c r="BG24" s="409">
        <v>28.6371</v>
      </c>
      <c r="BH24" s="409">
        <v>-28.6371</v>
      </c>
      <c r="BI24" s="409">
        <v>205.35749999999999</v>
      </c>
      <c r="BJ24" s="409">
        <v>0</v>
      </c>
      <c r="BK24" s="409">
        <v>205.35749999999999</v>
      </c>
      <c r="BL24" s="409">
        <v>-205.35749999999999</v>
      </c>
      <c r="BM24" s="550" t="s">
        <v>36</v>
      </c>
      <c r="BN24" s="550" t="s">
        <v>303</v>
      </c>
      <c r="BO24" s="550" t="s">
        <v>36</v>
      </c>
      <c r="BP24" s="550" t="s">
        <v>304</v>
      </c>
    </row>
    <row r="25" spans="1:68" ht="19.5" customHeight="1" x14ac:dyDescent="0.5">
      <c r="A25" s="233" t="s">
        <v>112</v>
      </c>
      <c r="B25" s="270">
        <v>0</v>
      </c>
      <c r="C25" s="270">
        <v>590.54999999999995</v>
      </c>
      <c r="D25" s="270">
        <v>585.54</v>
      </c>
      <c r="E25" s="240">
        <v>574.39</v>
      </c>
      <c r="F25" s="241">
        <v>591.37</v>
      </c>
      <c r="G25" s="242">
        <v>528.1</v>
      </c>
      <c r="H25" s="242">
        <v>186.14</v>
      </c>
      <c r="I25" s="242">
        <v>10.07</v>
      </c>
      <c r="J25" s="243">
        <v>18.82</v>
      </c>
      <c r="K25" s="234">
        <v>0</v>
      </c>
      <c r="L25" s="234">
        <v>0</v>
      </c>
      <c r="M25" s="234">
        <v>0</v>
      </c>
      <c r="N25" s="235">
        <v>710.1</v>
      </c>
      <c r="O25" s="244">
        <v>0</v>
      </c>
      <c r="P25" s="244">
        <v>710.1</v>
      </c>
      <c r="Q25" s="244">
        <f>SUM(O25-P25)</f>
        <v>-710.1</v>
      </c>
      <c r="R25" s="244">
        <f>SUM(S25+T25)</f>
        <v>28.770000000000003</v>
      </c>
      <c r="S25" s="235">
        <v>1.76</v>
      </c>
      <c r="T25" s="237">
        <v>27.01</v>
      </c>
      <c r="U25" s="237">
        <f>SUM(S25-T25)</f>
        <v>-25.25</v>
      </c>
      <c r="V25" s="237">
        <f>SUM(W25+X25)</f>
        <v>33.6</v>
      </c>
      <c r="W25" s="235">
        <v>0</v>
      </c>
      <c r="X25" s="235">
        <v>33.6</v>
      </c>
      <c r="Y25" s="282">
        <f>SUM(W25-X25)</f>
        <v>-33.6</v>
      </c>
      <c r="Z25" s="284">
        <f>SUM(AA25+AB25)</f>
        <v>310.83999999999997</v>
      </c>
      <c r="AA25" s="235">
        <v>0</v>
      </c>
      <c r="AB25" s="235">
        <v>310.83999999999997</v>
      </c>
      <c r="AC25" s="238">
        <f>SUM(AA25-AB25)</f>
        <v>-310.83999999999997</v>
      </c>
      <c r="AD25" s="424">
        <f>SUM(AE25+AF25)</f>
        <v>0</v>
      </c>
      <c r="AE25" s="235">
        <v>0</v>
      </c>
      <c r="AF25" s="235">
        <v>0</v>
      </c>
      <c r="AG25" s="285">
        <f>SUM(AE25-AF25)</f>
        <v>0</v>
      </c>
      <c r="AH25" s="430">
        <f>AI25+AJ25</f>
        <v>28.6371</v>
      </c>
      <c r="AI25" s="507">
        <v>0</v>
      </c>
      <c r="AJ25" s="507">
        <v>28.6371</v>
      </c>
      <c r="AK25" s="545">
        <f t="shared" si="3"/>
        <v>-28.6371</v>
      </c>
      <c r="AL25" s="586">
        <f>SUM(AM25+AO25)</f>
        <v>190.56049999999999</v>
      </c>
      <c r="AM25" s="587">
        <v>0</v>
      </c>
      <c r="AN25" s="584" t="s">
        <v>36</v>
      </c>
      <c r="AO25" s="501">
        <v>190.56049999999999</v>
      </c>
      <c r="AP25" s="584" t="s">
        <v>36</v>
      </c>
      <c r="AQ25" s="588">
        <f>SUM(AM25-AO25)</f>
        <v>-190.56049999999999</v>
      </c>
      <c r="AR25" s="409"/>
      <c r="AS25" s="409"/>
      <c r="AU25"/>
      <c r="AV25" s="549" t="s">
        <v>172</v>
      </c>
      <c r="AW25" s="409"/>
      <c r="AX25" s="409"/>
      <c r="AY25" s="409"/>
      <c r="AZ25" s="409"/>
      <c r="BA25" s="409">
        <v>0.217</v>
      </c>
      <c r="BB25" s="409">
        <v>0</v>
      </c>
      <c r="BC25" s="409">
        <v>0.217</v>
      </c>
      <c r="BD25" s="409">
        <v>-0.217</v>
      </c>
      <c r="BE25" s="409">
        <v>0.217</v>
      </c>
      <c r="BF25" s="409">
        <v>0</v>
      </c>
      <c r="BG25" s="409">
        <v>0.217</v>
      </c>
      <c r="BH25" s="409">
        <v>-0.217</v>
      </c>
      <c r="BI25" s="409">
        <v>1.05</v>
      </c>
      <c r="BJ25" s="409">
        <v>0</v>
      </c>
      <c r="BK25" s="409">
        <v>1.05</v>
      </c>
      <c r="BL25" s="409">
        <v>-1.05</v>
      </c>
      <c r="BM25" s="550" t="s">
        <v>36</v>
      </c>
      <c r="BN25" s="550" t="s">
        <v>305</v>
      </c>
      <c r="BO25" s="550" t="s">
        <v>36</v>
      </c>
      <c r="BP25" s="550" t="s">
        <v>128</v>
      </c>
    </row>
    <row r="26" spans="1:68" ht="19.5" customHeight="1" x14ac:dyDescent="0.5">
      <c r="A26" s="233" t="s">
        <v>113</v>
      </c>
      <c r="B26" s="270">
        <v>0</v>
      </c>
      <c r="C26" s="270">
        <v>360.48</v>
      </c>
      <c r="D26" s="270">
        <v>615.91</v>
      </c>
      <c r="E26" s="240">
        <v>579.52</v>
      </c>
      <c r="F26" s="241">
        <v>1945.99</v>
      </c>
      <c r="G26" s="242">
        <v>1190.1099999999999</v>
      </c>
      <c r="H26" s="242">
        <v>1284.48</v>
      </c>
      <c r="I26" s="242">
        <v>108.07</v>
      </c>
      <c r="J26" s="243">
        <v>53.01</v>
      </c>
      <c r="K26" s="234">
        <v>0</v>
      </c>
      <c r="L26" s="234">
        <v>0</v>
      </c>
      <c r="M26" s="234">
        <v>0</v>
      </c>
      <c r="N26" s="235">
        <v>709.24</v>
      </c>
      <c r="O26" s="244">
        <v>0</v>
      </c>
      <c r="P26" s="244">
        <v>709.24</v>
      </c>
      <c r="Q26" s="244">
        <f>SUM(O26-P26)</f>
        <v>-709.24</v>
      </c>
      <c r="R26" s="244">
        <f>SUM(S26+T26)</f>
        <v>94.11</v>
      </c>
      <c r="S26" s="235">
        <v>20.49</v>
      </c>
      <c r="T26" s="237">
        <v>73.62</v>
      </c>
      <c r="U26" s="237">
        <f>SUM(S26-T26)</f>
        <v>-53.13000000000001</v>
      </c>
      <c r="V26" s="237">
        <f>SUM(W26+X26)</f>
        <v>88.490000000000009</v>
      </c>
      <c r="W26" s="235">
        <v>38.14</v>
      </c>
      <c r="X26" s="235">
        <v>50.35</v>
      </c>
      <c r="Y26" s="282">
        <f>SUM(W26-X26)</f>
        <v>-12.21</v>
      </c>
      <c r="Z26" s="284">
        <f>SUM(AA26+AB26)</f>
        <v>33.4</v>
      </c>
      <c r="AA26" s="235">
        <v>0</v>
      </c>
      <c r="AB26" s="235">
        <v>33.4</v>
      </c>
      <c r="AC26" s="238">
        <f>SUM(AA26-AB26)</f>
        <v>-33.4</v>
      </c>
      <c r="AD26" s="424">
        <f>SUM(AE26+AF26)</f>
        <v>0</v>
      </c>
      <c r="AE26" s="235">
        <v>0</v>
      </c>
      <c r="AF26" s="235">
        <v>0</v>
      </c>
      <c r="AG26" s="285">
        <f>SUM(AE26-AF26)</f>
        <v>0</v>
      </c>
      <c r="AH26" s="430">
        <f t="shared" si="2"/>
        <v>0.217</v>
      </c>
      <c r="AI26" s="507">
        <v>0</v>
      </c>
      <c r="AJ26" s="507">
        <v>0.217</v>
      </c>
      <c r="AK26" s="545">
        <f t="shared" si="3"/>
        <v>-0.217</v>
      </c>
      <c r="AL26" s="586">
        <f>SUM(AM26+AO26)</f>
        <v>1.05</v>
      </c>
      <c r="AM26" s="587">
        <v>0</v>
      </c>
      <c r="AN26" s="584" t="s">
        <v>36</v>
      </c>
      <c r="AO26" s="501">
        <v>1.05</v>
      </c>
      <c r="AP26" s="596">
        <f>+(AO26-AS26)/AS26*100</f>
        <v>4100</v>
      </c>
      <c r="AQ26" s="588">
        <f>SUM(AM26-AO26)</f>
        <v>-1.05</v>
      </c>
      <c r="AR26" s="409">
        <v>0</v>
      </c>
      <c r="AS26" s="409">
        <v>2.5000000000000001E-2</v>
      </c>
      <c r="AU26"/>
      <c r="AV26" s="618"/>
      <c r="AW26" s="551" t="s">
        <v>173</v>
      </c>
      <c r="AX26" s="551" t="s">
        <v>174</v>
      </c>
      <c r="AY26" s="551" t="s">
        <v>175</v>
      </c>
      <c r="AZ26" s="551" t="s">
        <v>176</v>
      </c>
      <c r="BA26" s="551" t="s">
        <v>177</v>
      </c>
      <c r="BB26" s="551" t="s">
        <v>178</v>
      </c>
      <c r="BC26" s="551" t="s">
        <v>179</v>
      </c>
      <c r="BD26" s="551" t="s">
        <v>180</v>
      </c>
      <c r="BE26" s="551" t="s">
        <v>177</v>
      </c>
      <c r="BF26" s="551" t="s">
        <v>178</v>
      </c>
      <c r="BG26" s="551" t="s">
        <v>179</v>
      </c>
      <c r="BH26" s="551" t="s">
        <v>180</v>
      </c>
      <c r="BI26" s="551" t="s">
        <v>306</v>
      </c>
      <c r="BJ26" s="551" t="s">
        <v>307</v>
      </c>
      <c r="BK26" s="551" t="s">
        <v>308</v>
      </c>
      <c r="BL26" s="551" t="s">
        <v>309</v>
      </c>
      <c r="BM26" s="618" t="s">
        <v>260</v>
      </c>
      <c r="BN26" s="618" t="s">
        <v>261</v>
      </c>
      <c r="BO26" s="618" t="s">
        <v>262</v>
      </c>
      <c r="BP26" s="618" t="s">
        <v>263</v>
      </c>
    </row>
    <row r="27" spans="1:68" s="204" customFormat="1" ht="14.25" customHeight="1" x14ac:dyDescent="0.2">
      <c r="A27" s="363" t="s">
        <v>5</v>
      </c>
      <c r="B27" s="364"/>
      <c r="C27" s="364"/>
      <c r="D27" s="364"/>
      <c r="E27" s="365"/>
      <c r="F27" s="366"/>
      <c r="G27" s="367"/>
      <c r="H27" s="367"/>
      <c r="I27" s="367"/>
      <c r="J27" s="368"/>
      <c r="K27" s="369"/>
      <c r="L27" s="369"/>
      <c r="M27" s="369"/>
      <c r="N27" s="370"/>
      <c r="O27" s="371"/>
      <c r="P27" s="372"/>
      <c r="Q27" s="373"/>
      <c r="R27" s="372"/>
      <c r="S27" s="370"/>
      <c r="T27" s="372"/>
      <c r="U27" s="372"/>
      <c r="V27" s="372"/>
      <c r="W27" s="370"/>
      <c r="X27" s="370"/>
      <c r="Y27" s="374"/>
      <c r="Z27" s="375">
        <f t="shared" ref="Z27:AG27" si="4">SUM(Z22:Z26)</f>
        <v>15896.49</v>
      </c>
      <c r="AA27" s="376">
        <f t="shared" si="4"/>
        <v>14405.9</v>
      </c>
      <c r="AB27" s="376">
        <f t="shared" si="4"/>
        <v>1490.59</v>
      </c>
      <c r="AC27" s="377">
        <f t="shared" si="4"/>
        <v>12915.310000000001</v>
      </c>
      <c r="AD27" s="425">
        <f t="shared" si="4"/>
        <v>12836.3055</v>
      </c>
      <c r="AE27" s="426">
        <f t="shared" si="4"/>
        <v>11605.873799999999</v>
      </c>
      <c r="AF27" s="426">
        <f t="shared" si="4"/>
        <v>1230.4317000000001</v>
      </c>
      <c r="AG27" s="429">
        <f t="shared" si="4"/>
        <v>10375.442099999998</v>
      </c>
      <c r="AH27" s="425">
        <f t="shared" si="2"/>
        <v>12341.6481</v>
      </c>
      <c r="AI27" s="426">
        <f>SUM(AI22:AI26)</f>
        <v>11011.4221</v>
      </c>
      <c r="AJ27" s="426">
        <f>SUM(AJ22:AJ26)</f>
        <v>1330.2259999999999</v>
      </c>
      <c r="AK27" s="429">
        <f t="shared" si="3"/>
        <v>9681.1960999999992</v>
      </c>
      <c r="AL27" s="597">
        <f>SUM(AL22:AL26)</f>
        <v>14465.076999999999</v>
      </c>
      <c r="AM27" s="598">
        <f>SUM(AM22:AM26)</f>
        <v>13208.063200000001</v>
      </c>
      <c r="AN27" s="591">
        <f>(AM27-AR27)*100/AR27</f>
        <v>34.70443735996232</v>
      </c>
      <c r="AO27" s="591">
        <f>SUM(AO22:AO26)</f>
        <v>1257.0137999999999</v>
      </c>
      <c r="AP27" s="591">
        <f>(AO27-AS27)*100/AS27</f>
        <v>3.4804190771014354</v>
      </c>
      <c r="AQ27" s="592">
        <f>SUM(AQ22:AQ26)</f>
        <v>11951.049400000002</v>
      </c>
      <c r="AR27" s="504">
        <f>SUM(AR22:AR26)</f>
        <v>9805.2175999999999</v>
      </c>
      <c r="AS27" s="376">
        <f>SUM(AS22:AS26)</f>
        <v>1214.7359000000001</v>
      </c>
      <c r="AU27" s="724" t="s">
        <v>181</v>
      </c>
      <c r="AV27" s="724"/>
      <c r="AW27" s="724"/>
      <c r="AX27" s="724"/>
      <c r="AY27" s="724"/>
      <c r="AZ27" s="724"/>
      <c r="BA27" s="724"/>
      <c r="BB27" s="724"/>
      <c r="BC27" s="724"/>
      <c r="BD27" s="724"/>
      <c r="BE27" s="724"/>
      <c r="BF27" s="724"/>
      <c r="BG27" s="724"/>
      <c r="BH27" s="724"/>
      <c r="BI27" s="724"/>
      <c r="BJ27" s="724"/>
      <c r="BK27" s="724"/>
      <c r="BL27" s="724"/>
      <c r="BM27" s="724"/>
      <c r="BN27" s="724"/>
      <c r="BO27" s="724"/>
      <c r="BP27" s="724"/>
    </row>
    <row r="28" spans="1:68" s="204" customFormat="1" ht="14.25" customHeight="1" x14ac:dyDescent="0.2">
      <c r="A28" s="726" t="s">
        <v>90</v>
      </c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7"/>
      <c r="AN28" s="727"/>
      <c r="AO28" s="727"/>
      <c r="AP28" s="727"/>
      <c r="AQ28" s="728"/>
      <c r="AR28" s="141"/>
      <c r="AS28" s="141"/>
      <c r="AU28"/>
      <c r="AV28" s="549" t="s">
        <v>310</v>
      </c>
      <c r="AW28" s="409">
        <v>3011.8746999999998</v>
      </c>
      <c r="AX28" s="409">
        <v>873.30489999999998</v>
      </c>
      <c r="AY28" s="409">
        <v>2138.5697</v>
      </c>
      <c r="AZ28" s="409">
        <v>-1265.2646999999999</v>
      </c>
      <c r="BA28" s="409">
        <v>5317.4624000000003</v>
      </c>
      <c r="BB28" s="409">
        <v>3348.6278000000002</v>
      </c>
      <c r="BC28" s="409">
        <v>1968.8345999999999</v>
      </c>
      <c r="BD28" s="409">
        <v>1379.7932000000001</v>
      </c>
      <c r="BE28" s="409">
        <v>5317.4624000000003</v>
      </c>
      <c r="BF28" s="409">
        <v>3348.6278000000002</v>
      </c>
      <c r="BG28" s="409">
        <v>1968.8345999999999</v>
      </c>
      <c r="BH28" s="409">
        <v>1379.7932000000001</v>
      </c>
      <c r="BI28" s="409">
        <v>8239.3817999999992</v>
      </c>
      <c r="BJ28" s="409">
        <v>5731.5025999999998</v>
      </c>
      <c r="BK28" s="409">
        <v>2507.8791999999999</v>
      </c>
      <c r="BL28" s="409">
        <v>3223.6233999999999</v>
      </c>
      <c r="BM28" s="550" t="s">
        <v>264</v>
      </c>
      <c r="BN28" s="550" t="s">
        <v>265</v>
      </c>
      <c r="BO28" s="550" t="s">
        <v>266</v>
      </c>
      <c r="BP28" s="550" t="s">
        <v>267</v>
      </c>
    </row>
    <row r="29" spans="1:68" ht="19.5" customHeight="1" x14ac:dyDescent="0.5">
      <c r="A29" s="233" t="s">
        <v>49</v>
      </c>
      <c r="B29" s="270">
        <v>175.35</v>
      </c>
      <c r="C29" s="270">
        <v>157.52000000000001</v>
      </c>
      <c r="D29" s="270">
        <v>129.49</v>
      </c>
      <c r="E29" s="240">
        <v>163.96</v>
      </c>
      <c r="F29" s="241">
        <v>568.83000000000004</v>
      </c>
      <c r="G29" s="242">
        <v>548.47</v>
      </c>
      <c r="H29" s="242">
        <v>783.51</v>
      </c>
      <c r="I29" s="242">
        <v>2155.15</v>
      </c>
      <c r="J29" s="243">
        <v>1648.75</v>
      </c>
      <c r="K29" s="234">
        <v>1600.27</v>
      </c>
      <c r="L29" s="234">
        <v>804.82</v>
      </c>
      <c r="M29" s="234">
        <v>1529.02</v>
      </c>
      <c r="N29" s="235">
        <f>SUM(O29+P29)-0.01</f>
        <v>1996.94</v>
      </c>
      <c r="O29" s="235">
        <v>1851.96</v>
      </c>
      <c r="P29" s="244">
        <v>144.99</v>
      </c>
      <c r="Q29" s="244">
        <f>SUM(O29-P29)</f>
        <v>1706.97</v>
      </c>
      <c r="R29" s="244">
        <f>SUM(S29+T29)-0.01</f>
        <v>2711.95</v>
      </c>
      <c r="S29" s="245">
        <v>2442.4</v>
      </c>
      <c r="T29" s="237">
        <v>269.56</v>
      </c>
      <c r="U29" s="237">
        <f>SUM(S29-T29)</f>
        <v>2172.84</v>
      </c>
      <c r="V29" s="237">
        <f>SUM(W29+X29)</f>
        <v>2847.62</v>
      </c>
      <c r="W29" s="245">
        <v>1968.2</v>
      </c>
      <c r="X29" s="245">
        <v>879.42</v>
      </c>
      <c r="Y29" s="285">
        <f>SUM(W29-X29)</f>
        <v>1088.7800000000002</v>
      </c>
      <c r="Z29" s="284">
        <f>SUM(AA29+AB29)</f>
        <v>3734.05</v>
      </c>
      <c r="AA29" s="245">
        <v>2378.71</v>
      </c>
      <c r="AB29" s="245">
        <v>1355.34</v>
      </c>
      <c r="AC29" s="271">
        <f>SUM(AA29-AB29)</f>
        <v>1023.3700000000001</v>
      </c>
      <c r="AD29" s="424">
        <f>SUM(AE29+AF29)</f>
        <v>3011.8746000000001</v>
      </c>
      <c r="AE29" s="428">
        <v>873.30489999999998</v>
      </c>
      <c r="AF29" s="428">
        <v>2138.5697</v>
      </c>
      <c r="AG29" s="285">
        <f>SUM(AE29-AF29)</f>
        <v>-1265.2647999999999</v>
      </c>
      <c r="AH29" s="502">
        <f>AI29+AJ29</f>
        <v>5317.4624000000003</v>
      </c>
      <c r="AI29" s="507">
        <v>3348.6278000000002</v>
      </c>
      <c r="AJ29" s="507">
        <v>1968.8345999999999</v>
      </c>
      <c r="AK29" s="545">
        <f>AI29-AJ29</f>
        <v>1379.7932000000003</v>
      </c>
      <c r="AL29" s="586">
        <f>SUM(AM29+AO29)</f>
        <v>7206.4444000000003</v>
      </c>
      <c r="AM29" s="501">
        <v>4852.2682000000004</v>
      </c>
      <c r="AN29" s="584">
        <f>+(AM29-AR29)/AR29*100</f>
        <v>62.326280001771728</v>
      </c>
      <c r="AO29" s="501">
        <v>2354.1761999999999</v>
      </c>
      <c r="AP29" s="584">
        <f>+(AO29-AS29)/AS29*100</f>
        <v>33.818914496056863</v>
      </c>
      <c r="AQ29" s="588">
        <f>SUM(AM29-AO29)</f>
        <v>2498.0920000000006</v>
      </c>
      <c r="AR29" s="409">
        <v>2989.2067999999999</v>
      </c>
      <c r="AS29" s="409">
        <v>1759.2253000000001</v>
      </c>
      <c r="AU29"/>
      <c r="AV29" s="618"/>
      <c r="AW29" s="551" t="s">
        <v>182</v>
      </c>
      <c r="AX29" s="551" t="s">
        <v>183</v>
      </c>
      <c r="AY29" s="551" t="s">
        <v>184</v>
      </c>
      <c r="AZ29" s="551" t="s">
        <v>185</v>
      </c>
      <c r="BA29" s="551" t="s">
        <v>186</v>
      </c>
      <c r="BB29" s="551" t="s">
        <v>187</v>
      </c>
      <c r="BC29" s="551" t="s">
        <v>188</v>
      </c>
      <c r="BD29" s="551" t="s">
        <v>189</v>
      </c>
      <c r="BE29" s="551" t="s">
        <v>186</v>
      </c>
      <c r="BF29" s="551" t="s">
        <v>187</v>
      </c>
      <c r="BG29" s="551" t="s">
        <v>188</v>
      </c>
      <c r="BH29" s="551" t="s">
        <v>189</v>
      </c>
      <c r="BI29" s="551" t="s">
        <v>311</v>
      </c>
      <c r="BJ29" s="551" t="s">
        <v>312</v>
      </c>
      <c r="BK29" s="551" t="s">
        <v>313</v>
      </c>
      <c r="BL29" s="551" t="s">
        <v>314</v>
      </c>
      <c r="BM29" s="618" t="s">
        <v>264</v>
      </c>
      <c r="BN29" s="618" t="s">
        <v>265</v>
      </c>
      <c r="BO29" s="618" t="s">
        <v>266</v>
      </c>
      <c r="BP29" s="618" t="s">
        <v>267</v>
      </c>
    </row>
    <row r="30" spans="1:68" s="204" customFormat="1" ht="14.25" customHeight="1" x14ac:dyDescent="0.2">
      <c r="A30" s="726" t="s">
        <v>91</v>
      </c>
      <c r="B30" s="727"/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  <c r="AM30" s="727"/>
      <c r="AN30" s="727"/>
      <c r="AO30" s="727"/>
      <c r="AP30" s="727"/>
      <c r="AQ30" s="728"/>
      <c r="AR30" s="142"/>
      <c r="AS30" s="142"/>
      <c r="AU30" s="724" t="s">
        <v>190</v>
      </c>
      <c r="AV30" s="724"/>
      <c r="AW30" s="724"/>
      <c r="AX30" s="724"/>
      <c r="AY30" s="724"/>
      <c r="AZ30" s="724"/>
      <c r="BA30" s="724"/>
      <c r="BB30" s="724"/>
      <c r="BC30" s="724"/>
      <c r="BD30" s="724"/>
      <c r="BE30" s="724"/>
      <c r="BF30" s="724"/>
      <c r="BG30" s="724"/>
      <c r="BH30" s="724"/>
      <c r="BI30" s="724"/>
      <c r="BJ30" s="724"/>
      <c r="BK30" s="724"/>
      <c r="BL30" s="724"/>
      <c r="BM30" s="724"/>
      <c r="BN30" s="724"/>
      <c r="BO30" s="724"/>
      <c r="BP30" s="724"/>
    </row>
    <row r="31" spans="1:68" ht="19.5" customHeight="1" x14ac:dyDescent="0.5">
      <c r="A31" s="233" t="s">
        <v>56</v>
      </c>
      <c r="B31" s="270">
        <v>175.35</v>
      </c>
      <c r="C31" s="270">
        <v>157.52000000000001</v>
      </c>
      <c r="D31" s="270">
        <v>129.49</v>
      </c>
      <c r="E31" s="240">
        <v>163.96</v>
      </c>
      <c r="F31" s="241">
        <v>568.83000000000004</v>
      </c>
      <c r="G31" s="242">
        <v>548.47</v>
      </c>
      <c r="H31" s="242">
        <v>783.51</v>
      </c>
      <c r="I31" s="242">
        <v>2155.15</v>
      </c>
      <c r="J31" s="243">
        <v>1648.75</v>
      </c>
      <c r="K31" s="234">
        <v>1600.27</v>
      </c>
      <c r="L31" s="234">
        <v>804.82</v>
      </c>
      <c r="M31" s="234">
        <v>1529.02</v>
      </c>
      <c r="N31" s="235">
        <f>SUM(O31+P31)-0.01</f>
        <v>1996.94</v>
      </c>
      <c r="O31" s="235">
        <v>1851.96</v>
      </c>
      <c r="P31" s="244">
        <v>144.99</v>
      </c>
      <c r="Q31" s="244">
        <f>SUM(O31-P31)</f>
        <v>1706.97</v>
      </c>
      <c r="R31" s="244">
        <f>SUM(S31+T31)</f>
        <v>0</v>
      </c>
      <c r="S31" s="245">
        <v>0</v>
      </c>
      <c r="T31" s="237">
        <v>0</v>
      </c>
      <c r="U31" s="237">
        <f>SUM(S31-T31)</f>
        <v>0</v>
      </c>
      <c r="V31" s="237">
        <f>SUM(W31+X31)</f>
        <v>0</v>
      </c>
      <c r="W31" s="245">
        <v>0</v>
      </c>
      <c r="X31" s="245">
        <v>0</v>
      </c>
      <c r="Y31" s="285">
        <f>SUM(W31-X31)</f>
        <v>0</v>
      </c>
      <c r="Z31" s="284">
        <f>SUM(AA31+AB31)</f>
        <v>114.19</v>
      </c>
      <c r="AA31" s="245">
        <v>0</v>
      </c>
      <c r="AB31" s="245">
        <v>114.19</v>
      </c>
      <c r="AC31" s="271">
        <f>SUM(AA31-AB31)</f>
        <v>-114.19</v>
      </c>
      <c r="AD31" s="424">
        <f>SUM(AE31+AF31)</f>
        <v>818.89969999999994</v>
      </c>
      <c r="AE31" s="428">
        <v>464.25110000000001</v>
      </c>
      <c r="AF31" s="428">
        <v>354.64859999999999</v>
      </c>
      <c r="AG31" s="285">
        <f>SUM(AE31-AF31)</f>
        <v>109.60250000000002</v>
      </c>
      <c r="AH31" s="502">
        <f>AI31+AJ31</f>
        <v>834.06000000000006</v>
      </c>
      <c r="AI31" s="507">
        <v>609.45000000000005</v>
      </c>
      <c r="AJ31" s="507">
        <v>224.61</v>
      </c>
      <c r="AK31" s="545">
        <f>AI31-AJ31+0.01</f>
        <v>384.85</v>
      </c>
      <c r="AL31" s="586">
        <f>SUM(AM31+AO31)</f>
        <v>814.74450000000002</v>
      </c>
      <c r="AM31" s="501">
        <v>594.86030000000005</v>
      </c>
      <c r="AN31" s="584">
        <f>+(AM31-AR31)/AR31*100</f>
        <v>5.8768887666717493</v>
      </c>
      <c r="AO31" s="501">
        <v>219.88419999999999</v>
      </c>
      <c r="AP31" s="584">
        <f>+(AO31-AS31)/AS31*100</f>
        <v>7.8811387257826491</v>
      </c>
      <c r="AQ31" s="588">
        <f>SUM(AM31-AO31)</f>
        <v>374.97610000000009</v>
      </c>
      <c r="AR31" s="409">
        <v>561.8415</v>
      </c>
      <c r="AS31" s="409">
        <v>203.82079999999999</v>
      </c>
      <c r="AU31"/>
      <c r="AV31" s="549" t="s">
        <v>191</v>
      </c>
      <c r="AW31" s="409">
        <v>818.89980000000003</v>
      </c>
      <c r="AX31" s="409">
        <v>464.25110000000001</v>
      </c>
      <c r="AY31" s="409">
        <v>354.64859999999999</v>
      </c>
      <c r="AZ31" s="409">
        <v>109.60250000000001</v>
      </c>
      <c r="BA31" s="409">
        <v>834.05740000000003</v>
      </c>
      <c r="BB31" s="409">
        <v>609.45169999999996</v>
      </c>
      <c r="BC31" s="409">
        <v>224.60560000000001</v>
      </c>
      <c r="BD31" s="409">
        <v>384.846</v>
      </c>
      <c r="BE31" s="409">
        <v>834.05740000000003</v>
      </c>
      <c r="BF31" s="409">
        <v>609.45169999999996</v>
      </c>
      <c r="BG31" s="409">
        <v>224.60560000000001</v>
      </c>
      <c r="BH31" s="409">
        <v>384.846</v>
      </c>
      <c r="BI31" s="409">
        <v>875.13720000000001</v>
      </c>
      <c r="BJ31" s="409">
        <v>632.2681</v>
      </c>
      <c r="BK31" s="409">
        <v>242.8691</v>
      </c>
      <c r="BL31" s="409">
        <v>389.399</v>
      </c>
      <c r="BM31" s="550" t="s">
        <v>268</v>
      </c>
      <c r="BN31" s="550" t="s">
        <v>269</v>
      </c>
      <c r="BO31" s="550" t="s">
        <v>270</v>
      </c>
      <c r="BP31" s="550" t="s">
        <v>271</v>
      </c>
    </row>
    <row r="32" spans="1:68" s="204" customFormat="1" ht="14.25" customHeight="1" x14ac:dyDescent="0.2">
      <c r="A32" s="726" t="s">
        <v>92</v>
      </c>
      <c r="B32" s="727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727"/>
      <c r="AN32" s="727"/>
      <c r="AO32" s="727"/>
      <c r="AP32" s="727"/>
      <c r="AQ32" s="728"/>
      <c r="AR32" s="142"/>
      <c r="AS32" s="142"/>
      <c r="AU32"/>
      <c r="AV32" s="618"/>
      <c r="AW32" s="551" t="s">
        <v>192</v>
      </c>
      <c r="AX32" s="551" t="s">
        <v>193</v>
      </c>
      <c r="AY32" s="551" t="s">
        <v>194</v>
      </c>
      <c r="AZ32" s="551" t="s">
        <v>195</v>
      </c>
      <c r="BA32" s="551" t="s">
        <v>196</v>
      </c>
      <c r="BB32" s="551" t="s">
        <v>197</v>
      </c>
      <c r="BC32" s="551" t="s">
        <v>198</v>
      </c>
      <c r="BD32" s="551" t="s">
        <v>199</v>
      </c>
      <c r="BE32" s="551" t="s">
        <v>196</v>
      </c>
      <c r="BF32" s="551" t="s">
        <v>197</v>
      </c>
      <c r="BG32" s="551" t="s">
        <v>198</v>
      </c>
      <c r="BH32" s="551" t="s">
        <v>199</v>
      </c>
      <c r="BI32" s="551" t="s">
        <v>315</v>
      </c>
      <c r="BJ32" s="551" t="s">
        <v>316</v>
      </c>
      <c r="BK32" s="551" t="s">
        <v>317</v>
      </c>
      <c r="BL32" s="551" t="s">
        <v>318</v>
      </c>
      <c r="BM32" s="618" t="s">
        <v>268</v>
      </c>
      <c r="BN32" s="618" t="s">
        <v>269</v>
      </c>
      <c r="BO32" s="618" t="s">
        <v>270</v>
      </c>
      <c r="BP32" s="618" t="s">
        <v>271</v>
      </c>
    </row>
    <row r="33" spans="1:68" ht="19.5" customHeight="1" x14ac:dyDescent="0.5">
      <c r="A33" s="233" t="s">
        <v>97</v>
      </c>
      <c r="B33" s="270">
        <v>0</v>
      </c>
      <c r="C33" s="270">
        <v>0</v>
      </c>
      <c r="D33" s="270">
        <v>21.41</v>
      </c>
      <c r="E33" s="240">
        <v>88.57</v>
      </c>
      <c r="F33" s="241">
        <v>150.97</v>
      </c>
      <c r="G33" s="242">
        <v>190.78</v>
      </c>
      <c r="H33" s="242">
        <v>197.98</v>
      </c>
      <c r="I33" s="242">
        <v>252.28</v>
      </c>
      <c r="J33" s="243">
        <v>169.44</v>
      </c>
      <c r="K33" s="234">
        <v>251.54</v>
      </c>
      <c r="L33" s="234">
        <v>353</v>
      </c>
      <c r="M33" s="234">
        <v>527.42999999999995</v>
      </c>
      <c r="N33" s="235">
        <f>SUM(O33+P33)</f>
        <v>424.79</v>
      </c>
      <c r="O33" s="235">
        <v>424.79</v>
      </c>
      <c r="P33" s="244">
        <v>0</v>
      </c>
      <c r="Q33" s="244">
        <f>SUM(O33-P33)</f>
        <v>424.79</v>
      </c>
      <c r="R33" s="244">
        <f>SUM(S33+T33)</f>
        <v>470.72</v>
      </c>
      <c r="S33" s="245">
        <v>470.72</v>
      </c>
      <c r="T33" s="237">
        <v>0</v>
      </c>
      <c r="U33" s="237">
        <f>SUM(S33-T33)</f>
        <v>470.72</v>
      </c>
      <c r="V33" s="237">
        <f>SUM(W33+X33)</f>
        <v>338.9</v>
      </c>
      <c r="W33" s="245">
        <v>338.9</v>
      </c>
      <c r="X33" s="245">
        <v>0</v>
      </c>
      <c r="Y33" s="285">
        <f>SUM(W33-X33)</f>
        <v>338.9</v>
      </c>
      <c r="Z33" s="284">
        <f>SUM(AA33+AB33)</f>
        <v>921.07</v>
      </c>
      <c r="AA33" s="245">
        <v>921.07</v>
      </c>
      <c r="AB33" s="245">
        <v>0</v>
      </c>
      <c r="AC33" s="271">
        <f>SUM(AA33-AB33)</f>
        <v>921.07</v>
      </c>
      <c r="AD33" s="424">
        <f>SUM(AE33+AF33)</f>
        <v>8.7609999999999992</v>
      </c>
      <c r="AE33" s="428">
        <v>8.7609999999999992</v>
      </c>
      <c r="AF33" s="428">
        <v>0</v>
      </c>
      <c r="AG33" s="285">
        <f>SUM(AE33-AF33)</f>
        <v>8.7609999999999992</v>
      </c>
      <c r="AH33" s="502">
        <f>AI33+AJ33</f>
        <v>4.8169000000000004</v>
      </c>
      <c r="AI33" s="507">
        <v>4.8169000000000004</v>
      </c>
      <c r="AJ33" s="507">
        <v>0</v>
      </c>
      <c r="AK33" s="545">
        <f>AI33-AJ33</f>
        <v>4.8169000000000004</v>
      </c>
      <c r="AL33" s="586">
        <f>SUM(AM33+AO33)</f>
        <v>2.3135999999999997</v>
      </c>
      <c r="AM33" s="501">
        <v>0.24360000000000001</v>
      </c>
      <c r="AN33" s="599">
        <f>+(AM33-AR33)/AR33*100</f>
        <v>-94.942805538832033</v>
      </c>
      <c r="AO33" s="501">
        <v>2.0699999999999998</v>
      </c>
      <c r="AP33" s="584" t="s">
        <v>36</v>
      </c>
      <c r="AQ33" s="588">
        <f>SUM(AM33-AO33)</f>
        <v>-1.8263999999999998</v>
      </c>
      <c r="AR33" s="409">
        <v>4.8169000000000004</v>
      </c>
      <c r="AS33" s="409">
        <v>0</v>
      </c>
      <c r="AU33" s="724" t="s">
        <v>200</v>
      </c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</row>
    <row r="34" spans="1:68" ht="19.5" hidden="1" customHeight="1" x14ac:dyDescent="0.5">
      <c r="A34" s="233" t="s">
        <v>98</v>
      </c>
      <c r="B34" s="270">
        <v>0</v>
      </c>
      <c r="C34" s="270">
        <v>0</v>
      </c>
      <c r="D34" s="270">
        <v>21.41</v>
      </c>
      <c r="E34" s="240">
        <v>88.57</v>
      </c>
      <c r="F34" s="241">
        <v>150.97</v>
      </c>
      <c r="G34" s="242">
        <v>190.78</v>
      </c>
      <c r="H34" s="242">
        <v>197.98</v>
      </c>
      <c r="I34" s="242">
        <v>252.28</v>
      </c>
      <c r="J34" s="243">
        <v>169.44</v>
      </c>
      <c r="K34" s="234">
        <v>251.54</v>
      </c>
      <c r="L34" s="234">
        <v>353</v>
      </c>
      <c r="M34" s="234">
        <v>527.42999999999995</v>
      </c>
      <c r="N34" s="235">
        <f>SUM(O34+P34)</f>
        <v>424.79</v>
      </c>
      <c r="O34" s="235">
        <v>424.79</v>
      </c>
      <c r="P34" s="244">
        <v>0</v>
      </c>
      <c r="Q34" s="244">
        <f>SUM(O34-P34)</f>
        <v>424.79</v>
      </c>
      <c r="R34" s="244">
        <f>SUM(S34+T34)</f>
        <v>470.72</v>
      </c>
      <c r="S34" s="245">
        <v>470.72</v>
      </c>
      <c r="T34" s="237">
        <v>0</v>
      </c>
      <c r="U34" s="237">
        <f>SUM(S34-T34)</f>
        <v>470.72</v>
      </c>
      <c r="V34" s="237">
        <f>SUM(W34+X34)</f>
        <v>338.9</v>
      </c>
      <c r="W34" s="245">
        <v>338.9</v>
      </c>
      <c r="X34" s="245">
        <v>0</v>
      </c>
      <c r="Y34" s="285">
        <f>SUM(W34-X34)</f>
        <v>338.9</v>
      </c>
      <c r="Z34" s="284">
        <f>SUM(AA34+AB34)</f>
        <v>0.48</v>
      </c>
      <c r="AA34" s="245">
        <v>0.26</v>
      </c>
      <c r="AB34" s="245">
        <v>0.22</v>
      </c>
      <c r="AC34" s="271">
        <f>SUM(AA34-AB34)</f>
        <v>4.0000000000000008E-2</v>
      </c>
      <c r="AD34" s="283">
        <f>SUM(AE34+AF34)</f>
        <v>0</v>
      </c>
      <c r="AE34" s="245">
        <v>0</v>
      </c>
      <c r="AF34" s="245">
        <v>0</v>
      </c>
      <c r="AG34" s="282">
        <f>SUM(AE34-AF34)</f>
        <v>0</v>
      </c>
      <c r="AH34" s="502">
        <f>AI34+AJ34</f>
        <v>0</v>
      </c>
      <c r="AI34" s="496">
        <v>0</v>
      </c>
      <c r="AJ34" s="496">
        <v>0</v>
      </c>
      <c r="AK34" s="545">
        <f>AI34-AJ34</f>
        <v>0</v>
      </c>
      <c r="AL34" s="586">
        <f>SUM(AM34+AO34)</f>
        <v>0</v>
      </c>
      <c r="AM34" s="594">
        <v>0</v>
      </c>
      <c r="AN34" s="599" t="s">
        <v>36</v>
      </c>
      <c r="AO34" s="594">
        <v>0</v>
      </c>
      <c r="AP34" s="584" t="s">
        <v>36</v>
      </c>
      <c r="AQ34" s="588">
        <f>SUM(AM34-AO34)</f>
        <v>0</v>
      </c>
      <c r="AR34" s="505">
        <v>0</v>
      </c>
      <c r="AS34" s="245">
        <v>0</v>
      </c>
      <c r="AU34"/>
      <c r="AV34" s="549" t="s">
        <v>201</v>
      </c>
      <c r="AW34" s="409">
        <v>8.7609999999999992</v>
      </c>
      <c r="AX34" s="409">
        <v>8.7609999999999992</v>
      </c>
      <c r="AY34" s="409">
        <v>0</v>
      </c>
      <c r="AZ34" s="409">
        <v>8.7609999999999992</v>
      </c>
      <c r="BA34" s="409">
        <v>4.8169000000000004</v>
      </c>
      <c r="BB34" s="409">
        <v>4.8169000000000004</v>
      </c>
      <c r="BC34" s="409">
        <v>0</v>
      </c>
      <c r="BD34" s="409">
        <v>4.8169000000000004</v>
      </c>
      <c r="BE34" s="409">
        <v>4.8169000000000004</v>
      </c>
      <c r="BF34" s="409">
        <v>4.8169000000000004</v>
      </c>
      <c r="BG34" s="409">
        <v>0</v>
      </c>
      <c r="BH34" s="409">
        <v>4.8169000000000004</v>
      </c>
      <c r="BI34" s="409">
        <v>2.3136000000000001</v>
      </c>
      <c r="BJ34" s="409">
        <v>0.24360000000000001</v>
      </c>
      <c r="BK34" s="409">
        <v>2.0699999999999998</v>
      </c>
      <c r="BL34" s="409">
        <v>-1.8263</v>
      </c>
      <c r="BM34" s="550" t="s">
        <v>209</v>
      </c>
      <c r="BN34" s="550" t="s">
        <v>36</v>
      </c>
      <c r="BO34" s="550" t="s">
        <v>128</v>
      </c>
      <c r="BP34" s="550" t="s">
        <v>129</v>
      </c>
    </row>
    <row r="35" spans="1:68" s="204" customFormat="1" ht="14.25" customHeight="1" x14ac:dyDescent="0.2">
      <c r="A35" s="363" t="s">
        <v>5</v>
      </c>
      <c r="B35" s="364"/>
      <c r="C35" s="364"/>
      <c r="D35" s="364"/>
      <c r="E35" s="365"/>
      <c r="F35" s="366"/>
      <c r="G35" s="367"/>
      <c r="H35" s="367"/>
      <c r="I35" s="367"/>
      <c r="J35" s="368"/>
      <c r="K35" s="369"/>
      <c r="L35" s="369"/>
      <c r="M35" s="369"/>
      <c r="N35" s="370"/>
      <c r="O35" s="371"/>
      <c r="P35" s="372"/>
      <c r="Q35" s="373"/>
      <c r="R35" s="372"/>
      <c r="S35" s="370"/>
      <c r="T35" s="372"/>
      <c r="U35" s="372"/>
      <c r="V35" s="372"/>
      <c r="W35" s="370"/>
      <c r="X35" s="370"/>
      <c r="Y35" s="374"/>
      <c r="Z35" s="375">
        <f>SUM(Z33:Z34)</f>
        <v>921.55000000000007</v>
      </c>
      <c r="AA35" s="376">
        <f t="shared" ref="AA35:AQ35" si="5">SUM(AA33:AA34)</f>
        <v>921.33</v>
      </c>
      <c r="AB35" s="376">
        <f t="shared" si="5"/>
        <v>0.22</v>
      </c>
      <c r="AC35" s="377">
        <f t="shared" si="5"/>
        <v>921.11</v>
      </c>
      <c r="AD35" s="404">
        <f t="shared" si="5"/>
        <v>8.7609999999999992</v>
      </c>
      <c r="AE35" s="403">
        <f t="shared" si="5"/>
        <v>8.7609999999999992</v>
      </c>
      <c r="AF35" s="403">
        <f t="shared" si="5"/>
        <v>0</v>
      </c>
      <c r="AG35" s="405">
        <f t="shared" si="5"/>
        <v>8.7609999999999992</v>
      </c>
      <c r="AH35" s="426">
        <f>AI35+AJ35</f>
        <v>4.8169000000000004</v>
      </c>
      <c r="AI35" s="426">
        <f>SUM(AI33:AI34)</f>
        <v>4.8169000000000004</v>
      </c>
      <c r="AJ35" s="426">
        <f>SUM(AJ33:AJ34)</f>
        <v>0</v>
      </c>
      <c r="AK35" s="429">
        <f>AI35-AJ35</f>
        <v>4.8169000000000004</v>
      </c>
      <c r="AL35" s="600">
        <f t="shared" si="5"/>
        <v>2.3135999999999997</v>
      </c>
      <c r="AM35" s="591">
        <f t="shared" si="5"/>
        <v>0.24360000000000001</v>
      </c>
      <c r="AN35" s="601">
        <f>+(AM35-AR35)/AR35*100</f>
        <v>-94.942805538832033</v>
      </c>
      <c r="AO35" s="591">
        <f t="shared" si="5"/>
        <v>2.0699999999999998</v>
      </c>
      <c r="AP35" s="591" t="s">
        <v>36</v>
      </c>
      <c r="AQ35" s="602">
        <f t="shared" si="5"/>
        <v>-1.8263999999999998</v>
      </c>
      <c r="AR35" s="504">
        <f>SUM(AR33:AR34)</f>
        <v>4.8169000000000004</v>
      </c>
      <c r="AS35" s="376">
        <f>SUM(AS33:AS34)</f>
        <v>0</v>
      </c>
      <c r="AU35"/>
      <c r="AV35" s="618"/>
      <c r="AW35" s="551" t="s">
        <v>202</v>
      </c>
      <c r="AX35" s="551" t="s">
        <v>202</v>
      </c>
      <c r="AY35" s="551" t="s">
        <v>128</v>
      </c>
      <c r="AZ35" s="551" t="s">
        <v>202</v>
      </c>
      <c r="BA35" s="551" t="s">
        <v>203</v>
      </c>
      <c r="BB35" s="551" t="s">
        <v>203</v>
      </c>
      <c r="BC35" s="551" t="s">
        <v>128</v>
      </c>
      <c r="BD35" s="551" t="s">
        <v>203</v>
      </c>
      <c r="BE35" s="551" t="s">
        <v>203</v>
      </c>
      <c r="BF35" s="551" t="s">
        <v>203</v>
      </c>
      <c r="BG35" s="551" t="s">
        <v>128</v>
      </c>
      <c r="BH35" s="551" t="s">
        <v>203</v>
      </c>
      <c r="BI35" s="551" t="s">
        <v>204</v>
      </c>
      <c r="BJ35" s="551" t="s">
        <v>205</v>
      </c>
      <c r="BK35" s="551" t="s">
        <v>206</v>
      </c>
      <c r="BL35" s="551" t="s">
        <v>207</v>
      </c>
      <c r="BM35" s="618" t="s">
        <v>209</v>
      </c>
      <c r="BN35" s="618" t="s">
        <v>36</v>
      </c>
      <c r="BO35" s="618" t="s">
        <v>128</v>
      </c>
      <c r="BP35" s="618" t="s">
        <v>129</v>
      </c>
    </row>
    <row r="36" spans="1:68" ht="19.5" customHeight="1" x14ac:dyDescent="0.5">
      <c r="A36" s="272" t="s">
        <v>87</v>
      </c>
      <c r="B36" s="273"/>
      <c r="C36" s="273"/>
      <c r="D36" s="273"/>
      <c r="E36" s="274"/>
      <c r="F36" s="275"/>
      <c r="G36" s="276"/>
      <c r="H36" s="276"/>
      <c r="I36" s="276"/>
      <c r="J36" s="277">
        <f>SUM(J5:J33)+0.01</f>
        <v>134417.38</v>
      </c>
      <c r="K36" s="277" t="e">
        <f>SUM(K7+K13+K22+K29+K33)</f>
        <v>#REF!</v>
      </c>
      <c r="L36" s="277" t="e">
        <f>SUM(L7+L13+L22+L29+L33)</f>
        <v>#REF!</v>
      </c>
      <c r="M36" s="277" t="e">
        <f>SUM(M7+M13+M22+M29+M33)-0.01</f>
        <v>#REF!</v>
      </c>
      <c r="N36" s="278">
        <f>SUM(O36+P36)</f>
        <v>95430.599999999991</v>
      </c>
      <c r="O36" s="279">
        <f>SUM(O7+O13+O22+O29+O33)-0.01</f>
        <v>84087.9</v>
      </c>
      <c r="P36" s="279">
        <f>SUM(P13:P33)</f>
        <v>11342.699999999999</v>
      </c>
      <c r="Q36" s="350">
        <f>SUM(O36-P36)</f>
        <v>72745.2</v>
      </c>
      <c r="R36" s="280">
        <f>SUM(S36+T36)</f>
        <v>263662.71999999997</v>
      </c>
      <c r="S36" s="279">
        <f>SUM(S7:S34)</f>
        <v>235022.70999999996</v>
      </c>
      <c r="T36" s="279">
        <f>SUM(T7:T34)-0.01</f>
        <v>28640.010000000009</v>
      </c>
      <c r="U36" s="280">
        <f>SUM(S36-T36)</f>
        <v>206382.69999999995</v>
      </c>
      <c r="V36" s="280">
        <f>SUM(W36+X36)</f>
        <v>284499.56</v>
      </c>
      <c r="W36" s="279">
        <f>SUM(W7:W34)+0.01</f>
        <v>250397.13</v>
      </c>
      <c r="X36" s="279">
        <f>SUM(X7:X34)+0.01</f>
        <v>34102.43</v>
      </c>
      <c r="Y36" s="286">
        <f>SUM(W36-X36)</f>
        <v>216294.7</v>
      </c>
      <c r="Z36" s="287">
        <f>SUM(Z11+Z20+Z27+Z29+Z31+Z35)+0.02</f>
        <v>121050.69000000002</v>
      </c>
      <c r="AA36" s="288">
        <f>SUM(AA11+AA20+AA27+AA29+AA31+AA35)</f>
        <v>101342.44</v>
      </c>
      <c r="AB36" s="280">
        <f>SUM(AB11+AB20+AB27+AB29+AB31+AB35)+0.02</f>
        <v>19708.25</v>
      </c>
      <c r="AC36" s="281">
        <f>SUM(AC11+AC20+AC27+AC29+AC31+AC35)-0.02</f>
        <v>81634.189999999988</v>
      </c>
      <c r="AD36" s="393">
        <f>SUM(AD11+AD20+AD27+AD29+AD31+AD35)</f>
        <v>125268.31729999998</v>
      </c>
      <c r="AE36" s="288">
        <f>SUM(AE11+AE20+AE27+AE29+AE31+AE35)*1</f>
        <v>101727.6017</v>
      </c>
      <c r="AF36" s="288">
        <f>SUM(AF11+AF20+AF27+AF29+AF31+AF35)</f>
        <v>23540.705600000001</v>
      </c>
      <c r="AG36" s="394">
        <f>SUM(AG11+AG20+AG27+AG29+AG31+AG35)</f>
        <v>78186.896099999984</v>
      </c>
      <c r="AH36" s="503">
        <f>AI36+AJ36</f>
        <v>145382.3285</v>
      </c>
      <c r="AI36" s="503">
        <f>SUM(AI11+AI20+AI27+AI29+AI31+AI35)</f>
        <v>122602.5693</v>
      </c>
      <c r="AJ36" s="503">
        <f>SUM(AJ11+AJ20+AJ27+AJ29+AJ31+AJ35)</f>
        <v>22779.759199999997</v>
      </c>
      <c r="AK36" s="547">
        <f>AI36-AJ36+0.01</f>
        <v>99822.820099999997</v>
      </c>
      <c r="AL36" s="614">
        <f>SUM(AL11+AL20+AL27+AL29+AL31+AL35)</f>
        <v>146415.99779999998</v>
      </c>
      <c r="AM36" s="615">
        <f>SUM(AM11+AM20+AM27+AM29+AM31+AM35)</f>
        <v>126905.22890000002</v>
      </c>
      <c r="AN36" s="616">
        <f>(AM36-AR36)*100/AR36</f>
        <v>14.431573569918296</v>
      </c>
      <c r="AO36" s="615">
        <f>SUM(AO11+AO20+AO27+AO29+AO31+AO35)</f>
        <v>19510.768900000003</v>
      </c>
      <c r="AP36" s="621">
        <f>(AO36-AS36)*100/AS36</f>
        <v>-7.3255712145207115</v>
      </c>
      <c r="AQ36" s="613">
        <f>SUM(AQ11+AQ20+AQ27+AQ29+AQ31+AQ35)</f>
        <v>107394.46000000004</v>
      </c>
      <c r="AR36" s="506">
        <f>SUM(AR11+AR20+AR27+AR29+AR31+AR35)</f>
        <v>110900.5364</v>
      </c>
      <c r="AS36" s="280">
        <f>SUM(AS11+AS20+AS27+AS29+AS31+AS35)</f>
        <v>21053.023099999999</v>
      </c>
      <c r="AU36" s="725"/>
      <c r="AV36" s="725"/>
      <c r="AW36" s="551" t="s">
        <v>130</v>
      </c>
      <c r="AX36" s="551" t="s">
        <v>131</v>
      </c>
      <c r="AY36" s="551" t="s">
        <v>132</v>
      </c>
      <c r="AZ36" s="551" t="s">
        <v>133</v>
      </c>
      <c r="BA36" s="551" t="s">
        <v>134</v>
      </c>
      <c r="BB36" s="551" t="s">
        <v>135</v>
      </c>
      <c r="BC36" s="551" t="s">
        <v>208</v>
      </c>
      <c r="BD36" s="551" t="s">
        <v>137</v>
      </c>
      <c r="BE36" s="551" t="s">
        <v>134</v>
      </c>
      <c r="BF36" s="551" t="s">
        <v>135</v>
      </c>
      <c r="BG36" s="551" t="s">
        <v>208</v>
      </c>
      <c r="BH36" s="551" t="s">
        <v>137</v>
      </c>
      <c r="BI36" s="551" t="s">
        <v>244</v>
      </c>
      <c r="BJ36" s="551" t="s">
        <v>245</v>
      </c>
      <c r="BK36" s="551" t="s">
        <v>246</v>
      </c>
      <c r="BL36" s="551" t="s">
        <v>247</v>
      </c>
      <c r="BM36" s="618" t="s">
        <v>248</v>
      </c>
      <c r="BN36" s="618" t="s">
        <v>249</v>
      </c>
      <c r="BO36" s="618"/>
      <c r="BP36" s="618"/>
    </row>
    <row r="37" spans="1:68" s="7" customFormat="1" ht="22.5" hidden="1" customHeight="1" x14ac:dyDescent="0.2">
      <c r="A37" s="143"/>
      <c r="B37" s="144">
        <v>15298.04</v>
      </c>
      <c r="C37" s="144">
        <v>17281.25</v>
      </c>
      <c r="D37" s="144">
        <v>17613.96</v>
      </c>
      <c r="E37" s="145">
        <v>22608.57</v>
      </c>
      <c r="F37" s="146">
        <v>28271.59</v>
      </c>
      <c r="G37" s="147">
        <v>9107.1200000000008</v>
      </c>
      <c r="H37" s="147">
        <v>33283.469999999994</v>
      </c>
      <c r="I37" s="147">
        <v>47371.8</v>
      </c>
      <c r="J37" s="148">
        <v>42878.66</v>
      </c>
      <c r="K37" s="148" t="e">
        <f>SUM(K7:K10)</f>
        <v>#REF!</v>
      </c>
      <c r="L37" s="148" t="e">
        <f>SUM(L7:L10)</f>
        <v>#REF!</v>
      </c>
      <c r="M37" s="149" t="e">
        <f>SUM(M7:M10)</f>
        <v>#REF!</v>
      </c>
      <c r="N37" s="150"/>
      <c r="O37" s="150">
        <f>SUM(O7:O10)</f>
        <v>51625.85</v>
      </c>
      <c r="P37" s="150"/>
      <c r="Q37" s="150"/>
      <c r="R37" s="151">
        <f>SUM(S37+T37)</f>
        <v>0</v>
      </c>
      <c r="S37" s="150"/>
      <c r="T37" s="150"/>
      <c r="U37" s="150"/>
      <c r="V37" s="150"/>
      <c r="W37" s="150"/>
      <c r="X37" s="150"/>
      <c r="Y37" s="150"/>
      <c r="Z37" s="150"/>
      <c r="AA37" s="195"/>
      <c r="AB37" s="195"/>
      <c r="AC37" s="150"/>
      <c r="AD37" s="395"/>
      <c r="AE37" s="396"/>
      <c r="AF37" s="397"/>
      <c r="AG37" s="395"/>
      <c r="AH37" s="395"/>
      <c r="AI37" s="395"/>
      <c r="AJ37" s="395"/>
      <c r="AK37" s="395"/>
      <c r="AL37" s="603"/>
      <c r="AM37" s="604">
        <f>SUM(AM7:AM10)</f>
        <v>80239.633100000006</v>
      </c>
      <c r="AN37" s="604"/>
      <c r="AO37" s="603">
        <f>SUM(AO7:AO10)</f>
        <v>11478.552299999999</v>
      </c>
      <c r="AP37" s="603"/>
      <c r="AQ37" s="605">
        <f>+(AO37-O37)/AM37*100</f>
        <v>-50.034248848029684</v>
      </c>
      <c r="AR37" s="163"/>
      <c r="AS37" s="163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s="7" customFormat="1" ht="18.75" hidden="1" customHeight="1" x14ac:dyDescent="0.2">
      <c r="A38" s="152"/>
      <c r="B38" s="153">
        <v>476.78</v>
      </c>
      <c r="C38" s="153">
        <v>445.6</v>
      </c>
      <c r="D38" s="153">
        <v>478.15</v>
      </c>
      <c r="E38" s="154">
        <v>962.21</v>
      </c>
      <c r="F38" s="155">
        <v>1202.29</v>
      </c>
      <c r="G38" s="156">
        <v>6.91</v>
      </c>
      <c r="H38" s="156">
        <v>1646.26</v>
      </c>
      <c r="I38" s="156">
        <v>2935.57</v>
      </c>
      <c r="J38" s="157">
        <v>2494.85</v>
      </c>
      <c r="K38" s="158" t="e">
        <f>SUM(#REF!)</f>
        <v>#REF!</v>
      </c>
      <c r="L38" s="159" t="e">
        <f>SUM(#REF!)</f>
        <v>#REF!</v>
      </c>
      <c r="M38" s="158" t="e">
        <f>SUM(#REF!)</f>
        <v>#REF!</v>
      </c>
      <c r="N38" s="160"/>
      <c r="O38" s="160" t="e">
        <f>SUM(#REF!)</f>
        <v>#REF!</v>
      </c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96"/>
      <c r="AB38" s="196"/>
      <c r="AC38" s="160"/>
      <c r="AD38" s="398"/>
      <c r="AE38" s="399"/>
      <c r="AF38" s="400"/>
      <c r="AG38" s="398"/>
      <c r="AH38" s="398"/>
      <c r="AI38" s="398"/>
      <c r="AJ38" s="398"/>
      <c r="AK38" s="398"/>
      <c r="AL38" s="606"/>
      <c r="AM38" s="607" t="e">
        <f>SUM(#REF!)</f>
        <v>#REF!</v>
      </c>
      <c r="AN38" s="607"/>
      <c r="AO38" s="606" t="e">
        <f>SUM(#REF!)</f>
        <v>#REF!</v>
      </c>
      <c r="AP38" s="608"/>
      <c r="AQ38" s="609" t="e">
        <f>+(AO38-AM38)/AM38*100</f>
        <v>#REF!</v>
      </c>
      <c r="AR38" s="164"/>
      <c r="AS38" s="164"/>
    </row>
    <row r="39" spans="1:68" s="8" customFormat="1" ht="18" customHeight="1" x14ac:dyDescent="0.5">
      <c r="A39" s="162" t="s">
        <v>34</v>
      </c>
      <c r="B39" s="162"/>
      <c r="C39" s="162"/>
      <c r="D39" s="162"/>
      <c r="E39" s="162"/>
      <c r="F39" s="48"/>
      <c r="G39" s="48"/>
      <c r="H39" s="48"/>
      <c r="I39" s="48"/>
      <c r="J39" s="48"/>
      <c r="K39" s="48"/>
      <c r="L39" s="4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197"/>
      <c r="AB39" s="197"/>
      <c r="AC39" s="47"/>
      <c r="AD39" s="401"/>
      <c r="AE39" s="402"/>
      <c r="AF39" s="401"/>
      <c r="AG39" s="401"/>
      <c r="AH39" s="401"/>
      <c r="AI39" s="401"/>
      <c r="AJ39" s="401"/>
      <c r="AK39" s="401"/>
      <c r="AL39" s="610"/>
      <c r="AM39" s="610"/>
      <c r="AN39" s="610"/>
      <c r="AO39" s="610"/>
      <c r="AP39" s="610"/>
      <c r="AQ39" s="578" t="s">
        <v>67</v>
      </c>
      <c r="AR39" s="161"/>
      <c r="AS39" s="161"/>
    </row>
    <row r="40" spans="1:68" s="378" customFormat="1" ht="15" customHeight="1" x14ac:dyDescent="0.2">
      <c r="A40" s="380" t="s">
        <v>103</v>
      </c>
      <c r="B40" s="381"/>
      <c r="C40" s="382"/>
      <c r="D40" s="382"/>
      <c r="E40" s="382"/>
      <c r="F40" s="385"/>
      <c r="G40" s="385"/>
      <c r="H40" s="385"/>
      <c r="I40" s="385"/>
      <c r="J40" s="385"/>
      <c r="K40" s="385"/>
      <c r="L40" s="385"/>
      <c r="M40" s="539"/>
      <c r="N40" s="539"/>
      <c r="O40" s="539"/>
      <c r="P40" s="539"/>
      <c r="Q40" s="539"/>
      <c r="R40" s="539"/>
      <c r="S40" s="539"/>
      <c r="T40" s="539"/>
      <c r="U40" s="539"/>
      <c r="V40" s="539"/>
      <c r="W40" s="539"/>
      <c r="X40" s="539"/>
      <c r="Y40" s="539"/>
      <c r="Z40" s="539"/>
      <c r="AA40" s="540"/>
      <c r="AB40" s="540"/>
      <c r="AC40" s="539"/>
      <c r="AD40" s="541"/>
      <c r="AE40" s="542"/>
      <c r="AF40" s="542"/>
      <c r="AG40" s="541"/>
      <c r="AH40" s="541"/>
      <c r="AI40" s="541"/>
      <c r="AJ40" s="541"/>
      <c r="AK40" s="541"/>
      <c r="AL40" s="611"/>
      <c r="AM40" s="611"/>
      <c r="AN40" s="611"/>
      <c r="AO40" s="611"/>
      <c r="AP40" s="611"/>
      <c r="AQ40" s="579" t="s">
        <v>33</v>
      </c>
      <c r="AR40" s="543"/>
      <c r="AS40" s="543"/>
    </row>
    <row r="41" spans="1:68" s="204" customFormat="1" ht="15" customHeight="1" x14ac:dyDescent="0.2">
      <c r="A41" s="384" t="s">
        <v>104</v>
      </c>
      <c r="B41" s="381"/>
      <c r="C41" s="382"/>
      <c r="D41" s="382"/>
      <c r="E41" s="382"/>
      <c r="F41" s="385"/>
      <c r="G41" s="385"/>
      <c r="H41" s="385"/>
      <c r="I41" s="385"/>
      <c r="J41" s="385"/>
      <c r="K41" s="385"/>
      <c r="L41" s="385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40"/>
      <c r="AB41" s="540"/>
      <c r="AC41" s="539"/>
      <c r="AD41" s="539"/>
      <c r="AE41" s="540"/>
      <c r="AF41" s="540"/>
      <c r="AG41" s="539"/>
      <c r="AH41" s="539"/>
      <c r="AI41" s="539"/>
      <c r="AJ41" s="539"/>
      <c r="AK41" s="539"/>
      <c r="AL41" s="611"/>
      <c r="AM41" s="611"/>
      <c r="AN41" s="611"/>
      <c r="AO41" s="611"/>
      <c r="AP41" s="611"/>
      <c r="AQ41" s="579" t="s">
        <v>6</v>
      </c>
      <c r="AR41" s="543"/>
      <c r="AS41" s="543"/>
    </row>
    <row r="42" spans="1:68" s="204" customFormat="1" ht="15" customHeight="1" x14ac:dyDescent="0.2">
      <c r="A42" s="380" t="s">
        <v>105</v>
      </c>
      <c r="B42" s="384"/>
      <c r="C42" s="169"/>
      <c r="D42" s="169"/>
      <c r="E42" s="169"/>
      <c r="F42" s="385"/>
      <c r="G42" s="385"/>
      <c r="H42" s="385"/>
      <c r="I42" s="385"/>
      <c r="J42" s="385"/>
      <c r="K42" s="385"/>
      <c r="L42" s="385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40"/>
      <c r="AB42" s="540"/>
      <c r="AC42" s="539"/>
      <c r="AD42" s="539"/>
      <c r="AE42" s="540"/>
      <c r="AF42" s="540"/>
      <c r="AG42" s="539"/>
      <c r="AH42" s="539"/>
      <c r="AI42" s="539"/>
      <c r="AJ42" s="539"/>
      <c r="AK42" s="539"/>
      <c r="AL42" s="611"/>
      <c r="AM42" s="611"/>
      <c r="AN42" s="611"/>
      <c r="AO42" s="611"/>
      <c r="AP42" s="611"/>
      <c r="AQ42" s="579"/>
      <c r="AR42" s="544"/>
      <c r="AS42" s="544"/>
    </row>
    <row r="43" spans="1:68" s="204" customFormat="1" ht="15" customHeight="1" x14ac:dyDescent="0.2">
      <c r="A43" s="385" t="s">
        <v>121</v>
      </c>
      <c r="AA43" s="538"/>
      <c r="AB43" s="538"/>
      <c r="AE43" s="538"/>
      <c r="AF43" s="538"/>
      <c r="AL43" s="612"/>
      <c r="AM43" s="612"/>
      <c r="AN43" s="612"/>
      <c r="AO43" s="612"/>
      <c r="AP43" s="612"/>
      <c r="AQ43" s="612"/>
    </row>
    <row r="44" spans="1:68" s="204" customFormat="1" ht="15" customHeight="1" x14ac:dyDescent="0.2">
      <c r="A44" s="514" t="s">
        <v>120</v>
      </c>
      <c r="AA44" s="538"/>
      <c r="AB44" s="538"/>
      <c r="AE44" s="538"/>
      <c r="AF44" s="538"/>
      <c r="AL44" s="612"/>
      <c r="AM44" s="612"/>
      <c r="AN44" s="612"/>
      <c r="AO44" s="612"/>
      <c r="AP44" s="612"/>
      <c r="AQ44" s="612"/>
    </row>
  </sheetData>
  <mergeCells count="74">
    <mergeCell ref="BM3:BN3"/>
    <mergeCell ref="BO3:BP3"/>
    <mergeCell ref="AW4:AW5"/>
    <mergeCell ref="AX4:AX5"/>
    <mergeCell ref="AY4:AY5"/>
    <mergeCell ref="AZ4:AZ5"/>
    <mergeCell ref="BA4:BA5"/>
    <mergeCell ref="BB4:BB5"/>
    <mergeCell ref="BC4:BC5"/>
    <mergeCell ref="BD4:BD5"/>
    <mergeCell ref="BP4:BP5"/>
    <mergeCell ref="BM4:BM5"/>
    <mergeCell ref="BN4:BN5"/>
    <mergeCell ref="BO4:BO5"/>
    <mergeCell ref="AU1:BI1"/>
    <mergeCell ref="AU3:AV5"/>
    <mergeCell ref="AW3:AZ3"/>
    <mergeCell ref="BA3:BD3"/>
    <mergeCell ref="BE3:BL3"/>
    <mergeCell ref="BE4:BH4"/>
    <mergeCell ref="BI4:BL4"/>
    <mergeCell ref="A1:AQ1"/>
    <mergeCell ref="A2:AQ2"/>
    <mergeCell ref="R4:U4"/>
    <mergeCell ref="V4:Y4"/>
    <mergeCell ref="Z4:AC4"/>
    <mergeCell ref="A21:AQ21"/>
    <mergeCell ref="L4:L5"/>
    <mergeCell ref="AR14:AR15"/>
    <mergeCell ref="AE14:AE15"/>
    <mergeCell ref="AF14:AF15"/>
    <mergeCell ref="AQ14:AQ15"/>
    <mergeCell ref="A4:A5"/>
    <mergeCell ref="E4:E5"/>
    <mergeCell ref="F4:F5"/>
    <mergeCell ref="G4:G5"/>
    <mergeCell ref="H4:H5"/>
    <mergeCell ref="I4:I5"/>
    <mergeCell ref="J4:J5"/>
    <mergeCell ref="K4:K5"/>
    <mergeCell ref="M4:M5"/>
    <mergeCell ref="N4:Q4"/>
    <mergeCell ref="AS14:AS15"/>
    <mergeCell ref="AH4:AK4"/>
    <mergeCell ref="AI14:AI15"/>
    <mergeCell ref="AJ14:AJ15"/>
    <mergeCell ref="AK14:AK15"/>
    <mergeCell ref="AH14:AH15"/>
    <mergeCell ref="AR4:AS4"/>
    <mergeCell ref="A6:AQ6"/>
    <mergeCell ref="A12:AQ12"/>
    <mergeCell ref="A28:AQ28"/>
    <mergeCell ref="A30:AQ30"/>
    <mergeCell ref="A32:AQ32"/>
    <mergeCell ref="AD4:AG4"/>
    <mergeCell ref="AL4:AQ4"/>
    <mergeCell ref="Z14:Z15"/>
    <mergeCell ref="AA14:AA15"/>
    <mergeCell ref="AB14:AB15"/>
    <mergeCell ref="AC14:AC15"/>
    <mergeCell ref="AG14:AG15"/>
    <mergeCell ref="AL14:AL15"/>
    <mergeCell ref="AM14:AM15"/>
    <mergeCell ref="AN14:AN15"/>
    <mergeCell ref="AO14:AO15"/>
    <mergeCell ref="AP14:AP15"/>
    <mergeCell ref="AD14:AD15"/>
    <mergeCell ref="AU6:BP6"/>
    <mergeCell ref="AU36:AV36"/>
    <mergeCell ref="AU12:BP12"/>
    <mergeCell ref="AU20:BP20"/>
    <mergeCell ref="AU27:BP27"/>
    <mergeCell ref="AU30:BP30"/>
    <mergeCell ref="AU33:BP33"/>
  </mergeCells>
  <pageMargins left="0.39370078740157483" right="0.19685039370078741" top="0.55118110236220474" bottom="0.15748031496062992" header="0.11811023622047245" footer="0.11811023622047245"/>
  <pageSetup orientation="portrait" r:id="rId1"/>
  <headerFooter>
    <oddHeader>&amp;C&amp;"AngsanaUPC,Regular"&amp;16-34-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Layout" zoomScale="120" zoomScaleNormal="96" zoomScalePageLayoutView="120" workbookViewId="0">
      <selection activeCell="H1" sqref="H1:I1048576"/>
    </sheetView>
  </sheetViews>
  <sheetFormatPr defaultColWidth="9.125" defaultRowHeight="23.25" x14ac:dyDescent="0.5"/>
  <cols>
    <col min="1" max="1" width="6.125" style="9" customWidth="1"/>
    <col min="2" max="2" width="33.25" style="9" customWidth="1"/>
    <col min="3" max="4" width="10.125" style="9" customWidth="1"/>
    <col min="5" max="6" width="10.125" style="437" customWidth="1"/>
    <col min="7" max="7" width="6.875" style="9" customWidth="1"/>
    <col min="8" max="16384" width="9.125" style="9"/>
  </cols>
  <sheetData>
    <row r="1" spans="1:15" ht="26.25" customHeight="1" x14ac:dyDescent="0.5">
      <c r="A1" s="765" t="s">
        <v>62</v>
      </c>
      <c r="B1" s="765"/>
      <c r="C1" s="765"/>
      <c r="D1" s="765"/>
      <c r="E1" s="765"/>
      <c r="F1" s="765"/>
      <c r="G1" s="765"/>
    </row>
    <row r="2" spans="1:15" ht="22.9" customHeight="1" x14ac:dyDescent="0.5">
      <c r="A2" s="704" t="s">
        <v>321</v>
      </c>
      <c r="B2" s="704"/>
      <c r="C2" s="704"/>
      <c r="D2" s="704"/>
      <c r="E2" s="704"/>
      <c r="F2" s="704"/>
      <c r="G2" s="704"/>
      <c r="H2" s="389"/>
      <c r="I2" s="389"/>
      <c r="J2" s="389"/>
      <c r="K2" s="389"/>
      <c r="L2" s="389"/>
      <c r="M2" s="389"/>
      <c r="N2" s="389"/>
      <c r="O2" s="389"/>
    </row>
    <row r="3" spans="1:15" ht="23.25" customHeight="1" x14ac:dyDescent="0.55000000000000004">
      <c r="A3" s="165" t="s">
        <v>39</v>
      </c>
      <c r="B3" s="166"/>
      <c r="C3" s="166"/>
      <c r="D3" s="166"/>
      <c r="E3" s="432"/>
      <c r="F3" s="432"/>
      <c r="G3" s="180" t="s">
        <v>26</v>
      </c>
    </row>
    <row r="4" spans="1:15" ht="18" customHeight="1" x14ac:dyDescent="0.5">
      <c r="A4" s="766" t="s">
        <v>24</v>
      </c>
      <c r="B4" s="766" t="s">
        <v>30</v>
      </c>
      <c r="C4" s="772">
        <v>2560</v>
      </c>
      <c r="D4" s="772">
        <v>2561</v>
      </c>
      <c r="E4" s="438">
        <v>2561</v>
      </c>
      <c r="F4" s="439">
        <v>2562</v>
      </c>
      <c r="G4" s="768" t="s">
        <v>59</v>
      </c>
    </row>
    <row r="5" spans="1:15" ht="18" customHeight="1" x14ac:dyDescent="0.5">
      <c r="A5" s="770"/>
      <c r="B5" s="770"/>
      <c r="C5" s="773"/>
      <c r="D5" s="773"/>
      <c r="E5" s="766" t="s">
        <v>322</v>
      </c>
      <c r="F5" s="766"/>
      <c r="G5" s="769"/>
    </row>
    <row r="6" spans="1:15" ht="17.25" customHeight="1" x14ac:dyDescent="0.5">
      <c r="A6" s="511">
        <v>1</v>
      </c>
      <c r="B6" s="774" t="s">
        <v>138</v>
      </c>
      <c r="C6" s="775">
        <v>10172.475972</v>
      </c>
      <c r="D6" s="775">
        <v>12992.874878000001</v>
      </c>
      <c r="E6" s="776">
        <v>12992.874878000001</v>
      </c>
      <c r="F6" s="776">
        <v>14941.492388999999</v>
      </c>
      <c r="G6" s="513">
        <f>+(F6-E6)/E6*100</f>
        <v>14.997585440459119</v>
      </c>
    </row>
    <row r="7" spans="1:15" ht="18.75" customHeight="1" x14ac:dyDescent="0.5">
      <c r="A7" s="511">
        <v>2</v>
      </c>
      <c r="B7" s="774" t="s">
        <v>114</v>
      </c>
      <c r="C7" s="775">
        <v>5539.4793309999995</v>
      </c>
      <c r="D7" s="775">
        <v>7700.4584720000003</v>
      </c>
      <c r="E7" s="776">
        <v>7700.4584720000003</v>
      </c>
      <c r="F7" s="776">
        <v>13449.468612000001</v>
      </c>
      <c r="G7" s="513">
        <f t="shared" ref="G7:G18" si="0">+(F7-E7)/E7*100</f>
        <v>74.658024076153993</v>
      </c>
    </row>
    <row r="8" spans="1:15" ht="18.75" customHeight="1" x14ac:dyDescent="0.5">
      <c r="A8" s="511">
        <v>3</v>
      </c>
      <c r="B8" s="774" t="s">
        <v>51</v>
      </c>
      <c r="C8" s="775">
        <v>6206.5231940000003</v>
      </c>
      <c r="D8" s="775">
        <v>6444.6233249999996</v>
      </c>
      <c r="E8" s="776">
        <v>6444.6233249999996</v>
      </c>
      <c r="F8" s="776">
        <v>6225.8296419999997</v>
      </c>
      <c r="G8" s="513">
        <f t="shared" si="0"/>
        <v>-3.3949801558029757</v>
      </c>
    </row>
    <row r="9" spans="1:15" ht="18.75" customHeight="1" x14ac:dyDescent="0.5">
      <c r="A9" s="511">
        <v>4</v>
      </c>
      <c r="B9" s="774" t="s">
        <v>139</v>
      </c>
      <c r="C9" s="775">
        <v>4714.2996210000001</v>
      </c>
      <c r="D9" s="775">
        <v>5584.3996230000002</v>
      </c>
      <c r="E9" s="776">
        <v>5584.3996230000002</v>
      </c>
      <c r="F9" s="776">
        <v>5732.1940889999996</v>
      </c>
      <c r="G9" s="513">
        <f t="shared" si="0"/>
        <v>2.6465596299965828</v>
      </c>
    </row>
    <row r="10" spans="1:15" ht="18.75" customHeight="1" x14ac:dyDescent="0.5">
      <c r="A10" s="511">
        <v>5</v>
      </c>
      <c r="B10" s="774" t="s">
        <v>109</v>
      </c>
      <c r="C10" s="775">
        <v>1274.264158</v>
      </c>
      <c r="D10" s="775">
        <v>1806.5277659999999</v>
      </c>
      <c r="E10" s="776">
        <v>1806.5277659999999</v>
      </c>
      <c r="F10" s="776">
        <v>4350.6004709999997</v>
      </c>
      <c r="G10" s="513">
        <f t="shared" si="0"/>
        <v>140.82665945583921</v>
      </c>
    </row>
    <row r="11" spans="1:15" ht="18.75" customHeight="1" x14ac:dyDescent="0.5">
      <c r="A11" s="511">
        <v>6</v>
      </c>
      <c r="B11" s="774" t="s">
        <v>50</v>
      </c>
      <c r="C11" s="775">
        <v>3129.4512810000001</v>
      </c>
      <c r="D11" s="775">
        <v>3569.4831279999999</v>
      </c>
      <c r="E11" s="776">
        <v>3569.4831279999999</v>
      </c>
      <c r="F11" s="776">
        <v>4083.2421300000001</v>
      </c>
      <c r="G11" s="513">
        <f>+(F11-E11)/E11*100</f>
        <v>14.393092321124435</v>
      </c>
    </row>
    <row r="12" spans="1:15" ht="18.75" customHeight="1" x14ac:dyDescent="0.5">
      <c r="A12" s="511">
        <v>7</v>
      </c>
      <c r="B12" s="774" t="s">
        <v>57</v>
      </c>
      <c r="C12" s="775">
        <v>3168.3056019999999</v>
      </c>
      <c r="D12" s="775">
        <v>3775.068538</v>
      </c>
      <c r="E12" s="776">
        <v>3775.068538</v>
      </c>
      <c r="F12" s="776">
        <v>3752.0948659999999</v>
      </c>
      <c r="G12" s="513">
        <f t="shared" si="0"/>
        <v>-0.60856304378969872</v>
      </c>
    </row>
    <row r="13" spans="1:15" ht="18.75" customHeight="1" x14ac:dyDescent="0.5">
      <c r="A13" s="511">
        <v>8</v>
      </c>
      <c r="B13" s="774" t="s">
        <v>64</v>
      </c>
      <c r="C13" s="775">
        <v>2442.9365699999998</v>
      </c>
      <c r="D13" s="775">
        <v>3599.732375</v>
      </c>
      <c r="E13" s="776">
        <v>3599.732375</v>
      </c>
      <c r="F13" s="776">
        <v>3658.945115</v>
      </c>
      <c r="G13" s="513">
        <f t="shared" si="0"/>
        <v>1.6449206171889359</v>
      </c>
    </row>
    <row r="14" spans="1:15" ht="18.75" customHeight="1" x14ac:dyDescent="0.5">
      <c r="A14" s="511">
        <v>9</v>
      </c>
      <c r="B14" s="774" t="s">
        <v>108</v>
      </c>
      <c r="C14" s="775">
        <v>2190.756594</v>
      </c>
      <c r="D14" s="775">
        <v>2654.7381439999999</v>
      </c>
      <c r="E14" s="776">
        <v>2654.7381439999999</v>
      </c>
      <c r="F14" s="776">
        <v>3314.1128819999999</v>
      </c>
      <c r="G14" s="513">
        <f t="shared" si="0"/>
        <v>24.837656380169147</v>
      </c>
    </row>
    <row r="15" spans="1:15" ht="18.75" customHeight="1" x14ac:dyDescent="0.5">
      <c r="A15" s="511">
        <v>10</v>
      </c>
      <c r="B15" s="774" t="s">
        <v>319</v>
      </c>
      <c r="C15" s="775">
        <v>291.90713799999997</v>
      </c>
      <c r="D15" s="775">
        <v>2464.6075959999998</v>
      </c>
      <c r="E15" s="776">
        <v>2464.6075959999998</v>
      </c>
      <c r="F15" s="776">
        <v>3112.1926410000001</v>
      </c>
      <c r="G15" s="513">
        <f t="shared" si="0"/>
        <v>26.275381365009814</v>
      </c>
    </row>
    <row r="16" spans="1:15" ht="18.75" customHeight="1" x14ac:dyDescent="0.5">
      <c r="A16" s="512"/>
      <c r="B16" s="581" t="s">
        <v>25</v>
      </c>
      <c r="C16" s="777">
        <v>39130.399461000001</v>
      </c>
      <c r="D16" s="777">
        <v>50592.513845000001</v>
      </c>
      <c r="E16" s="777">
        <v>50592.513845000001</v>
      </c>
      <c r="F16" s="777">
        <v>62620.172836999998</v>
      </c>
      <c r="G16" s="582">
        <f t="shared" si="0"/>
        <v>23.773594308535586</v>
      </c>
    </row>
    <row r="17" spans="1:7" ht="18.75" customHeight="1" x14ac:dyDescent="0.5">
      <c r="A17" s="351"/>
      <c r="B17" s="581" t="s">
        <v>54</v>
      </c>
      <c r="C17" s="777">
        <v>62597.202622999997</v>
      </c>
      <c r="D17" s="777">
        <v>72010.057493999993</v>
      </c>
      <c r="E17" s="777">
        <v>72010.057493999993</v>
      </c>
      <c r="F17" s="777">
        <v>77461.455237000002</v>
      </c>
      <c r="G17" s="582">
        <f t="shared" si="0"/>
        <v>7.5703282745666858</v>
      </c>
    </row>
    <row r="18" spans="1:7" ht="20.25" customHeight="1" x14ac:dyDescent="0.5">
      <c r="A18" s="351"/>
      <c r="B18" s="581" t="s">
        <v>9</v>
      </c>
      <c r="C18" s="777">
        <v>101727.602084</v>
      </c>
      <c r="D18" s="777">
        <v>122602.571339</v>
      </c>
      <c r="E18" s="777">
        <v>122602.571339</v>
      </c>
      <c r="F18" s="777">
        <v>140081.62807400001</v>
      </c>
      <c r="G18" s="582">
        <f t="shared" si="0"/>
        <v>14.256680381253881</v>
      </c>
    </row>
    <row r="19" spans="1:7" ht="23.25" customHeight="1" x14ac:dyDescent="0.5">
      <c r="A19" s="554" t="s">
        <v>28</v>
      </c>
      <c r="B19" s="167"/>
      <c r="C19" s="555"/>
      <c r="D19" s="555"/>
      <c r="E19" s="556"/>
      <c r="F19" s="556"/>
      <c r="G19" s="557" t="s">
        <v>26</v>
      </c>
    </row>
    <row r="20" spans="1:7" ht="15.75" customHeight="1" x14ac:dyDescent="0.5">
      <c r="A20" s="771" t="s">
        <v>24</v>
      </c>
      <c r="B20" s="766" t="s">
        <v>31</v>
      </c>
      <c r="C20" s="772">
        <v>2560</v>
      </c>
      <c r="D20" s="772">
        <v>2561</v>
      </c>
      <c r="E20" s="438">
        <v>2561</v>
      </c>
      <c r="F20" s="439">
        <v>2562</v>
      </c>
      <c r="G20" s="768" t="s">
        <v>59</v>
      </c>
    </row>
    <row r="21" spans="1:7" ht="15.75" customHeight="1" x14ac:dyDescent="0.5">
      <c r="A21" s="766"/>
      <c r="B21" s="770"/>
      <c r="C21" s="773"/>
      <c r="D21" s="773"/>
      <c r="E21" s="766" t="s">
        <v>322</v>
      </c>
      <c r="F21" s="766"/>
      <c r="G21" s="769"/>
    </row>
    <row r="22" spans="1:7" ht="18.75" customHeight="1" x14ac:dyDescent="0.5">
      <c r="A22" s="168">
        <v>1</v>
      </c>
      <c r="B22" s="774" t="s">
        <v>71</v>
      </c>
      <c r="C22" s="775">
        <v>9874.1006309999993</v>
      </c>
      <c r="D22" s="775">
        <v>6561.7308139999996</v>
      </c>
      <c r="E22" s="776">
        <v>6561.7308139999996</v>
      </c>
      <c r="F22" s="776">
        <v>6190.1067949999997</v>
      </c>
      <c r="G22" s="513">
        <f>+(F22-E22)/E22*100</f>
        <v>-5.6635060098337018</v>
      </c>
    </row>
    <row r="23" spans="1:7" ht="18.75" customHeight="1" x14ac:dyDescent="0.5">
      <c r="A23" s="168">
        <v>2</v>
      </c>
      <c r="B23" s="774" t="s">
        <v>72</v>
      </c>
      <c r="C23" s="775">
        <v>3463.0843359999999</v>
      </c>
      <c r="D23" s="775">
        <v>3980.2242449999999</v>
      </c>
      <c r="E23" s="776">
        <v>3980.2242449999999</v>
      </c>
      <c r="F23" s="776">
        <v>3838.817497</v>
      </c>
      <c r="G23" s="513">
        <f t="shared" ref="G23:G33" si="1">+(F23-E23)/E23*100</f>
        <v>-3.5527331953127148</v>
      </c>
    </row>
    <row r="24" spans="1:7" ht="18.75" customHeight="1" x14ac:dyDescent="0.5">
      <c r="A24" s="168">
        <v>3</v>
      </c>
      <c r="B24" s="774" t="s">
        <v>52</v>
      </c>
      <c r="C24" s="775">
        <v>2904.226631</v>
      </c>
      <c r="D24" s="775">
        <v>3525.872613</v>
      </c>
      <c r="E24" s="776">
        <v>3525.872613</v>
      </c>
      <c r="F24" s="776">
        <v>2873.8656879999999</v>
      </c>
      <c r="G24" s="513">
        <f t="shared" si="1"/>
        <v>-18.492072645960906</v>
      </c>
    </row>
    <row r="25" spans="1:7" ht="18.75" customHeight="1" x14ac:dyDescent="0.5">
      <c r="A25" s="168">
        <v>4</v>
      </c>
      <c r="B25" s="774" t="s">
        <v>53</v>
      </c>
      <c r="C25" s="775">
        <v>1608.376397</v>
      </c>
      <c r="D25" s="775">
        <v>1840.2662049999999</v>
      </c>
      <c r="E25" s="776">
        <v>1840.2662049999999</v>
      </c>
      <c r="F25" s="776">
        <v>1839.7697920000001</v>
      </c>
      <c r="G25" s="513">
        <f t="shared" si="1"/>
        <v>-2.6975064729825197E-2</v>
      </c>
    </row>
    <row r="26" spans="1:7" ht="18.75" customHeight="1" x14ac:dyDescent="0.5">
      <c r="A26" s="168">
        <v>5</v>
      </c>
      <c r="B26" s="774" t="s">
        <v>58</v>
      </c>
      <c r="C26" s="775">
        <v>530.14989600000001</v>
      </c>
      <c r="D26" s="775">
        <v>781.008377</v>
      </c>
      <c r="E26" s="776">
        <v>781.008377</v>
      </c>
      <c r="F26" s="776">
        <v>745.945065</v>
      </c>
      <c r="G26" s="513">
        <f t="shared" si="1"/>
        <v>-4.4894924347271115</v>
      </c>
    </row>
    <row r="27" spans="1:7" ht="18.75" customHeight="1" x14ac:dyDescent="0.5">
      <c r="A27" s="168">
        <v>6</v>
      </c>
      <c r="B27" s="774" t="s">
        <v>100</v>
      </c>
      <c r="C27" s="775">
        <v>198.88474199999999</v>
      </c>
      <c r="D27" s="775">
        <v>372.57153299999999</v>
      </c>
      <c r="E27" s="776">
        <v>372.57153299999999</v>
      </c>
      <c r="F27" s="776">
        <v>636.41625899999997</v>
      </c>
      <c r="G27" s="513">
        <f t="shared" si="1"/>
        <v>70.817199552387706</v>
      </c>
    </row>
    <row r="28" spans="1:7" ht="18.75" customHeight="1" x14ac:dyDescent="0.5">
      <c r="A28" s="168">
        <v>7</v>
      </c>
      <c r="B28" s="774" t="s">
        <v>55</v>
      </c>
      <c r="C28" s="775">
        <v>873.14761499999997</v>
      </c>
      <c r="D28" s="775">
        <v>828.52086899999995</v>
      </c>
      <c r="E28" s="776">
        <v>828.52086899999995</v>
      </c>
      <c r="F28" s="776">
        <v>634.29594299999997</v>
      </c>
      <c r="G28" s="513">
        <f t="shared" si="1"/>
        <v>-23.442369802274708</v>
      </c>
    </row>
    <row r="29" spans="1:7" s="10" customFormat="1" ht="17.25" customHeight="1" x14ac:dyDescent="0.4">
      <c r="A29" s="168">
        <v>8</v>
      </c>
      <c r="B29" s="774" t="s">
        <v>140</v>
      </c>
      <c r="C29" s="775">
        <v>545.38120100000003</v>
      </c>
      <c r="D29" s="775">
        <v>499.20917200000002</v>
      </c>
      <c r="E29" s="776">
        <v>499.20917200000002</v>
      </c>
      <c r="F29" s="776">
        <v>458.16263199999997</v>
      </c>
      <c r="G29" s="513">
        <f t="shared" si="1"/>
        <v>-8.2223128704854904</v>
      </c>
    </row>
    <row r="30" spans="1:7" s="11" customFormat="1" ht="17.25" customHeight="1" x14ac:dyDescent="0.4">
      <c r="A30" s="168">
        <v>9</v>
      </c>
      <c r="B30" s="774" t="s">
        <v>214</v>
      </c>
      <c r="C30" s="775">
        <v>118.147127</v>
      </c>
      <c r="D30" s="775">
        <v>278.73621400000002</v>
      </c>
      <c r="E30" s="776">
        <v>278.73621400000002</v>
      </c>
      <c r="F30" s="776">
        <v>374.52963699999998</v>
      </c>
      <c r="G30" s="513">
        <f t="shared" si="1"/>
        <v>34.367053216845356</v>
      </c>
    </row>
    <row r="31" spans="1:7" ht="18" customHeight="1" x14ac:dyDescent="0.5">
      <c r="A31" s="168">
        <v>10</v>
      </c>
      <c r="B31" s="774" t="s">
        <v>320</v>
      </c>
      <c r="C31" s="775">
        <v>690.42346799999996</v>
      </c>
      <c r="D31" s="775">
        <v>635.93477499999995</v>
      </c>
      <c r="E31" s="776">
        <v>635.93477499999995</v>
      </c>
      <c r="F31" s="776">
        <v>359.75341600000002</v>
      </c>
      <c r="G31" s="513">
        <f t="shared" si="1"/>
        <v>-43.429195863679567</v>
      </c>
    </row>
    <row r="32" spans="1:7" s="25" customFormat="1" ht="21" customHeight="1" x14ac:dyDescent="0.2">
      <c r="A32" s="351"/>
      <c r="B32" s="581" t="s">
        <v>25</v>
      </c>
      <c r="C32" s="777">
        <v>20805.922043999999</v>
      </c>
      <c r="D32" s="777">
        <v>19304.074817000001</v>
      </c>
      <c r="E32" s="777">
        <v>19304.074817000001</v>
      </c>
      <c r="F32" s="777">
        <v>17951.662724000002</v>
      </c>
      <c r="G32" s="582">
        <f t="shared" si="1"/>
        <v>-7.0058373986874862</v>
      </c>
    </row>
    <row r="33" spans="1:7" s="5" customFormat="1" ht="17.25" customHeight="1" x14ac:dyDescent="0.5">
      <c r="A33" s="351"/>
      <c r="B33" s="581" t="s">
        <v>54</v>
      </c>
      <c r="C33" s="777">
        <v>2734.78386</v>
      </c>
      <c r="D33" s="777">
        <v>3475.6807680000002</v>
      </c>
      <c r="E33" s="777">
        <v>3475.6807680000002</v>
      </c>
      <c r="F33" s="777">
        <v>3229.1228169999999</v>
      </c>
      <c r="G33" s="582">
        <f t="shared" si="1"/>
        <v>-7.0938031268584041</v>
      </c>
    </row>
    <row r="34" spans="1:7" s="5" customFormat="1" ht="18.75" customHeight="1" x14ac:dyDescent="0.5">
      <c r="A34" s="351"/>
      <c r="B34" s="581" t="s">
        <v>9</v>
      </c>
      <c r="C34" s="777">
        <v>23540.705903999999</v>
      </c>
      <c r="D34" s="777">
        <v>22779.755584999999</v>
      </c>
      <c r="E34" s="777">
        <v>22779.755584999999</v>
      </c>
      <c r="F34" s="777">
        <v>21180.785541000001</v>
      </c>
      <c r="G34" s="582">
        <f>+(F34-E34)/E34*100</f>
        <v>-7.019258999657076</v>
      </c>
    </row>
    <row r="35" spans="1:7" s="204" customFormat="1" ht="17.25" customHeight="1" x14ac:dyDescent="0.2">
      <c r="A35" s="379" t="s">
        <v>35</v>
      </c>
      <c r="B35" s="169"/>
      <c r="C35" s="570"/>
      <c r="D35" s="570"/>
      <c r="E35" s="433"/>
      <c r="F35" s="433"/>
      <c r="G35" s="26" t="s">
        <v>67</v>
      </c>
    </row>
    <row r="36" spans="1:7" s="383" customFormat="1" ht="17.25" customHeight="1" x14ac:dyDescent="0.2">
      <c r="A36" s="380" t="s">
        <v>103</v>
      </c>
      <c r="B36" s="381"/>
      <c r="C36" s="570"/>
      <c r="D36" s="570"/>
      <c r="E36" s="433"/>
      <c r="F36" s="433"/>
      <c r="G36" s="570" t="s">
        <v>33</v>
      </c>
    </row>
    <row r="37" spans="1:7" s="383" customFormat="1" ht="17.25" customHeight="1" x14ac:dyDescent="0.2">
      <c r="A37" s="384" t="s">
        <v>104</v>
      </c>
      <c r="B37" s="381"/>
      <c r="C37" s="169"/>
      <c r="D37" s="169"/>
      <c r="E37" s="434"/>
      <c r="F37" s="767" t="s">
        <v>6</v>
      </c>
      <c r="G37" s="767"/>
    </row>
    <row r="38" spans="1:7" s="383" customFormat="1" ht="17.25" customHeight="1" x14ac:dyDescent="0.2">
      <c r="A38" s="380" t="s">
        <v>105</v>
      </c>
      <c r="B38" s="384"/>
      <c r="C38" s="384"/>
      <c r="D38" s="384"/>
      <c r="E38" s="435"/>
      <c r="F38" s="435"/>
      <c r="G38" s="384"/>
    </row>
    <row r="39" spans="1:7" s="383" customFormat="1" ht="17.25" customHeight="1" x14ac:dyDescent="0.2">
      <c r="A39" s="385" t="s">
        <v>121</v>
      </c>
      <c r="E39" s="436"/>
      <c r="F39" s="436"/>
    </row>
    <row r="40" spans="1:7" x14ac:dyDescent="0.5">
      <c r="A40" s="514" t="s">
        <v>120</v>
      </c>
    </row>
  </sheetData>
  <mergeCells count="15"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  <mergeCell ref="A1:G1"/>
    <mergeCell ref="A2:G2"/>
    <mergeCell ref="E21:F21"/>
  </mergeCells>
  <phoneticPr fontId="19" type="noConversion"/>
  <pageMargins left="0.52" right="0.16" top="0.60763888888888884" bottom="0.18" header="0.19" footer="0.17"/>
  <pageSetup paperSize="9" orientation="portrait" r:id="rId1"/>
  <headerFooter>
    <oddHeader xml:space="preserve">&amp;C&amp;"AngsanaUPC,Regular"&amp;16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กัมพูชา</vt:lpstr>
      <vt:lpstr>เดือน</vt:lpstr>
      <vt:lpstr>จว</vt:lpstr>
      <vt:lpstr>Sheet1</vt:lpstr>
      <vt:lpstr>สินค้า</vt:lpstr>
      <vt:lpstr>Sheet1!Print_Area</vt:lpstr>
      <vt:lpstr>กัมพูชา!Print_Area</vt:lpstr>
      <vt:lpstr>จว!Print_Area</vt:lpstr>
      <vt:lpstr>เดือน!Print_Area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2020-05-15T09:01:23Z</dcterms:modified>
</cp:coreProperties>
</file>