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65" windowWidth="12825" windowHeight="12795" tabRatio="805" activeTab="1"/>
  </bookViews>
  <sheets>
    <sheet name="จว" sheetId="1" r:id="rId1"/>
    <sheet name="สินค้า" sheetId="3" r:id="rId2"/>
  </sheets>
  <definedNames>
    <definedName name="_xlnm.Print_Area" localSheetId="0">จว!$A$1:$BY$18</definedName>
    <definedName name="_xlnm.Print_Area" localSheetId="1">สินค้า!$A$1:$G$40</definedName>
  </definedNames>
  <calcPr calcId="144525"/>
</workbook>
</file>

<file path=xl/calcChain.xml><?xml version="1.0" encoding="utf-8"?>
<calcChain xmlns="http://schemas.openxmlformats.org/spreadsheetml/2006/main">
  <c r="BT12" i="1" l="1"/>
  <c r="BS12" i="1" l="1"/>
  <c r="BV11" i="1" l="1"/>
  <c r="BW12" i="1" l="1"/>
  <c r="BR12" i="1" l="1"/>
  <c r="BO12" i="1"/>
  <c r="G34" i="3" l="1"/>
  <c r="BS7" i="1" l="1"/>
  <c r="BS8" i="1"/>
  <c r="BS9" i="1"/>
  <c r="BS10" i="1"/>
  <c r="BS11" i="1"/>
  <c r="BP7" i="1"/>
  <c r="BP8" i="1"/>
  <c r="BP9" i="1"/>
  <c r="BP10" i="1"/>
  <c r="BP11" i="1"/>
  <c r="BS6" i="1"/>
  <c r="BP6" i="1"/>
  <c r="BQ12" i="1"/>
  <c r="BP12" i="1" l="1"/>
  <c r="CB12" i="1"/>
  <c r="CA12" i="1"/>
  <c r="G14" i="3" l="1"/>
  <c r="G6" i="3"/>
  <c r="BU12" i="1" l="1"/>
  <c r="G29" i="3" l="1"/>
  <c r="BH12" i="1"/>
  <c r="G30" i="3"/>
  <c r="BM12" i="1"/>
  <c r="BJ12" i="1"/>
  <c r="BV10" i="1"/>
  <c r="BO7" i="1"/>
  <c r="BO8" i="1"/>
  <c r="BO9" i="1"/>
  <c r="BO10" i="1"/>
  <c r="BO11" i="1"/>
  <c r="BO6" i="1"/>
  <c r="BL7" i="1"/>
  <c r="BL8" i="1"/>
  <c r="BL9" i="1"/>
  <c r="BL10" i="1"/>
  <c r="BL11" i="1"/>
  <c r="BL6" i="1"/>
  <c r="BN12" i="1"/>
  <c r="G22" i="3"/>
  <c r="G23" i="3"/>
  <c r="G24" i="3"/>
  <c r="G25" i="3"/>
  <c r="G26" i="3"/>
  <c r="G27" i="3"/>
  <c r="G28" i="3"/>
  <c r="BV6" i="1"/>
  <c r="G7" i="3"/>
  <c r="G8" i="3"/>
  <c r="G9" i="3"/>
  <c r="G10" i="3"/>
  <c r="G12" i="3"/>
  <c r="G11" i="3"/>
  <c r="G13" i="3"/>
  <c r="G15" i="3"/>
  <c r="G18" i="3"/>
  <c r="BX10" i="1"/>
  <c r="BI12" i="1"/>
  <c r="BF12" i="1"/>
  <c r="BE12" i="1"/>
  <c r="BG10" i="1"/>
  <c r="BD10" i="1"/>
  <c r="BG11" i="1"/>
  <c r="BD11" i="1"/>
  <c r="BG9" i="1"/>
  <c r="BD9" i="1"/>
  <c r="BG8" i="1"/>
  <c r="BD8" i="1"/>
  <c r="BG7" i="1"/>
  <c r="BD7" i="1"/>
  <c r="BG6" i="1"/>
  <c r="BD6" i="1"/>
  <c r="AW10" i="1"/>
  <c r="AY10" i="1"/>
  <c r="BC10" i="1"/>
  <c r="BH10" i="1"/>
  <c r="BK10" i="1"/>
  <c r="BT10" i="1"/>
  <c r="BY10" i="1"/>
  <c r="BH8" i="1"/>
  <c r="BX7" i="1"/>
  <c r="BX8" i="1"/>
  <c r="BX9" i="1"/>
  <c r="BX6" i="1"/>
  <c r="BV7" i="1"/>
  <c r="BV8" i="1"/>
  <c r="BV9" i="1"/>
  <c r="BA12" i="1"/>
  <c r="AZ12" i="1"/>
  <c r="AX12" i="1"/>
  <c r="AY12" i="1"/>
  <c r="AT12" i="1"/>
  <c r="AU12" i="1"/>
  <c r="AS12" i="1"/>
  <c r="AQ12" i="1"/>
  <c r="AM12" i="1"/>
  <c r="AN12" i="1"/>
  <c r="AL12" i="1"/>
  <c r="AJ12" i="1"/>
  <c r="AK12" i="1"/>
  <c r="AH12" i="1"/>
  <c r="AG12" i="1"/>
  <c r="AE12" i="1"/>
  <c r="AD12" i="1"/>
  <c r="AC12" i="1"/>
  <c r="Z12" i="1"/>
  <c r="Y12" i="1"/>
  <c r="W12" i="1"/>
  <c r="BY11" i="1"/>
  <c r="BT11" i="1"/>
  <c r="BK11" i="1"/>
  <c r="BH11" i="1"/>
  <c r="BC11" i="1"/>
  <c r="AY11" i="1"/>
  <c r="AW11" i="1"/>
  <c r="AV11" i="1"/>
  <c r="AR11" i="1"/>
  <c r="AP11" i="1"/>
  <c r="AO11" i="1"/>
  <c r="AK11" i="1"/>
  <c r="AI11" i="1"/>
  <c r="AF11" i="1"/>
  <c r="AB11" i="1"/>
  <c r="X11" i="1"/>
  <c r="U11" i="1"/>
  <c r="R11" i="1"/>
  <c r="P11" i="1"/>
  <c r="M11" i="1"/>
  <c r="J11" i="1"/>
  <c r="G11" i="1"/>
  <c r="D11" i="1"/>
  <c r="BY9" i="1"/>
  <c r="BT9" i="1"/>
  <c r="BK9" i="1"/>
  <c r="BH9" i="1"/>
  <c r="BC9" i="1"/>
  <c r="BB9" i="1"/>
  <c r="AY9" i="1"/>
  <c r="AW9" i="1"/>
  <c r="AV9" i="1"/>
  <c r="AU9" i="1"/>
  <c r="AR9" i="1"/>
  <c r="AP9" i="1"/>
  <c r="AO9" i="1"/>
  <c r="AN9" i="1"/>
  <c r="AK9" i="1"/>
  <c r="AI9" i="1"/>
  <c r="AF9" i="1"/>
  <c r="AB9" i="1"/>
  <c r="AA9" i="1"/>
  <c r="X9" i="1"/>
  <c r="U9" i="1"/>
  <c r="T9" i="1"/>
  <c r="R9" i="1"/>
  <c r="P9" i="1"/>
  <c r="M9" i="1"/>
  <c r="J9" i="1"/>
  <c r="G9" i="1"/>
  <c r="D9" i="1"/>
  <c r="BY8" i="1"/>
  <c r="BT8" i="1"/>
  <c r="BK8" i="1"/>
  <c r="BC8" i="1"/>
  <c r="BB8" i="1"/>
  <c r="AY8" i="1"/>
  <c r="AW8" i="1"/>
  <c r="AV8" i="1"/>
  <c r="AU8" i="1"/>
  <c r="AR8" i="1"/>
  <c r="AP8" i="1"/>
  <c r="AO8" i="1"/>
  <c r="AN8" i="1"/>
  <c r="AK8" i="1"/>
  <c r="AI8" i="1"/>
  <c r="AF8" i="1"/>
  <c r="AB8" i="1"/>
  <c r="AA8" i="1"/>
  <c r="X8" i="1"/>
  <c r="U8" i="1"/>
  <c r="T8" i="1"/>
  <c r="R8" i="1"/>
  <c r="P8" i="1"/>
  <c r="M8" i="1"/>
  <c r="J8" i="1"/>
  <c r="G8" i="1"/>
  <c r="D8" i="1"/>
  <c r="BY7" i="1"/>
  <c r="BT7" i="1"/>
  <c r="BK7" i="1"/>
  <c r="BH7" i="1"/>
  <c r="BC7" i="1"/>
  <c r="BB7" i="1"/>
  <c r="AY7" i="1"/>
  <c r="AW7" i="1"/>
  <c r="AV7" i="1"/>
  <c r="AU7" i="1"/>
  <c r="AR7" i="1"/>
  <c r="AP7" i="1"/>
  <c r="AO7" i="1"/>
  <c r="AN7" i="1"/>
  <c r="AK7" i="1"/>
  <c r="AI7" i="1"/>
  <c r="AI12" i="1"/>
  <c r="AF7" i="1"/>
  <c r="AB7" i="1"/>
  <c r="AA7" i="1"/>
  <c r="AA12" i="1"/>
  <c r="X7" i="1"/>
  <c r="U7" i="1"/>
  <c r="T7" i="1"/>
  <c r="T19" i="1"/>
  <c r="R7" i="1"/>
  <c r="R19" i="1"/>
  <c r="P7" i="1"/>
  <c r="M7" i="1"/>
  <c r="J7" i="1"/>
  <c r="G7" i="1"/>
  <c r="D7" i="1"/>
  <c r="BY6" i="1"/>
  <c r="BT6" i="1"/>
  <c r="BK6" i="1"/>
  <c r="BH6" i="1"/>
  <c r="BC6" i="1"/>
  <c r="BB6" i="1"/>
  <c r="AY6" i="1"/>
  <c r="AW6" i="1"/>
  <c r="AV6" i="1"/>
  <c r="AU6" i="1"/>
  <c r="AR6" i="1"/>
  <c r="AP6" i="1"/>
  <c r="AO6" i="1"/>
  <c r="AN6" i="1"/>
  <c r="AK6" i="1"/>
  <c r="AI6" i="1"/>
  <c r="AF6" i="1"/>
  <c r="AF12" i="1"/>
  <c r="AB6" i="1"/>
  <c r="AA6" i="1"/>
  <c r="X6" i="1"/>
  <c r="U6" i="1"/>
  <c r="T6" i="1"/>
  <c r="R6" i="1"/>
  <c r="P6" i="1"/>
  <c r="M6" i="1"/>
  <c r="J6" i="1"/>
  <c r="G6" i="1"/>
  <c r="D6" i="1"/>
  <c r="S19" i="1"/>
  <c r="Q19" i="1"/>
  <c r="O19" i="1"/>
  <c r="V19" i="1"/>
  <c r="AB19" i="1"/>
  <c r="AU19" i="1"/>
  <c r="BK12" i="1"/>
  <c r="AT19" i="1"/>
  <c r="AP12" i="1"/>
  <c r="AW12" i="1"/>
  <c r="BB12" i="1"/>
  <c r="AB12" i="1"/>
  <c r="U19" i="1"/>
  <c r="AO12" i="1"/>
  <c r="BD12" i="1"/>
  <c r="Y19" i="1"/>
  <c r="AV12" i="1"/>
  <c r="AV19" i="1"/>
  <c r="BG12" i="1"/>
  <c r="W19" i="1"/>
  <c r="BL12" i="1"/>
  <c r="BC12" i="1"/>
  <c r="X12" i="1"/>
  <c r="X19" i="1"/>
  <c r="P19" i="1"/>
  <c r="AA19" i="1"/>
  <c r="Z19" i="1"/>
  <c r="BY12" i="1"/>
  <c r="BV12" i="1"/>
  <c r="G32" i="3" l="1"/>
  <c r="G33" i="3"/>
  <c r="G16" i="3"/>
  <c r="G17" i="3"/>
  <c r="BX12" i="1"/>
</calcChain>
</file>

<file path=xl/sharedStrings.xml><?xml version="1.0" encoding="utf-8"?>
<sst xmlns="http://schemas.openxmlformats.org/spreadsheetml/2006/main" count="150" uniqueCount="65">
  <si>
    <t>จังหวัด</t>
  </si>
  <si>
    <t>ส่งออก</t>
  </si>
  <si>
    <t>นำเข้า</t>
  </si>
  <si>
    <t>ดุลการค้า</t>
  </si>
  <si>
    <t>Δ %</t>
  </si>
  <si>
    <t>อื่นๆ</t>
  </si>
  <si>
    <t>รวม</t>
  </si>
  <si>
    <t>กรมการค้าต่างประเทศ</t>
  </si>
  <si>
    <t>มูลค่ารวม</t>
  </si>
  <si>
    <t>ลำดับที่</t>
  </si>
  <si>
    <t>รวม 10 อันดับ</t>
  </si>
  <si>
    <t>หน่วย : ล้านบาท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</si>
  <si>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</si>
  <si>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</si>
  <si>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</si>
  <si>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</si>
  <si>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</si>
  <si>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N/A</t>
  </si>
  <si>
    <t>ที่มา :  ศูนย์เทคโนโลยีสารสนเทศและการสื่อสาร กรมการค้าต่างประเทศ  โดยความร่วมมือจากกรมศุลกากร</t>
  </si>
  <si>
    <t>: การส่งออก</t>
  </si>
  <si>
    <t>ส่งออกมค-กค52</t>
  </si>
  <si>
    <t>นำเข้ามค-กค52</t>
  </si>
  <si>
    <t>ยานพาหนะอื่น ๆ และส่วนประกอบ</t>
  </si>
  <si>
    <t>รถจักรยานยนต์และส่วนประกอบ</t>
  </si>
  <si>
    <t>อะลูมิเนียมและผลิตภัณฑ์</t>
  </si>
  <si>
    <t>เสื้อผ้าสำเร็จรูป</t>
  </si>
  <si>
    <t>อื่น ๆ</t>
  </si>
  <si>
    <t>ทองแดงและผลิตภัณฑ์</t>
  </si>
  <si>
    <t>ผ้าผืนและด้าย</t>
  </si>
  <si>
    <t>สัตว์น้ำ</t>
  </si>
  <si>
    <t>% YoY</t>
  </si>
  <si>
    <t xml:space="preserve">มูลค่าการค้าชายแดนไทย - กัมพูชา (รายจังหวัด) 
</t>
  </si>
  <si>
    <t xml:space="preserve">มูลค่าการค้าชายแดนไทย - กัมพูชา (รายสินค้า) 
</t>
  </si>
  <si>
    <t>2.  กรมศุลกากร  ได้มีการปรับปรุงข้อมูลย้อนหลังตั้งแต่เดือน มกราคม-ตุลาคม 2560</t>
  </si>
  <si>
    <t>ผลิตภัณฑ์เหล็กและเหล็กกล้า</t>
  </si>
  <si>
    <t>กลุ่มความร่วมมือฯ 2</t>
  </si>
  <si>
    <t>ผักและของปรุงแต่งจากผัก</t>
  </si>
  <si>
    <t>ลวดและสายเคเบิล ที่หุ้มฉนวน</t>
  </si>
  <si>
    <t>1.สระแก้ว</t>
  </si>
  <si>
    <t>2.ตราด</t>
  </si>
  <si>
    <t>3.จันทบุรี</t>
  </si>
  <si>
    <t>4.สุรินทร์</t>
  </si>
  <si>
    <t>5.ศรีสะเกษ</t>
  </si>
  <si>
    <t>6.อุบลราชธานี</t>
  </si>
  <si>
    <t>เครื่องจักรไฟฟ้าใช้ในอุตสาหกรรม</t>
  </si>
  <si>
    <t>สินค้าอุตสาหกรรมอื่น ๆ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</si>
  <si>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</si>
  <si>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</si>
  <si>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</si>
  <si>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 4. กรมศุลกากรได้ปรับปรุงข้อมูลย้อนหลังปี 2561 (มค.-มิย.) ในเดือน ธค.2561 ณ วันที่ 18 มค. 2562</t>
  </si>
  <si>
    <t>2561 มค</t>
  </si>
  <si>
    <t>ยางยานพาหนะ</t>
  </si>
  <si>
    <t>สินค้าแร่และเชื้อเพลิงอื่น ๆ</t>
  </si>
  <si>
    <t>รถยนต์ อุปกรณ์และส่วนประกอบ</t>
  </si>
  <si>
    <t>ส่วนประกอบและอุปกรณ์ยานยนต์อื่นๆ</t>
  </si>
  <si>
    <t>ผลิตภัณฑ์โลหะทำด้วยอะลูมิเนียม</t>
  </si>
  <si>
    <t>ปี 2560-2562 (มกราคม-พฤษภาคม)</t>
  </si>
  <si>
    <t>(มกราคม-พฤษภาคม)</t>
  </si>
  <si>
    <t>2562 (มกราคม-พฤษภาคม)</t>
  </si>
  <si>
    <t>เครื่องดื่มที่ไม่มีแอลกอฮอล์</t>
  </si>
  <si>
    <t>เครื่องยนต์สันดาปภายในแบบลูกสูบฯ</t>
  </si>
  <si>
    <t>มอเตอร์ไฟฟ้า ชุดเครื่องกำเนิดไฟฟ้าฯ</t>
  </si>
  <si>
    <r>
      <rPr>
        <b/>
        <sz val="12"/>
        <color indexed="8"/>
        <rFont val="Angsana New"/>
        <family val="1"/>
      </rPr>
      <t xml:space="preserve">                </t>
    </r>
    <r>
      <rPr>
        <sz val="12"/>
        <color indexed="8"/>
        <rFont val="Angsana New"/>
        <family val="1"/>
      </rPr>
      <t xml:space="preserve">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</si>
  <si>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r>
      <rPr>
        <b/>
        <sz val="12"/>
        <color indexed="8"/>
        <rFont val="Angsana New"/>
        <family val="1"/>
      </rPr>
      <t xml:space="preserve">                 </t>
    </r>
    <r>
      <rPr>
        <sz val="12"/>
        <color indexed="8"/>
        <rFont val="Angsana New"/>
        <family val="1"/>
      </rPr>
      <t xml:space="preserve">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</si>
  <si>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t xml:space="preserve">                      4. กรมศุลกากรได้ปรับปรุงข้อมูลย้อนหลังปี 2561 (มค.-มิย.) ในเดือน ธค.2561 ณ วันที่ 18 มค.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</si>
</sst>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"/>
    <numFmt numFmtId="192" formatCode="#,##0.00_ ;[Red]\-#,##0.00\ "/>
  </numFmts>
  <fonts count="58" x14ac:knownFonts="1"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b/>
      <sz val="14"/>
      <name val="AngsanaUPC"/>
      <family val="1"/>
      <charset val="222"/>
    </font>
    <font>
      <b/>
      <sz val="16"/>
      <name val="AngsanaUPC"/>
      <family val="1"/>
      <charset val="222"/>
    </font>
    <font>
      <b/>
      <sz val="14"/>
      <name val="Angsana New"/>
      <family val="1"/>
    </font>
    <font>
      <sz val="14"/>
      <name val="Angsana New"/>
      <family val="1"/>
    </font>
    <font>
      <sz val="14"/>
      <name val="AngsanaUPC"/>
      <family val="1"/>
      <charset val="222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4"/>
      <name val="AngsanaUPC"/>
      <family val="1"/>
    </font>
    <font>
      <b/>
      <sz val="14"/>
      <name val="AngsanaUPC"/>
      <family val="1"/>
    </font>
    <font>
      <sz val="13"/>
      <name val="Angsana New"/>
      <family val="1"/>
    </font>
    <font>
      <b/>
      <sz val="18"/>
      <name val="AngsanaUPC"/>
      <family val="1"/>
      <charset val="222"/>
    </font>
    <font>
      <b/>
      <sz val="12"/>
      <name val="AngsanaUPC"/>
      <family val="1"/>
      <charset val="222"/>
    </font>
    <font>
      <sz val="11"/>
      <color indexed="8"/>
      <name val="Tahoma"/>
      <family val="2"/>
      <charset val="222"/>
    </font>
    <font>
      <sz val="11"/>
      <name val="Tahoma"/>
      <family val="2"/>
      <charset val="222"/>
    </font>
    <font>
      <sz val="8"/>
      <name val="Tahoma"/>
      <family val="2"/>
      <charset val="222"/>
    </font>
    <font>
      <b/>
      <sz val="13"/>
      <name val="AngsanaUPC"/>
      <family val="1"/>
      <charset val="222"/>
    </font>
    <font>
      <b/>
      <sz val="12"/>
      <name val="AngsanaUPC"/>
      <family val="1"/>
    </font>
    <font>
      <b/>
      <sz val="11"/>
      <name val="AngsanaUPC"/>
      <family val="1"/>
    </font>
    <font>
      <sz val="12"/>
      <name val="AngsanaUPC"/>
      <family val="1"/>
    </font>
    <font>
      <b/>
      <sz val="12"/>
      <name val="Angsana New"/>
      <family val="1"/>
    </font>
    <font>
      <b/>
      <sz val="10"/>
      <name val="AngsanaUPC"/>
      <family val="1"/>
      <charset val="222"/>
    </font>
    <font>
      <b/>
      <sz val="11"/>
      <name val="AngsanaUPC"/>
      <family val="1"/>
      <charset val="222"/>
    </font>
    <font>
      <sz val="11"/>
      <name val="AngsanaUPC"/>
      <family val="1"/>
      <charset val="222"/>
    </font>
    <font>
      <b/>
      <sz val="11"/>
      <name val="Angsana New"/>
      <family val="1"/>
    </font>
    <font>
      <sz val="11"/>
      <name val="AngsanaUPC"/>
      <family val="1"/>
    </font>
    <font>
      <b/>
      <sz val="10"/>
      <name val="Angsana New"/>
      <family val="1"/>
    </font>
    <font>
      <sz val="10"/>
      <name val="AngsanaUPC"/>
      <family val="1"/>
    </font>
    <font>
      <sz val="14"/>
      <name val="Arial"/>
      <family val="2"/>
    </font>
    <font>
      <sz val="16"/>
      <name val="Arial"/>
      <family val="2"/>
    </font>
    <font>
      <b/>
      <sz val="9"/>
      <name val="AngsanaUPC"/>
      <family val="1"/>
      <charset val="222"/>
    </font>
    <font>
      <b/>
      <sz val="11.5"/>
      <name val="AngsanaUPC"/>
      <family val="1"/>
    </font>
    <font>
      <b/>
      <sz val="11.5"/>
      <name val="AngsanaUPC"/>
      <family val="1"/>
      <charset val="222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rgb="FF000000"/>
      <name val="Calibri"/>
      <family val="2"/>
    </font>
    <font>
      <sz val="12"/>
      <color rgb="FFFF0000"/>
      <name val="AngsanaUPC"/>
      <family val="1"/>
      <charset val="222"/>
    </font>
    <font>
      <b/>
      <sz val="11.5"/>
      <color rgb="FFFF0000"/>
      <name val="AngsanaUPC"/>
      <family val="1"/>
      <charset val="222"/>
    </font>
    <font>
      <sz val="12"/>
      <color rgb="FFC00000"/>
      <name val="AngsanaUPC"/>
      <family val="1"/>
      <charset val="222"/>
    </font>
    <font>
      <b/>
      <sz val="12"/>
      <color rgb="FFC00000"/>
      <name val="AngsanaUPC"/>
      <family val="1"/>
      <charset val="222"/>
    </font>
    <font>
      <sz val="12"/>
      <color rgb="FFC00000"/>
      <name val="Angsana New"/>
      <family val="1"/>
    </font>
    <font>
      <sz val="16"/>
      <color rgb="FFC00000"/>
      <name val="AngsanaUPC"/>
      <family val="1"/>
      <charset val="222"/>
    </font>
    <font>
      <sz val="12"/>
      <color rgb="FFC00000"/>
      <name val="AngsanaUPC"/>
      <family val="1"/>
    </font>
    <font>
      <b/>
      <sz val="12"/>
      <color rgb="FFC00000"/>
      <name val="AngsanaUPC"/>
      <family val="1"/>
    </font>
    <font>
      <sz val="12"/>
      <color rgb="FF000000"/>
      <name val="AngsanaUPC"/>
      <family val="1"/>
    </font>
    <font>
      <sz val="11"/>
      <color rgb="FFC00000"/>
      <name val="Tahoma"/>
      <family val="2"/>
      <charset val="222"/>
    </font>
    <font>
      <sz val="9"/>
      <color rgb="FF000000"/>
      <name val="Microsoft Sans Serif"/>
      <family val="2"/>
    </font>
    <font>
      <sz val="12"/>
      <color rgb="FF000000"/>
      <name val="Angsana New"/>
      <family val="1"/>
    </font>
    <font>
      <sz val="16"/>
      <color rgb="FFC00000"/>
      <name val="Angsana New"/>
      <family val="1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0" fontId="38" fillId="0" borderId="0"/>
    <xf numFmtId="0" fontId="39" fillId="0" borderId="0"/>
    <xf numFmtId="9" fontId="15" fillId="0" borderId="0" applyFont="0" applyFill="0" applyBorder="0" applyAlignment="0" applyProtection="0"/>
  </cellStyleXfs>
  <cellXfs count="188">
    <xf numFmtId="0" fontId="0" fillId="0" borderId="0" xfId="0"/>
    <xf numFmtId="0" fontId="9" fillId="0" borderId="0" xfId="0" applyFont="1"/>
    <xf numFmtId="0" fontId="1" fillId="0" borderId="0" xfId="0" applyFont="1"/>
    <xf numFmtId="0" fontId="7" fillId="0" borderId="0" xfId="0" applyFont="1"/>
    <xf numFmtId="0" fontId="12" fillId="0" borderId="0" xfId="0" applyFont="1"/>
    <xf numFmtId="0" fontId="8" fillId="4" borderId="0" xfId="0" applyFont="1" applyFill="1"/>
    <xf numFmtId="0" fontId="3" fillId="4" borderId="0" xfId="0" applyFont="1" applyFill="1" applyAlignment="1">
      <alignment horizontal="center"/>
    </xf>
    <xf numFmtId="0" fontId="4" fillId="0" borderId="0" xfId="0" applyFont="1" applyAlignment="1">
      <alignment vertical="justify"/>
    </xf>
    <xf numFmtId="0" fontId="8" fillId="3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 vertical="center"/>
    </xf>
    <xf numFmtId="4" fontId="19" fillId="6" borderId="4" xfId="1" applyNumberFormat="1" applyFont="1" applyFill="1" applyBorder="1" applyAlignment="1">
      <alignment horizontal="right"/>
    </xf>
    <xf numFmtId="4" fontId="26" fillId="6" borderId="4" xfId="1" applyNumberFormat="1" applyFont="1" applyFill="1" applyBorder="1" applyAlignment="1">
      <alignment horizontal="right"/>
    </xf>
    <xf numFmtId="4" fontId="20" fillId="6" borderId="4" xfId="1" applyNumberFormat="1" applyFont="1" applyFill="1" applyBorder="1" applyAlignment="1">
      <alignment horizontal="right"/>
    </xf>
    <xf numFmtId="0" fontId="2" fillId="7" borderId="4" xfId="0" applyFont="1" applyFill="1" applyBorder="1" applyAlignment="1">
      <alignment horizontal="center"/>
    </xf>
    <xf numFmtId="0" fontId="8" fillId="3" borderId="0" xfId="0" applyFont="1" applyFill="1" applyAlignment="1">
      <alignment horizontal="right"/>
    </xf>
    <xf numFmtId="0" fontId="2" fillId="7" borderId="7" xfId="0" applyFont="1" applyFill="1" applyBorder="1" applyAlignment="1">
      <alignment horizontal="center"/>
    </xf>
    <xf numFmtId="4" fontId="8" fillId="0" borderId="4" xfId="1" applyNumberFormat="1" applyFont="1" applyFill="1" applyBorder="1" applyAlignment="1">
      <alignment horizontal="right" vertical="center"/>
    </xf>
    <xf numFmtId="4" fontId="19" fillId="8" borderId="4" xfId="1" applyNumberFormat="1" applyFont="1" applyFill="1" applyBorder="1" applyAlignment="1">
      <alignment horizontal="right" vertical="center"/>
    </xf>
    <xf numFmtId="0" fontId="8" fillId="0" borderId="0" xfId="0" applyFont="1" applyFill="1"/>
    <xf numFmtId="0" fontId="11" fillId="0" borderId="0" xfId="0" applyFont="1" applyFill="1" applyAlignment="1">
      <alignment horizontal="right"/>
    </xf>
    <xf numFmtId="0" fontId="2" fillId="7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9" fontId="2" fillId="7" borderId="4" xfId="4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187" fontId="6" fillId="0" borderId="4" xfId="0" applyNumberFormat="1" applyFont="1" applyFill="1" applyBorder="1" applyAlignment="1">
      <alignment horizontal="center" vertical="center"/>
    </xf>
    <xf numFmtId="187" fontId="10" fillId="0" borderId="4" xfId="0" applyNumberFormat="1" applyFont="1" applyFill="1" applyBorder="1" applyAlignment="1">
      <alignment horizontal="right" vertical="center"/>
    </xf>
    <xf numFmtId="187" fontId="6" fillId="0" borderId="4" xfId="0" applyNumberFormat="1" applyFont="1" applyFill="1" applyBorder="1" applyAlignment="1">
      <alignment horizontal="right" vertical="center"/>
    </xf>
    <xf numFmtId="187" fontId="10" fillId="0" borderId="4" xfId="0" applyNumberFormat="1" applyFont="1" applyBorder="1" applyAlignment="1">
      <alignment horizontal="right" vertical="center"/>
    </xf>
    <xf numFmtId="4" fontId="21" fillId="0" borderId="4" xfId="0" applyNumberFormat="1" applyFont="1" applyBorder="1" applyAlignment="1">
      <alignment horizontal="right" vertical="center"/>
    </xf>
    <xf numFmtId="4" fontId="21" fillId="0" borderId="4" xfId="1" applyNumberFormat="1" applyFont="1" applyFill="1" applyBorder="1" applyAlignment="1">
      <alignment horizontal="right" vertical="center"/>
    </xf>
    <xf numFmtId="4" fontId="21" fillId="0" borderId="4" xfId="0" applyNumberFormat="1" applyFont="1" applyFill="1" applyBorder="1" applyAlignment="1">
      <alignment horizontal="right" vertical="center"/>
    </xf>
    <xf numFmtId="4" fontId="21" fillId="6" borderId="4" xfId="1" applyNumberFormat="1" applyFont="1" applyFill="1" applyBorder="1" applyAlignment="1">
      <alignment horizontal="right" vertical="center"/>
    </xf>
    <xf numFmtId="4" fontId="40" fillId="0" borderId="4" xfId="1" applyNumberFormat="1" applyFont="1" applyFill="1" applyBorder="1" applyAlignment="1">
      <alignment horizontal="right" vertical="center"/>
    </xf>
    <xf numFmtId="4" fontId="25" fillId="0" borderId="4" xfId="1" applyNumberFormat="1" applyFont="1" applyFill="1" applyBorder="1" applyAlignment="1">
      <alignment horizontal="right" vertical="center"/>
    </xf>
    <xf numFmtId="187" fontId="27" fillId="0" borderId="4" xfId="0" applyNumberFormat="1" applyFont="1" applyFill="1" applyBorder="1" applyAlignment="1">
      <alignment horizontal="right" vertical="center"/>
    </xf>
    <xf numFmtId="187" fontId="29" fillId="0" borderId="4" xfId="0" applyNumberFormat="1" applyFont="1" applyFill="1" applyBorder="1" applyAlignment="1">
      <alignment horizontal="right" vertical="center"/>
    </xf>
    <xf numFmtId="187" fontId="21" fillId="0" borderId="4" xfId="0" applyNumberFormat="1" applyFont="1" applyFill="1" applyBorder="1" applyAlignment="1">
      <alignment horizontal="right" vertical="center"/>
    </xf>
    <xf numFmtId="187" fontId="11" fillId="8" borderId="4" xfId="0" applyNumberFormat="1" applyFont="1" applyFill="1" applyBorder="1" applyAlignment="1">
      <alignment horizontal="center" vertical="center"/>
    </xf>
    <xf numFmtId="187" fontId="11" fillId="8" borderId="4" xfId="0" applyNumberFormat="1" applyFont="1" applyFill="1" applyBorder="1" applyAlignment="1">
      <alignment horizontal="right" vertical="center"/>
    </xf>
    <xf numFmtId="4" fontId="33" fillId="8" borderId="4" xfId="0" applyNumberFormat="1" applyFont="1" applyFill="1" applyBorder="1" applyAlignment="1">
      <alignment horizontal="right" vertical="center"/>
    </xf>
    <xf numFmtId="4" fontId="33" fillId="8" borderId="4" xfId="0" applyNumberFormat="1" applyFont="1" applyFill="1" applyBorder="1" applyAlignment="1">
      <alignment horizontal="right" vertical="center" wrapText="1"/>
    </xf>
    <xf numFmtId="4" fontId="33" fillId="8" borderId="4" xfId="1" applyNumberFormat="1" applyFont="1" applyFill="1" applyBorder="1" applyAlignment="1">
      <alignment horizontal="right" vertical="center"/>
    </xf>
    <xf numFmtId="4" fontId="34" fillId="8" borderId="4" xfId="0" applyNumberFormat="1" applyFont="1" applyFill="1" applyBorder="1" applyAlignment="1">
      <alignment horizontal="right" vertical="center"/>
    </xf>
    <xf numFmtId="4" fontId="41" fillId="8" borderId="4" xfId="1" applyNumberFormat="1" applyFont="1" applyFill="1" applyBorder="1" applyAlignment="1">
      <alignment horizontal="right" vertical="center"/>
    </xf>
    <xf numFmtId="4" fontId="34" fillId="8" borderId="4" xfId="0" applyNumberFormat="1" applyFont="1" applyFill="1" applyBorder="1" applyAlignment="1">
      <alignment horizontal="right" vertical="center" wrapText="1"/>
    </xf>
    <xf numFmtId="4" fontId="20" fillId="8" borderId="4" xfId="1" applyNumberFormat="1" applyFont="1" applyFill="1" applyBorder="1" applyAlignment="1">
      <alignment horizontal="right" vertical="center"/>
    </xf>
    <xf numFmtId="9" fontId="8" fillId="0" borderId="0" xfId="4" applyFont="1" applyFill="1"/>
    <xf numFmtId="0" fontId="8" fillId="0" borderId="0" xfId="0" applyFont="1" applyFill="1" applyAlignment="1">
      <alignment horizontal="right" indent="2"/>
    </xf>
    <xf numFmtId="0" fontId="8" fillId="0" borderId="0" xfId="0" applyFont="1" applyFill="1" applyAlignment="1">
      <alignment horizontal="right"/>
    </xf>
    <xf numFmtId="0" fontId="2" fillId="9" borderId="4" xfId="0" applyFont="1" applyFill="1" applyBorder="1" applyAlignment="1">
      <alignment horizontal="center" vertical="center"/>
    </xf>
    <xf numFmtId="0" fontId="35" fillId="0" borderId="0" xfId="0" applyFont="1"/>
    <xf numFmtId="0" fontId="14" fillId="0" borderId="0" xfId="0" applyFont="1" applyFill="1" applyAlignment="1">
      <alignment horizontal="center"/>
    </xf>
    <xf numFmtId="0" fontId="5" fillId="0" borderId="4" xfId="0" applyFont="1" applyBorder="1" applyAlignment="1">
      <alignment horizontal="center" vertical="justify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20" fillId="8" borderId="4" xfId="0" applyNumberFormat="1" applyFont="1" applyFill="1" applyBorder="1" applyAlignment="1">
      <alignment horizontal="right" vertical="center" wrapText="1"/>
    </xf>
    <xf numFmtId="4" fontId="20" fillId="8" borderId="4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9" fillId="0" borderId="0" xfId="0" applyFont="1" applyFill="1" applyAlignment="1">
      <alignment horizontal="right"/>
    </xf>
    <xf numFmtId="0" fontId="2" fillId="7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13" fillId="0" borderId="0" xfId="0" applyFont="1" applyFill="1" applyAlignment="1">
      <alignment horizontal="center" vertical="top" wrapText="1"/>
    </xf>
    <xf numFmtId="0" fontId="2" fillId="9" borderId="1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45" fillId="0" borderId="0" xfId="0" applyFont="1"/>
    <xf numFmtId="0" fontId="9" fillId="0" borderId="0" xfId="0" applyFont="1" applyAlignment="1">
      <alignment vertical="center"/>
    </xf>
    <xf numFmtId="4" fontId="46" fillId="6" borderId="0" xfId="1" applyNumberFormat="1" applyFont="1" applyFill="1" applyBorder="1" applyAlignment="1">
      <alignment horizontal="right" vertical="center"/>
    </xf>
    <xf numFmtId="4" fontId="47" fillId="6" borderId="0" xfId="1" applyNumberFormat="1" applyFont="1" applyFill="1" applyBorder="1" applyAlignment="1">
      <alignment horizontal="right" vertical="center"/>
    </xf>
    <xf numFmtId="0" fontId="2" fillId="7" borderId="8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vertical="center"/>
    </xf>
    <xf numFmtId="4" fontId="11" fillId="8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8" fillId="7" borderId="12" xfId="0" quotePrefix="1" applyFont="1" applyFill="1" applyBorder="1" applyAlignment="1">
      <alignment horizontal="center" vertical="center" wrapText="1"/>
    </xf>
    <xf numFmtId="4" fontId="21" fillId="0" borderId="8" xfId="1" applyNumberFormat="1" applyFont="1" applyFill="1" applyBorder="1" applyAlignment="1">
      <alignment horizontal="right" vertical="center"/>
    </xf>
    <xf numFmtId="4" fontId="20" fillId="8" borderId="8" xfId="1" applyNumberFormat="1" applyFont="1" applyFill="1" applyBorder="1" applyAlignment="1">
      <alignment horizontal="right" vertical="center"/>
    </xf>
    <xf numFmtId="0" fontId="18" fillId="7" borderId="11" xfId="0" applyFont="1" applyFill="1" applyBorder="1" applyAlignment="1">
      <alignment horizontal="center" vertical="center"/>
    </xf>
    <xf numFmtId="4" fontId="21" fillId="0" borderId="11" xfId="1" applyNumberFormat="1" applyFont="1" applyFill="1" applyBorder="1" applyAlignment="1">
      <alignment horizontal="right" vertical="center"/>
    </xf>
    <xf numFmtId="4" fontId="20" fillId="8" borderId="11" xfId="1" applyNumberFormat="1" applyFont="1" applyFill="1" applyBorder="1" applyAlignment="1">
      <alignment horizontal="right" vertical="center"/>
    </xf>
    <xf numFmtId="0" fontId="2" fillId="7" borderId="12" xfId="0" applyFont="1" applyFill="1" applyBorder="1" applyAlignment="1">
      <alignment horizontal="center" vertical="center"/>
    </xf>
    <xf numFmtId="4" fontId="48" fillId="11" borderId="12" xfId="0" applyNumberFormat="1" applyFont="1" applyFill="1" applyBorder="1" applyAlignment="1">
      <alignment horizontal="right" vertical="center" wrapText="1" shrinkToFit="1"/>
    </xf>
    <xf numFmtId="4" fontId="24" fillId="8" borderId="12" xfId="0" applyNumberFormat="1" applyFont="1" applyFill="1" applyBorder="1" applyAlignment="1">
      <alignment horizontal="right" vertical="center"/>
    </xf>
    <xf numFmtId="4" fontId="20" fillId="8" borderId="12" xfId="0" applyNumberFormat="1" applyFont="1" applyFill="1" applyBorder="1" applyAlignment="1">
      <alignment horizontal="right" vertical="center" wrapText="1"/>
    </xf>
    <xf numFmtId="4" fontId="24" fillId="8" borderId="8" xfId="1" applyNumberFormat="1" applyFont="1" applyFill="1" applyBorder="1" applyAlignment="1">
      <alignment horizontal="right" vertical="center"/>
    </xf>
    <xf numFmtId="0" fontId="18" fillId="7" borderId="6" xfId="0" applyFont="1" applyFill="1" applyBorder="1" applyAlignment="1">
      <alignment horizontal="center" vertical="center"/>
    </xf>
    <xf numFmtId="4" fontId="19" fillId="8" borderId="6" xfId="1" applyNumberFormat="1" applyFont="1" applyFill="1" applyBorder="1" applyAlignment="1">
      <alignment horizontal="right" vertical="center"/>
    </xf>
    <xf numFmtId="4" fontId="14" fillId="8" borderId="12" xfId="0" applyNumberFormat="1" applyFont="1" applyFill="1" applyBorder="1" applyAlignment="1">
      <alignment horizontal="right" vertical="center" wrapText="1"/>
    </xf>
    <xf numFmtId="0" fontId="4" fillId="8" borderId="4" xfId="0" applyFont="1" applyFill="1" applyBorder="1" applyAlignment="1">
      <alignment horizontal="center" vertical="justify"/>
    </xf>
    <xf numFmtId="0" fontId="2" fillId="7" borderId="8" xfId="0" applyFont="1" applyFill="1" applyBorder="1" applyAlignment="1">
      <alignment horizontal="center" vertical="center"/>
    </xf>
    <xf numFmtId="0" fontId="42" fillId="0" borderId="0" xfId="0" applyFont="1" applyFill="1"/>
    <xf numFmtId="0" fontId="42" fillId="0" borderId="0" xfId="0" applyFont="1" applyFill="1" applyAlignment="1">
      <alignment horizontal="right"/>
    </xf>
    <xf numFmtId="4" fontId="21" fillId="6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" fontId="22" fillId="8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9" fontId="7" fillId="0" borderId="0" xfId="4" applyFont="1" applyAlignment="1">
      <alignment horizontal="left" vertical="center"/>
    </xf>
    <xf numFmtId="0" fontId="36" fillId="10" borderId="0" xfId="0" applyFont="1" applyFill="1" applyBorder="1" applyAlignment="1">
      <alignment vertical="center"/>
    </xf>
    <xf numFmtId="0" fontId="21" fillId="5" borderId="0" xfId="2" applyFont="1" applyFill="1" applyBorder="1" applyAlignment="1">
      <alignment vertical="center"/>
    </xf>
    <xf numFmtId="187" fontId="19" fillId="4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1" fillId="4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2" fillId="7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3" fillId="4" borderId="0" xfId="0" applyFont="1" applyFill="1" applyBorder="1" applyAlignment="1">
      <alignment vertical="top" wrapText="1"/>
    </xf>
    <xf numFmtId="4" fontId="7" fillId="6" borderId="12" xfId="1" applyNumberFormat="1" applyFont="1" applyFill="1" applyBorder="1" applyAlignment="1">
      <alignment horizontal="right" vertical="center"/>
    </xf>
    <xf numFmtId="4" fontId="50" fillId="11" borderId="16" xfId="0" applyNumberFormat="1" applyFont="1" applyFill="1" applyBorder="1" applyAlignment="1">
      <alignment horizontal="right" vertical="center" wrapText="1" shrinkToFit="1"/>
    </xf>
    <xf numFmtId="4" fontId="51" fillId="11" borderId="12" xfId="0" applyNumberFormat="1" applyFont="1" applyFill="1" applyBorder="1" applyAlignment="1">
      <alignment horizontal="right" vertical="center" wrapText="1" shrinkToFit="1"/>
    </xf>
    <xf numFmtId="4" fontId="7" fillId="0" borderId="13" xfId="1" applyNumberFormat="1" applyFont="1" applyFill="1" applyBorder="1" applyAlignment="1">
      <alignment horizontal="right" vertical="center"/>
    </xf>
    <xf numFmtId="4" fontId="7" fillId="0" borderId="14" xfId="1" applyNumberFormat="1" applyFont="1" applyFill="1" applyBorder="1" applyAlignment="1">
      <alignment horizontal="right" vertical="center"/>
    </xf>
    <xf numFmtId="4" fontId="7" fillId="0" borderId="15" xfId="1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6" fillId="4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/>
    <xf numFmtId="4" fontId="22" fillId="8" borderId="4" xfId="1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left" vertical="justify"/>
    </xf>
    <xf numFmtId="49" fontId="53" fillId="11" borderId="4" xfId="0" applyNumberFormat="1" applyFont="1" applyFill="1" applyBorder="1" applyAlignment="1">
      <alignment horizontal="left" vertical="center" wrapText="1" shrinkToFit="1"/>
    </xf>
    <xf numFmtId="4" fontId="53" fillId="11" borderId="4" xfId="0" applyNumberFormat="1" applyFont="1" applyFill="1" applyBorder="1" applyAlignment="1">
      <alignment horizontal="right" vertical="center" wrapText="1" shrinkToFit="1"/>
    </xf>
    <xf numFmtId="4" fontId="54" fillId="8" borderId="4" xfId="0" applyNumberFormat="1" applyFont="1" applyFill="1" applyBorder="1" applyAlignment="1">
      <alignment horizontal="right" vertical="center" wrapText="1" shrinkToFit="1"/>
    </xf>
    <xf numFmtId="0" fontId="4" fillId="8" borderId="4" xfId="0" applyFont="1" applyFill="1" applyBorder="1" applyAlignment="1">
      <alignment vertical="justify"/>
    </xf>
    <xf numFmtId="4" fontId="7" fillId="0" borderId="12" xfId="1" applyNumberFormat="1" applyFont="1" applyFill="1" applyBorder="1" applyAlignment="1">
      <alignment horizontal="right" vertical="center"/>
    </xf>
    <xf numFmtId="4" fontId="22" fillId="8" borderId="12" xfId="0" applyNumberFormat="1" applyFont="1" applyFill="1" applyBorder="1" applyAlignment="1">
      <alignment horizontal="right" vertical="center"/>
    </xf>
    <xf numFmtId="4" fontId="22" fillId="8" borderId="12" xfId="1" applyNumberFormat="1" applyFont="1" applyFill="1" applyBorder="1" applyAlignment="1">
      <alignment horizontal="right" vertical="center"/>
    </xf>
    <xf numFmtId="4" fontId="7" fillId="11" borderId="12" xfId="0" applyNumberFormat="1" applyFont="1" applyFill="1" applyBorder="1" applyAlignment="1">
      <alignment horizontal="right" vertical="center" wrapText="1" shrinkToFit="1"/>
    </xf>
    <xf numFmtId="4" fontId="22" fillId="8" borderId="13" xfId="1" applyNumberFormat="1" applyFont="1" applyFill="1" applyBorder="1" applyAlignment="1">
      <alignment horizontal="right" vertical="center"/>
    </xf>
    <xf numFmtId="4" fontId="22" fillId="8" borderId="14" xfId="1" applyNumberFormat="1" applyFont="1" applyFill="1" applyBorder="1" applyAlignment="1">
      <alignment horizontal="right" vertical="center"/>
    </xf>
    <xf numFmtId="4" fontId="7" fillId="6" borderId="13" xfId="1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justify"/>
    </xf>
    <xf numFmtId="0" fontId="5" fillId="8" borderId="4" xfId="0" applyFont="1" applyFill="1" applyBorder="1" applyAlignment="1">
      <alignment horizontal="center" vertical="justify"/>
    </xf>
    <xf numFmtId="4" fontId="4" fillId="8" borderId="4" xfId="0" applyNumberFormat="1" applyFont="1" applyFill="1" applyBorder="1" applyAlignment="1">
      <alignment horizontal="right" vertical="center" wrapText="1" shrinkToFit="1"/>
    </xf>
    <xf numFmtId="4" fontId="54" fillId="11" borderId="4" xfId="0" applyNumberFormat="1" applyFont="1" applyFill="1" applyBorder="1" applyAlignment="1">
      <alignment horizontal="right" vertical="center" wrapText="1" shrinkToFit="1"/>
    </xf>
    <xf numFmtId="4" fontId="4" fillId="0" borderId="4" xfId="1" applyNumberFormat="1" applyFont="1" applyBorder="1" applyAlignment="1">
      <alignment horizontal="right" vertical="center"/>
    </xf>
    <xf numFmtId="4" fontId="4" fillId="8" borderId="4" xfId="1" applyNumberFormat="1" applyFont="1" applyFill="1" applyBorder="1" applyAlignment="1">
      <alignment horizontal="right" vertical="center"/>
    </xf>
    <xf numFmtId="0" fontId="55" fillId="10" borderId="0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4" fontId="42" fillId="0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2" fillId="4" borderId="0" xfId="0" applyFont="1" applyFill="1" applyAlignment="1">
      <alignment vertical="center"/>
    </xf>
    <xf numFmtId="4" fontId="49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192" fontId="8" fillId="4" borderId="0" xfId="0" applyNumberFormat="1" applyFont="1" applyFill="1" applyAlignment="1">
      <alignment vertical="center"/>
    </xf>
    <xf numFmtId="0" fontId="45" fillId="0" borderId="0" xfId="0" applyFont="1" applyAlignment="1">
      <alignment vertical="center"/>
    </xf>
    <xf numFmtId="0" fontId="13" fillId="4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3" fillId="7" borderId="8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vertical="center"/>
    </xf>
    <xf numFmtId="0" fontId="31" fillId="7" borderId="1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vertical="center"/>
    </xf>
    <xf numFmtId="0" fontId="30" fillId="7" borderId="11" xfId="0" applyFont="1" applyFill="1" applyBorder="1" applyAlignment="1">
      <alignment vertical="center"/>
    </xf>
    <xf numFmtId="0" fontId="4" fillId="8" borderId="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8" borderId="9" xfId="0" quotePrefix="1" applyFont="1" applyFill="1" applyBorder="1" applyAlignment="1">
      <alignment horizontal="center" vertical="center" wrapText="1"/>
    </xf>
    <xf numFmtId="0" fontId="4" fillId="8" borderId="2" xfId="0" quotePrefix="1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 2" xfId="2"/>
    <cellStyle name="Normal 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28575</xdr:colOff>
      <xdr:row>13</xdr:row>
      <xdr:rowOff>19050</xdr:rowOff>
    </xdr:from>
    <xdr:to>
      <xdr:col>22</xdr:col>
      <xdr:colOff>133350</xdr:colOff>
      <xdr:row>13</xdr:row>
      <xdr:rowOff>190500</xdr:rowOff>
    </xdr:to>
    <xdr:sp macro="" textlink="">
      <xdr:nvSpPr>
        <xdr:cNvPr id="37783" name="AutoShape 13"/>
        <xdr:cNvSpPr>
          <a:spLocks noChangeArrowheads="1"/>
        </xdr:cNvSpPr>
      </xdr:nvSpPr>
      <xdr:spPr bwMode="auto">
        <a:xfrm>
          <a:off x="561975" y="5810250"/>
          <a:ext cx="0" cy="1714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171575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view="pageLayout" topLeftCell="A10" zoomScale="150" zoomScaleNormal="84" zoomScalePageLayoutView="150" workbookViewId="0">
      <selection activeCell="BU13" sqref="BU13"/>
    </sheetView>
  </sheetViews>
  <sheetFormatPr defaultColWidth="9.125" defaultRowHeight="36" customHeight="1" x14ac:dyDescent="0.5"/>
  <cols>
    <col min="1" max="1" width="8.375" style="1" customWidth="1"/>
    <col min="2" max="8" width="9.125" style="1" hidden="1" customWidth="1"/>
    <col min="9" max="9" width="6.375" style="1" hidden="1" customWidth="1"/>
    <col min="10" max="10" width="6.625" style="1" hidden="1" customWidth="1"/>
    <col min="11" max="11" width="7" style="1" hidden="1" customWidth="1"/>
    <col min="12" max="12" width="6.375" style="1" hidden="1" customWidth="1"/>
    <col min="13" max="13" width="6.75" style="1" hidden="1" customWidth="1"/>
    <col min="14" max="14" width="7.625" style="1" hidden="1" customWidth="1"/>
    <col min="15" max="16" width="6.125" style="1" hidden="1" customWidth="1"/>
    <col min="17" max="17" width="6.375" style="1" hidden="1" customWidth="1"/>
    <col min="18" max="18" width="6.125" style="1" hidden="1" customWidth="1"/>
    <col min="19" max="19" width="6.875" style="1" hidden="1" customWidth="1"/>
    <col min="20" max="20" width="6" style="1" hidden="1" customWidth="1"/>
    <col min="21" max="21" width="5.75" style="1" hidden="1" customWidth="1"/>
    <col min="22" max="23" width="6.125" style="1" hidden="1" customWidth="1"/>
    <col min="24" max="24" width="6.375" style="1" hidden="1" customWidth="1"/>
    <col min="25" max="25" width="6.625" style="1" hidden="1" customWidth="1"/>
    <col min="26" max="26" width="6.375" style="1" hidden="1" customWidth="1"/>
    <col min="27" max="27" width="7.125" style="1" hidden="1" customWidth="1"/>
    <col min="28" max="28" width="7" style="1" hidden="1" customWidth="1"/>
    <col min="29" max="30" width="6.625" style="1" hidden="1" customWidth="1"/>
    <col min="31" max="31" width="6.125" style="1" hidden="1" customWidth="1"/>
    <col min="32" max="32" width="6.625" style="1" hidden="1" customWidth="1"/>
    <col min="33" max="34" width="0" style="1" hidden="1" customWidth="1"/>
    <col min="35" max="35" width="5.375" style="1" hidden="1" customWidth="1"/>
    <col min="36" max="36" width="0" style="1" hidden="1" customWidth="1"/>
    <col min="37" max="37" width="5.375" style="1" hidden="1" customWidth="1"/>
    <col min="38" max="40" width="0" style="1" hidden="1" customWidth="1"/>
    <col min="41" max="41" width="6.625" style="1" hidden="1" customWidth="1"/>
    <col min="42" max="42" width="0" style="1" hidden="1" customWidth="1"/>
    <col min="43" max="43" width="5.625" style="1" hidden="1" customWidth="1"/>
    <col min="44" max="48" width="0" style="1" hidden="1" customWidth="1"/>
    <col min="49" max="49" width="6.375" style="1" hidden="1" customWidth="1"/>
    <col min="50" max="50" width="6.125" style="1" hidden="1" customWidth="1"/>
    <col min="51" max="52" width="0" style="1" hidden="1" customWidth="1"/>
    <col min="53" max="53" width="6.375" style="1" hidden="1" customWidth="1"/>
    <col min="54" max="54" width="0" style="1" hidden="1" customWidth="1"/>
    <col min="55" max="55" width="7.125" style="1" hidden="1" customWidth="1"/>
    <col min="56" max="63" width="6.375" style="1" hidden="1" customWidth="1"/>
    <col min="64" max="67" width="6.375" style="1" customWidth="1"/>
    <col min="68" max="69" width="7" style="1" customWidth="1"/>
    <col min="70" max="70" width="6.375" style="1" customWidth="1"/>
    <col min="71" max="71" width="7.625" style="1" customWidth="1"/>
    <col min="72" max="72" width="7.25" style="71" customWidth="1"/>
    <col min="73" max="73" width="6.375" style="71" customWidth="1"/>
    <col min="74" max="74" width="5.375" style="71" customWidth="1"/>
    <col min="75" max="75" width="6.375" style="71" customWidth="1"/>
    <col min="76" max="76" width="5.25" style="71" customWidth="1"/>
    <col min="77" max="77" width="6.5" style="71" customWidth="1"/>
    <col min="78" max="78" width="7.875" style="1" customWidth="1"/>
    <col min="79" max="16384" width="9.125" style="1"/>
  </cols>
  <sheetData>
    <row r="1" spans="1:84" s="66" customFormat="1" ht="36" customHeight="1" x14ac:dyDescent="0.2">
      <c r="A1" s="163" t="s">
        <v>31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67"/>
    </row>
    <row r="2" spans="1:84" s="66" customFormat="1" ht="36" customHeight="1" x14ac:dyDescent="0.2">
      <c r="A2" s="162" t="s">
        <v>56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11"/>
      <c r="CA2" s="111"/>
      <c r="CB2" s="111"/>
      <c r="CC2" s="111"/>
      <c r="CD2" s="111"/>
      <c r="CE2" s="111"/>
      <c r="CF2" s="111"/>
    </row>
    <row r="3" spans="1:84" ht="36" customHeight="1" x14ac:dyDescent="0.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8"/>
      <c r="BV3" s="18"/>
      <c r="BW3" s="18"/>
      <c r="BX3" s="18"/>
      <c r="BY3" s="64" t="s">
        <v>11</v>
      </c>
      <c r="BZ3" s="64"/>
    </row>
    <row r="4" spans="1:84" s="5" customFormat="1" ht="36" customHeight="1" x14ac:dyDescent="0.5">
      <c r="A4" s="171" t="s">
        <v>0</v>
      </c>
      <c r="B4" s="173">
        <v>2547</v>
      </c>
      <c r="C4" s="173"/>
      <c r="D4" s="15"/>
      <c r="E4" s="174">
        <v>2548</v>
      </c>
      <c r="F4" s="175"/>
      <c r="G4" s="176"/>
      <c r="H4" s="174">
        <v>2549</v>
      </c>
      <c r="I4" s="175"/>
      <c r="J4" s="176"/>
      <c r="K4" s="174">
        <v>2550</v>
      </c>
      <c r="L4" s="175"/>
      <c r="M4" s="176"/>
      <c r="N4" s="174">
        <v>2550</v>
      </c>
      <c r="O4" s="175"/>
      <c r="P4" s="176"/>
      <c r="Q4" s="177">
        <v>2551</v>
      </c>
      <c r="R4" s="178"/>
      <c r="S4" s="178"/>
      <c r="T4" s="178"/>
      <c r="U4" s="179"/>
      <c r="V4" s="20"/>
      <c r="W4" s="164">
        <v>2552</v>
      </c>
      <c r="X4" s="168"/>
      <c r="Y4" s="168"/>
      <c r="Z4" s="168"/>
      <c r="AA4" s="168"/>
      <c r="AB4" s="169"/>
      <c r="AC4" s="21"/>
      <c r="AD4" s="165">
        <v>2553</v>
      </c>
      <c r="AE4" s="165"/>
      <c r="AF4" s="166"/>
      <c r="AG4" s="165">
        <v>2554</v>
      </c>
      <c r="AH4" s="165"/>
      <c r="AI4" s="166"/>
      <c r="AJ4" s="164">
        <v>2555</v>
      </c>
      <c r="AK4" s="168"/>
      <c r="AL4" s="168"/>
      <c r="AM4" s="168"/>
      <c r="AN4" s="168"/>
      <c r="AO4" s="169"/>
      <c r="AP4" s="164">
        <v>2556</v>
      </c>
      <c r="AQ4" s="165"/>
      <c r="AR4" s="165"/>
      <c r="AS4" s="165"/>
      <c r="AT4" s="165"/>
      <c r="AU4" s="165"/>
      <c r="AV4" s="166"/>
      <c r="AW4" s="164">
        <v>2557</v>
      </c>
      <c r="AX4" s="165"/>
      <c r="AY4" s="165"/>
      <c r="AZ4" s="165"/>
      <c r="BA4" s="165"/>
      <c r="BB4" s="165"/>
      <c r="BC4" s="166"/>
      <c r="BD4" s="164">
        <v>2558</v>
      </c>
      <c r="BE4" s="165"/>
      <c r="BF4" s="165"/>
      <c r="BG4" s="166"/>
      <c r="BH4" s="164">
        <v>2559</v>
      </c>
      <c r="BI4" s="165"/>
      <c r="BJ4" s="165"/>
      <c r="BK4" s="166"/>
      <c r="BL4" s="164">
        <v>2560</v>
      </c>
      <c r="BM4" s="165"/>
      <c r="BN4" s="165"/>
      <c r="BO4" s="165"/>
      <c r="BP4" s="164">
        <v>2561</v>
      </c>
      <c r="BQ4" s="165"/>
      <c r="BR4" s="165"/>
      <c r="BS4" s="165"/>
      <c r="BT4" s="167" t="s">
        <v>58</v>
      </c>
      <c r="BU4" s="167"/>
      <c r="BV4" s="167"/>
      <c r="BW4" s="167"/>
      <c r="BX4" s="167"/>
      <c r="BY4" s="167"/>
      <c r="BZ4" s="69"/>
      <c r="CA4" s="170" t="s">
        <v>50</v>
      </c>
      <c r="CB4" s="170"/>
    </row>
    <row r="5" spans="1:84" s="6" customFormat="1" ht="36" customHeight="1" x14ac:dyDescent="0.5">
      <c r="A5" s="172"/>
      <c r="B5" s="13" t="s">
        <v>1</v>
      </c>
      <c r="C5" s="13" t="s">
        <v>2</v>
      </c>
      <c r="D5" s="22" t="s">
        <v>3</v>
      </c>
      <c r="E5" s="23" t="s">
        <v>1</v>
      </c>
      <c r="F5" s="23" t="s">
        <v>2</v>
      </c>
      <c r="G5" s="22" t="s">
        <v>3</v>
      </c>
      <c r="H5" s="23" t="s">
        <v>1</v>
      </c>
      <c r="I5" s="23" t="s">
        <v>2</v>
      </c>
      <c r="J5" s="22" t="s">
        <v>3</v>
      </c>
      <c r="K5" s="23" t="s">
        <v>1</v>
      </c>
      <c r="L5" s="23" t="s">
        <v>2</v>
      </c>
      <c r="M5" s="22" t="s">
        <v>3</v>
      </c>
      <c r="N5" s="23" t="s">
        <v>1</v>
      </c>
      <c r="O5" s="23" t="s">
        <v>2</v>
      </c>
      <c r="P5" s="22" t="s">
        <v>3</v>
      </c>
      <c r="Q5" s="24" t="s">
        <v>1</v>
      </c>
      <c r="R5" s="25" t="s">
        <v>4</v>
      </c>
      <c r="S5" s="24" t="s">
        <v>2</v>
      </c>
      <c r="T5" s="25" t="s">
        <v>4</v>
      </c>
      <c r="U5" s="26" t="s">
        <v>3</v>
      </c>
      <c r="V5" s="24">
        <v>51</v>
      </c>
      <c r="W5" s="24" t="s">
        <v>1</v>
      </c>
      <c r="X5" s="25" t="s">
        <v>4</v>
      </c>
      <c r="Y5" s="24">
        <v>51</v>
      </c>
      <c r="Z5" s="24" t="s">
        <v>2</v>
      </c>
      <c r="AA5" s="25" t="s">
        <v>4</v>
      </c>
      <c r="AB5" s="26" t="s">
        <v>3</v>
      </c>
      <c r="AC5" s="27" t="s">
        <v>20</v>
      </c>
      <c r="AD5" s="24" t="s">
        <v>1</v>
      </c>
      <c r="AE5" s="24" t="s">
        <v>2</v>
      </c>
      <c r="AF5" s="24" t="s">
        <v>3</v>
      </c>
      <c r="AG5" s="24" t="s">
        <v>1</v>
      </c>
      <c r="AH5" s="24" t="s">
        <v>2</v>
      </c>
      <c r="AI5" s="24" t="s">
        <v>3</v>
      </c>
      <c r="AJ5" s="24" t="s">
        <v>1</v>
      </c>
      <c r="AK5" s="25" t="s">
        <v>4</v>
      </c>
      <c r="AL5" s="28" t="s">
        <v>21</v>
      </c>
      <c r="AM5" s="24" t="s">
        <v>2</v>
      </c>
      <c r="AN5" s="25" t="s">
        <v>4</v>
      </c>
      <c r="AO5" s="24" t="s">
        <v>3</v>
      </c>
      <c r="AP5" s="24" t="s">
        <v>6</v>
      </c>
      <c r="AQ5" s="24" t="s">
        <v>1</v>
      </c>
      <c r="AR5" s="25" t="s">
        <v>4</v>
      </c>
      <c r="AS5" s="28" t="s">
        <v>21</v>
      </c>
      <c r="AT5" s="24" t="s">
        <v>2</v>
      </c>
      <c r="AU5" s="25" t="s">
        <v>4</v>
      </c>
      <c r="AV5" s="29" t="s">
        <v>3</v>
      </c>
      <c r="AW5" s="24" t="s">
        <v>6</v>
      </c>
      <c r="AX5" s="24" t="s">
        <v>1</v>
      </c>
      <c r="AY5" s="25" t="s">
        <v>4</v>
      </c>
      <c r="AZ5" s="24" t="s">
        <v>2</v>
      </c>
      <c r="BA5" s="24" t="s">
        <v>2</v>
      </c>
      <c r="BB5" s="25" t="s">
        <v>4</v>
      </c>
      <c r="BC5" s="29" t="s">
        <v>3</v>
      </c>
      <c r="BD5" s="65" t="s">
        <v>6</v>
      </c>
      <c r="BE5" s="65" t="s">
        <v>1</v>
      </c>
      <c r="BF5" s="65" t="s">
        <v>2</v>
      </c>
      <c r="BG5" s="29" t="s">
        <v>3</v>
      </c>
      <c r="BH5" s="75" t="s">
        <v>6</v>
      </c>
      <c r="BI5" s="86" t="s">
        <v>1</v>
      </c>
      <c r="BJ5" s="86" t="s">
        <v>2</v>
      </c>
      <c r="BK5" s="83" t="s">
        <v>3</v>
      </c>
      <c r="BL5" s="75" t="s">
        <v>6</v>
      </c>
      <c r="BM5" s="86" t="s">
        <v>1</v>
      </c>
      <c r="BN5" s="86" t="s">
        <v>2</v>
      </c>
      <c r="BO5" s="91" t="s">
        <v>3</v>
      </c>
      <c r="BP5" s="109" t="s">
        <v>6</v>
      </c>
      <c r="BQ5" s="86" t="s">
        <v>1</v>
      </c>
      <c r="BR5" s="86" t="s">
        <v>2</v>
      </c>
      <c r="BS5" s="91" t="s">
        <v>3</v>
      </c>
      <c r="BT5" s="95" t="s">
        <v>6</v>
      </c>
      <c r="BU5" s="86" t="s">
        <v>1</v>
      </c>
      <c r="BV5" s="80" t="s">
        <v>30</v>
      </c>
      <c r="BW5" s="86" t="s">
        <v>2</v>
      </c>
      <c r="BX5" s="80" t="s">
        <v>30</v>
      </c>
      <c r="BY5" s="83" t="s">
        <v>3</v>
      </c>
      <c r="BZ5" s="70"/>
      <c r="CA5" s="68" t="s">
        <v>1</v>
      </c>
      <c r="CB5" s="55" t="s">
        <v>2</v>
      </c>
    </row>
    <row r="6" spans="1:84" s="6" customFormat="1" ht="36" customHeight="1" x14ac:dyDescent="0.5">
      <c r="A6" s="78" t="s">
        <v>38</v>
      </c>
      <c r="B6" s="79">
        <v>12981.45</v>
      </c>
      <c r="C6" s="79">
        <v>724.88</v>
      </c>
      <c r="D6" s="79">
        <f>B6-C6</f>
        <v>12256.570000000002</v>
      </c>
      <c r="E6" s="30">
        <v>14921.39</v>
      </c>
      <c r="F6" s="30">
        <v>951.53</v>
      </c>
      <c r="G6" s="30">
        <f>E6-F6</f>
        <v>13969.859999999999</v>
      </c>
      <c r="H6" s="30">
        <v>17733.96</v>
      </c>
      <c r="I6" s="30">
        <v>1046.1099999999999</v>
      </c>
      <c r="J6" s="30">
        <f>H6-I6</f>
        <v>16687.849999999999</v>
      </c>
      <c r="K6" s="30">
        <v>17934.61</v>
      </c>
      <c r="L6" s="30">
        <v>1141.73</v>
      </c>
      <c r="M6" s="30">
        <f>K6-L6</f>
        <v>16792.88</v>
      </c>
      <c r="N6" s="30">
        <v>17934.61</v>
      </c>
      <c r="O6" s="30">
        <v>1141.73</v>
      </c>
      <c r="P6" s="30">
        <f>N6-O6</f>
        <v>16792.88</v>
      </c>
      <c r="Q6" s="31">
        <v>26373.68</v>
      </c>
      <c r="R6" s="31">
        <f>(Q6-N6)*100/N6</f>
        <v>47.054661350316508</v>
      </c>
      <c r="S6" s="31">
        <v>1978.76</v>
      </c>
      <c r="T6" s="31">
        <f>(S6-O6)*100/O6</f>
        <v>73.312429383479454</v>
      </c>
      <c r="U6" s="32">
        <f>Q6-S6</f>
        <v>24394.920000000002</v>
      </c>
      <c r="V6" s="33">
        <v>26373.68</v>
      </c>
      <c r="W6" s="34">
        <v>21396.23</v>
      </c>
      <c r="X6" s="35">
        <f>+(W6-V6)/V6*100</f>
        <v>-18.872792875321156</v>
      </c>
      <c r="Y6" s="36">
        <v>1978.76</v>
      </c>
      <c r="Z6" s="36">
        <v>1584.1</v>
      </c>
      <c r="AA6" s="35">
        <f>+(Z6-Y6)/Y6*100</f>
        <v>-19.944813923871521</v>
      </c>
      <c r="AB6" s="35">
        <f t="shared" ref="AB6:AB12" si="0">+W6-Z6</f>
        <v>19812.13</v>
      </c>
      <c r="AC6" s="35">
        <v>12219.88</v>
      </c>
      <c r="AD6" s="37">
        <v>28089.87</v>
      </c>
      <c r="AE6" s="37">
        <v>2813.87</v>
      </c>
      <c r="AF6" s="37">
        <f>(AD6-AE6)+0.01</f>
        <v>25276.01</v>
      </c>
      <c r="AG6" s="37">
        <v>33372.94</v>
      </c>
      <c r="AH6" s="37">
        <v>4107.38</v>
      </c>
      <c r="AI6" s="37">
        <f>SUM(AG6-AH6)</f>
        <v>29265.56</v>
      </c>
      <c r="AJ6" s="37">
        <v>44976.65</v>
      </c>
      <c r="AK6" s="37" t="e">
        <f>+(AJ6-CE6)/CE6*100</f>
        <v>#DIV/0!</v>
      </c>
      <c r="AL6" s="37">
        <v>618.36</v>
      </c>
      <c r="AM6" s="37">
        <v>5458.6</v>
      </c>
      <c r="AN6" s="37" t="e">
        <f>+(AM6-CF6)/CF6*100+0.1</f>
        <v>#DIV/0!</v>
      </c>
      <c r="AO6" s="37">
        <f>(AJ6-AM6)+0.01</f>
        <v>39518.060000000005</v>
      </c>
      <c r="AP6" s="37">
        <f>SUM(AQ6+AT6)</f>
        <v>59651.59</v>
      </c>
      <c r="AQ6" s="16">
        <v>51625.85</v>
      </c>
      <c r="AR6" s="38" t="e">
        <f>+(AQ6-CE6)/CE6*100</f>
        <v>#DIV/0!</v>
      </c>
      <c r="AS6" s="16">
        <v>618.36</v>
      </c>
      <c r="AT6" s="16">
        <v>8025.74</v>
      </c>
      <c r="AU6" s="38" t="e">
        <f>+(AT6-CF6)/CF6*100</f>
        <v>#DIV/0!</v>
      </c>
      <c r="AV6" s="16">
        <f>SUM(AQ6-AT6)-0.01</f>
        <v>43600.1</v>
      </c>
      <c r="AW6" s="16">
        <f>SUM(AX6+BA6)</f>
        <v>74771.744999999995</v>
      </c>
      <c r="AX6" s="39">
        <v>59508.775000000001</v>
      </c>
      <c r="AY6" s="16">
        <f>+(AX6-AQ6)/AQ6*100</f>
        <v>15.269336969754498</v>
      </c>
      <c r="AZ6" s="16">
        <v>618.36</v>
      </c>
      <c r="BA6" s="16">
        <v>15262.97</v>
      </c>
      <c r="BB6" s="16">
        <f>+(BA6-AT6)/AT6*100</f>
        <v>90.175236177598578</v>
      </c>
      <c r="BC6" s="39">
        <f>SUM(AX6-BA6)-0.01</f>
        <v>44245.794999999998</v>
      </c>
      <c r="BD6" s="39">
        <f t="shared" ref="BD6:BD12" si="1">SUM(BE6+BF6)</f>
        <v>77173.313999999998</v>
      </c>
      <c r="BE6" s="16">
        <v>61061.42</v>
      </c>
      <c r="BF6" s="39">
        <v>16111.894</v>
      </c>
      <c r="BG6" s="16">
        <f t="shared" ref="BG6:BG12" si="2">SUM(BE6-BF6)</f>
        <v>44949.525999999998</v>
      </c>
      <c r="BH6" s="81">
        <f t="shared" ref="BH6:BH11" si="3">SUM(BI6+BJ6)</f>
        <v>66670.045299999998</v>
      </c>
      <c r="BI6" s="87">
        <v>53897.3246</v>
      </c>
      <c r="BJ6" s="87">
        <v>12772.7207</v>
      </c>
      <c r="BK6" s="84">
        <f t="shared" ref="BK6:BK12" si="4">SUM(BI6-BJ6)</f>
        <v>41124.603900000002</v>
      </c>
      <c r="BL6" s="115">
        <f t="shared" ref="BL6:BL11" si="5">SUM(BM6+BN6)</f>
        <v>75151.064899999998</v>
      </c>
      <c r="BM6" s="114">
        <v>59599.9084</v>
      </c>
      <c r="BN6" s="114">
        <v>15551.156499999999</v>
      </c>
      <c r="BO6" s="117">
        <f t="shared" ref="BO6:BO11" si="6">SUM(BM6-BN6)</f>
        <v>44048.751900000003</v>
      </c>
      <c r="BP6" s="115">
        <f t="shared" ref="BP6:BP11" si="7">BQ6+BR6</f>
        <v>90653.919099999999</v>
      </c>
      <c r="BQ6" s="137">
        <v>76318.6155</v>
      </c>
      <c r="BR6" s="137">
        <v>14335.303599999999</v>
      </c>
      <c r="BS6" s="116">
        <f t="shared" ref="BS6:BS11" si="8">BQ6-BR6</f>
        <v>61983.311900000001</v>
      </c>
      <c r="BT6" s="115">
        <f t="shared" ref="BT6:BT11" si="9">SUM(BU6+BW6)</f>
        <v>42342.822899999999</v>
      </c>
      <c r="BU6" s="137">
        <v>36517.161399999997</v>
      </c>
      <c r="BV6" s="134">
        <f t="shared" ref="BV6:BV12" si="10">SUM(BU6-CA6)*100/CA6</f>
        <v>26.624689584588126</v>
      </c>
      <c r="BW6" s="137">
        <v>5825.6615000000002</v>
      </c>
      <c r="BX6" s="134">
        <f>SUM(BW6-CB6)*100/CB6</f>
        <v>-21.580943842851248</v>
      </c>
      <c r="BY6" s="116">
        <f t="shared" ref="BY6:BY11" si="11">SUM(BU6-BW6)</f>
        <v>30691.499899999995</v>
      </c>
      <c r="BZ6" s="73"/>
      <c r="CA6" s="113">
        <v>28838.895100000002</v>
      </c>
      <c r="CB6" s="113">
        <v>7428.8850000000002</v>
      </c>
    </row>
    <row r="7" spans="1:84" ht="36" customHeight="1" x14ac:dyDescent="0.5">
      <c r="A7" s="78" t="s">
        <v>39</v>
      </c>
      <c r="B7" s="79">
        <v>5956.52</v>
      </c>
      <c r="C7" s="79">
        <v>33.76</v>
      </c>
      <c r="D7" s="79">
        <f>B7-C7</f>
        <v>5922.76</v>
      </c>
      <c r="E7" s="30">
        <v>9311.33</v>
      </c>
      <c r="F7" s="30">
        <v>37.54</v>
      </c>
      <c r="G7" s="30">
        <f>E7-F7</f>
        <v>9273.7899999999991</v>
      </c>
      <c r="H7" s="30">
        <v>11260.67</v>
      </c>
      <c r="I7" s="30">
        <v>75.540000000000006</v>
      </c>
      <c r="J7" s="30">
        <f>H7-I7</f>
        <v>11185.13</v>
      </c>
      <c r="K7" s="30">
        <v>11777.17</v>
      </c>
      <c r="L7" s="30">
        <v>121.59</v>
      </c>
      <c r="M7" s="30">
        <f>K7-L7</f>
        <v>11655.58</v>
      </c>
      <c r="N7" s="30">
        <v>11777.17</v>
      </c>
      <c r="O7" s="30">
        <v>121.59</v>
      </c>
      <c r="P7" s="30">
        <f>N7-O7</f>
        <v>11655.58</v>
      </c>
      <c r="Q7" s="31">
        <v>16455.04</v>
      </c>
      <c r="R7" s="31">
        <f>(Q7-N7)*100/N7</f>
        <v>39.719813843223804</v>
      </c>
      <c r="S7" s="31">
        <v>26.2</v>
      </c>
      <c r="T7" s="40">
        <f>(S7-O7)*100/O7</f>
        <v>-78.452175343367045</v>
      </c>
      <c r="U7" s="32">
        <f>Q7-S7</f>
        <v>16428.84</v>
      </c>
      <c r="V7" s="33">
        <v>16455.04</v>
      </c>
      <c r="W7" s="34">
        <v>17974.23</v>
      </c>
      <c r="X7" s="35">
        <f>+(W7-V7)/V7*100</f>
        <v>9.2323689276963083</v>
      </c>
      <c r="Y7" s="36">
        <v>26.2</v>
      </c>
      <c r="Z7" s="36">
        <v>48.9</v>
      </c>
      <c r="AA7" s="35">
        <f>+(Z7-Y7)/Y7*100</f>
        <v>86.641221374045799</v>
      </c>
      <c r="AB7" s="35">
        <f t="shared" si="0"/>
        <v>17925.329999999998</v>
      </c>
      <c r="AC7" s="35">
        <v>10375.42</v>
      </c>
      <c r="AD7" s="37">
        <v>18917.54</v>
      </c>
      <c r="AE7" s="37">
        <v>101.57</v>
      </c>
      <c r="AF7" s="37">
        <f>(AD7-AE7)-0.01</f>
        <v>18815.960000000003</v>
      </c>
      <c r="AG7" s="37">
        <v>21761.61</v>
      </c>
      <c r="AH7" s="37">
        <v>150.08000000000001</v>
      </c>
      <c r="AI7" s="37">
        <f>SUM(AG7-AH7)-0.01</f>
        <v>21611.52</v>
      </c>
      <c r="AJ7" s="37">
        <v>24454.14</v>
      </c>
      <c r="AK7" s="37" t="e">
        <f>+(AJ7-CE7)/CE7*100</f>
        <v>#DIV/0!</v>
      </c>
      <c r="AL7" s="37">
        <v>29.56</v>
      </c>
      <c r="AM7" s="37">
        <v>482.58</v>
      </c>
      <c r="AN7" s="37" t="e">
        <f>+(AM7-CF7)/CF7*100</f>
        <v>#DIV/0!</v>
      </c>
      <c r="AO7" s="37">
        <f>(AJ7-AM7)</f>
        <v>23971.559999999998</v>
      </c>
      <c r="AP7" s="37">
        <f>SUM(AQ7+AT7)</f>
        <v>26825.81</v>
      </c>
      <c r="AQ7" s="16">
        <v>25431.83</v>
      </c>
      <c r="AR7" s="38" t="e">
        <f>+(AQ7-CE7)/CE7*100</f>
        <v>#DIV/0!</v>
      </c>
      <c r="AS7" s="16">
        <v>29.56</v>
      </c>
      <c r="AT7" s="16">
        <v>1393.98</v>
      </c>
      <c r="AU7" s="38" t="e">
        <f>+(AT7-CF7)/CF7*100</f>
        <v>#DIV/0!</v>
      </c>
      <c r="AV7" s="16">
        <f>SUM(AQ7-AT7)</f>
        <v>24037.850000000002</v>
      </c>
      <c r="AW7" s="16">
        <f>SUM(AX7+BA7)</f>
        <v>29639.334999999999</v>
      </c>
      <c r="AX7" s="39">
        <v>27557.985000000001</v>
      </c>
      <c r="AY7" s="16">
        <f t="shared" ref="AY7:AY12" si="12">+(AX7-AQ7)/AQ7*100</f>
        <v>8.3602123795259669</v>
      </c>
      <c r="AZ7" s="16">
        <v>29.56</v>
      </c>
      <c r="BA7" s="16">
        <v>2081.35</v>
      </c>
      <c r="BB7" s="16">
        <f>+(BA7-AT7)/AT7*100</f>
        <v>49.309889668431389</v>
      </c>
      <c r="BC7" s="39">
        <f t="shared" ref="BC7:BC12" si="13">SUM(AX7-BA7)</f>
        <v>25476.635000000002</v>
      </c>
      <c r="BD7" s="39">
        <f t="shared" si="1"/>
        <v>31819.444000000003</v>
      </c>
      <c r="BE7" s="16">
        <v>29073.24</v>
      </c>
      <c r="BF7" s="16">
        <v>2746.2040000000002</v>
      </c>
      <c r="BG7" s="16">
        <f t="shared" si="2"/>
        <v>26327.036</v>
      </c>
      <c r="BH7" s="81">
        <f t="shared" si="3"/>
        <v>33714.361299999997</v>
      </c>
      <c r="BI7" s="87">
        <v>29739.1783</v>
      </c>
      <c r="BJ7" s="87">
        <v>3975.183</v>
      </c>
      <c r="BK7" s="84">
        <f t="shared" si="4"/>
        <v>25763.995299999999</v>
      </c>
      <c r="BL7" s="115">
        <f t="shared" si="5"/>
        <v>33441.401599999997</v>
      </c>
      <c r="BM7" s="114">
        <v>29175.502499999999</v>
      </c>
      <c r="BN7" s="114">
        <v>4265.8990999999996</v>
      </c>
      <c r="BO7" s="117">
        <f t="shared" si="6"/>
        <v>24909.6034</v>
      </c>
      <c r="BP7" s="115">
        <f t="shared" si="7"/>
        <v>36230.422299999998</v>
      </c>
      <c r="BQ7" s="137">
        <v>31309.636999999999</v>
      </c>
      <c r="BR7" s="137">
        <v>4920.7852999999996</v>
      </c>
      <c r="BS7" s="116">
        <f t="shared" si="8"/>
        <v>26388.851699999999</v>
      </c>
      <c r="BT7" s="140">
        <f t="shared" si="9"/>
        <v>14660.6423</v>
      </c>
      <c r="BU7" s="137">
        <v>12655.245699999999</v>
      </c>
      <c r="BV7" s="112">
        <f t="shared" si="10"/>
        <v>-1.3944594158850501</v>
      </c>
      <c r="BW7" s="137">
        <v>2005.3966</v>
      </c>
      <c r="BX7" s="112">
        <f>SUM(BW7-CB7)*100/CB7</f>
        <v>7.7101336748725364</v>
      </c>
      <c r="BY7" s="116">
        <f t="shared" si="11"/>
        <v>10649.849099999999</v>
      </c>
      <c r="BZ7" s="98"/>
      <c r="CA7" s="113">
        <v>12834.213599999999</v>
      </c>
      <c r="CB7" s="113">
        <v>1861.8458000000001</v>
      </c>
    </row>
    <row r="8" spans="1:84" ht="36" customHeight="1" x14ac:dyDescent="0.5">
      <c r="A8" s="78" t="s">
        <v>40</v>
      </c>
      <c r="B8" s="79">
        <v>1870.23</v>
      </c>
      <c r="C8" s="79">
        <v>50.42</v>
      </c>
      <c r="D8" s="79">
        <f>B8-C8</f>
        <v>1819.81</v>
      </c>
      <c r="E8" s="30">
        <v>1925.3</v>
      </c>
      <c r="F8" s="30">
        <v>55.05</v>
      </c>
      <c r="G8" s="30">
        <f>E8-F8</f>
        <v>1870.25</v>
      </c>
      <c r="H8" s="30">
        <v>1933.79</v>
      </c>
      <c r="I8" s="30">
        <v>108.53</v>
      </c>
      <c r="J8" s="30">
        <f>H8-I8</f>
        <v>1825.26</v>
      </c>
      <c r="K8" s="30">
        <v>1327.84</v>
      </c>
      <c r="L8" s="30">
        <v>357.12</v>
      </c>
      <c r="M8" s="30">
        <f>K8-L8</f>
        <v>970.71999999999991</v>
      </c>
      <c r="N8" s="30">
        <v>1327.84</v>
      </c>
      <c r="O8" s="30">
        <v>357.12</v>
      </c>
      <c r="P8" s="30">
        <f>N8-O8</f>
        <v>970.71999999999991</v>
      </c>
      <c r="Q8" s="31">
        <v>2043.36</v>
      </c>
      <c r="R8" s="31">
        <f>(Q8-N8)*100/N8</f>
        <v>53.886010362694307</v>
      </c>
      <c r="S8" s="31">
        <v>896.77</v>
      </c>
      <c r="T8" s="41">
        <f>(S8-O8)*100/O8</f>
        <v>151.1116711469534</v>
      </c>
      <c r="U8" s="32">
        <f>Q8-S8</f>
        <v>1146.5899999999999</v>
      </c>
      <c r="V8" s="33">
        <v>2043.36</v>
      </c>
      <c r="W8" s="34">
        <v>1690</v>
      </c>
      <c r="X8" s="35">
        <f>+(W8-V8)/V8*100</f>
        <v>-17.293085897737058</v>
      </c>
      <c r="Y8" s="36">
        <v>896.77</v>
      </c>
      <c r="Z8" s="36">
        <v>837.14</v>
      </c>
      <c r="AA8" s="35">
        <f>+(Z8-Y8)/Y8*100</f>
        <v>-6.6494195836167576</v>
      </c>
      <c r="AB8" s="35">
        <f t="shared" si="0"/>
        <v>852.86</v>
      </c>
      <c r="AC8" s="35">
        <v>1014.21</v>
      </c>
      <c r="AD8" s="37">
        <v>2253.23</v>
      </c>
      <c r="AE8" s="37">
        <v>1377.01</v>
      </c>
      <c r="AF8" s="37">
        <f>(AD8-AE8)</f>
        <v>876.22</v>
      </c>
      <c r="AG8" s="37">
        <v>2772.95</v>
      </c>
      <c r="AH8" s="37">
        <v>627.80999999999995</v>
      </c>
      <c r="AI8" s="37">
        <f>SUM(AG8-AH8)-0.01</f>
        <v>2145.1299999999997</v>
      </c>
      <c r="AJ8" s="37">
        <v>3434.28</v>
      </c>
      <c r="AK8" s="37" t="e">
        <f>+(AJ8-CE8)/CE8*100</f>
        <v>#DIV/0!</v>
      </c>
      <c r="AL8" s="37">
        <v>407.09</v>
      </c>
      <c r="AM8" s="37">
        <v>1086.635</v>
      </c>
      <c r="AN8" s="37" t="e">
        <f>+(AM8-CF8)/CF8*100</f>
        <v>#DIV/0!</v>
      </c>
      <c r="AO8" s="37">
        <f>(AJ8-AM8)-0.02</f>
        <v>2347.6250000000005</v>
      </c>
      <c r="AP8" s="37">
        <f>SUM(AQ8+AT8)</f>
        <v>4935.3799999999992</v>
      </c>
      <c r="AQ8" s="16">
        <v>4753.4799999999996</v>
      </c>
      <c r="AR8" s="38" t="e">
        <f>+(AQ8-CE8)/CE8*100</f>
        <v>#DIV/0!</v>
      </c>
      <c r="AS8" s="16">
        <v>407.09</v>
      </c>
      <c r="AT8" s="16">
        <v>181.9</v>
      </c>
      <c r="AU8" s="38" t="e">
        <f>+(AT8-CF8)/CF8*100</f>
        <v>#DIV/0!</v>
      </c>
      <c r="AV8" s="16">
        <f>SUM(AQ8-AT8)-0.01</f>
        <v>4571.57</v>
      </c>
      <c r="AW8" s="16">
        <f>SUM(AX8+BA8)</f>
        <v>7418.63</v>
      </c>
      <c r="AX8" s="16">
        <v>6799.01</v>
      </c>
      <c r="AY8" s="16">
        <f t="shared" si="12"/>
        <v>43.032262679131939</v>
      </c>
      <c r="AZ8" s="16">
        <v>407.09</v>
      </c>
      <c r="BA8" s="16">
        <v>619.62</v>
      </c>
      <c r="BB8" s="16">
        <f>+(BA8-AT8)/AT8*100</f>
        <v>240.63771302913688</v>
      </c>
      <c r="BC8" s="16">
        <f t="shared" si="13"/>
        <v>6179.39</v>
      </c>
      <c r="BD8" s="39">
        <f t="shared" si="1"/>
        <v>12898.880000000001</v>
      </c>
      <c r="BE8" s="16">
        <v>12250.27</v>
      </c>
      <c r="BF8" s="16">
        <v>648.61</v>
      </c>
      <c r="BG8" s="16">
        <f t="shared" si="2"/>
        <v>11601.66</v>
      </c>
      <c r="BH8" s="81">
        <f t="shared" si="3"/>
        <v>15896.487799999999</v>
      </c>
      <c r="BI8" s="87">
        <v>14405.8977</v>
      </c>
      <c r="BJ8" s="87">
        <v>1490.5900999999999</v>
      </c>
      <c r="BK8" s="84">
        <f t="shared" si="4"/>
        <v>12915.3076</v>
      </c>
      <c r="BL8" s="115">
        <f t="shared" si="5"/>
        <v>12836.305499999999</v>
      </c>
      <c r="BM8" s="114">
        <v>11605.873799999999</v>
      </c>
      <c r="BN8" s="114">
        <v>1230.4317000000001</v>
      </c>
      <c r="BO8" s="117">
        <f t="shared" si="6"/>
        <v>10375.4421</v>
      </c>
      <c r="BP8" s="115">
        <f t="shared" si="7"/>
        <v>12341.648300000001</v>
      </c>
      <c r="BQ8" s="137">
        <v>11011.4221</v>
      </c>
      <c r="BR8" s="137">
        <v>1330.2262000000001</v>
      </c>
      <c r="BS8" s="116">
        <f t="shared" si="8"/>
        <v>9681.1958999999988</v>
      </c>
      <c r="BT8" s="115">
        <f t="shared" si="9"/>
        <v>6339.9159</v>
      </c>
      <c r="BU8" s="137">
        <v>5787.4669999999996</v>
      </c>
      <c r="BV8" s="134">
        <f t="shared" si="10"/>
        <v>37.254807562326476</v>
      </c>
      <c r="BW8" s="137">
        <v>552.44889999999998</v>
      </c>
      <c r="BX8" s="134">
        <f>SUM(BW8-CB8)*100/CB8</f>
        <v>-20.323474788953057</v>
      </c>
      <c r="BY8" s="116">
        <f t="shared" si="11"/>
        <v>5235.0180999999993</v>
      </c>
      <c r="BZ8" s="73"/>
      <c r="CA8" s="113">
        <v>4216.5860000000002</v>
      </c>
      <c r="CB8" s="113">
        <v>693.36469999999997</v>
      </c>
    </row>
    <row r="9" spans="1:84" ht="36" customHeight="1" x14ac:dyDescent="0.5">
      <c r="A9" s="78" t="s">
        <v>41</v>
      </c>
      <c r="B9" s="79">
        <v>163.96</v>
      </c>
      <c r="C9" s="79">
        <v>152.94</v>
      </c>
      <c r="D9" s="79">
        <f>B9-C9</f>
        <v>11.02000000000001</v>
      </c>
      <c r="E9" s="30">
        <v>568.83000000000004</v>
      </c>
      <c r="F9" s="30">
        <v>158.16999999999999</v>
      </c>
      <c r="G9" s="30">
        <f>E9-F9</f>
        <v>410.66000000000008</v>
      </c>
      <c r="H9" s="30">
        <v>548.47</v>
      </c>
      <c r="I9" s="30">
        <v>6.91</v>
      </c>
      <c r="J9" s="30">
        <f>H9-I9</f>
        <v>541.56000000000006</v>
      </c>
      <c r="K9" s="30">
        <v>783.51</v>
      </c>
      <c r="L9" s="30">
        <v>25.94</v>
      </c>
      <c r="M9" s="30">
        <f>K9-L9</f>
        <v>757.56999999999994</v>
      </c>
      <c r="N9" s="30">
        <v>783.51</v>
      </c>
      <c r="O9" s="30">
        <v>25.94</v>
      </c>
      <c r="P9" s="30">
        <f>N9-O9</f>
        <v>757.56999999999994</v>
      </c>
      <c r="Q9" s="31">
        <v>2155.15</v>
      </c>
      <c r="R9" s="42">
        <f>(Q9-N9)*100/N9</f>
        <v>175.06349631785173</v>
      </c>
      <c r="S9" s="31">
        <v>33.840000000000003</v>
      </c>
      <c r="T9" s="31">
        <f>(S9-O9)*100/O9</f>
        <v>30.454895913646883</v>
      </c>
      <c r="U9" s="32">
        <f>Q9-S9</f>
        <v>2121.31</v>
      </c>
      <c r="V9" s="33">
        <v>2155.15</v>
      </c>
      <c r="W9" s="34">
        <v>1648.75</v>
      </c>
      <c r="X9" s="35">
        <f>+(W9-V9)/V9*100</f>
        <v>-23.497204370925463</v>
      </c>
      <c r="Y9" s="36">
        <v>33.840000000000003</v>
      </c>
      <c r="Z9" s="36">
        <v>24.74</v>
      </c>
      <c r="AA9" s="35">
        <f>+(Z9-Y9)/Y9*100</f>
        <v>-26.891252955082756</v>
      </c>
      <c r="AB9" s="35">
        <f t="shared" si="0"/>
        <v>1624.01</v>
      </c>
      <c r="AC9" s="35">
        <v>954</v>
      </c>
      <c r="AD9" s="37">
        <v>1600.27</v>
      </c>
      <c r="AE9" s="37">
        <v>11.43</v>
      </c>
      <c r="AF9" s="37">
        <f>(AD9-AE9)</f>
        <v>1588.84</v>
      </c>
      <c r="AG9" s="37">
        <v>804.82</v>
      </c>
      <c r="AH9" s="37">
        <v>26.79</v>
      </c>
      <c r="AI9" s="37">
        <f>SUM(AG9-AH9)+0.01</f>
        <v>778.04000000000008</v>
      </c>
      <c r="AJ9" s="37">
        <v>1529.02</v>
      </c>
      <c r="AK9" s="37" t="e">
        <f>+(AJ9-CE9)/CE9*100</f>
        <v>#DIV/0!</v>
      </c>
      <c r="AL9" s="37">
        <v>23.21</v>
      </c>
      <c r="AM9" s="37">
        <v>139.73500000000001</v>
      </c>
      <c r="AN9" s="37" t="e">
        <f>+(AM9-CF9)/CF9*100+0.1</f>
        <v>#DIV/0!</v>
      </c>
      <c r="AO9" s="37">
        <f>(AJ9-AM9)-0.01</f>
        <v>1389.2749999999999</v>
      </c>
      <c r="AP9" s="37">
        <f>SUM(AQ9+AT9)-0.01</f>
        <v>1996.94</v>
      </c>
      <c r="AQ9" s="16">
        <v>1851.96</v>
      </c>
      <c r="AR9" s="38" t="e">
        <f>+(AQ9-CE9)/CE9*100</f>
        <v>#DIV/0!</v>
      </c>
      <c r="AS9" s="16">
        <v>23.21</v>
      </c>
      <c r="AT9" s="16">
        <v>144.99</v>
      </c>
      <c r="AU9" s="38" t="e">
        <f>+(AT9-CF9)/CF9*100+0.01</f>
        <v>#DIV/0!</v>
      </c>
      <c r="AV9" s="16">
        <f>SUM(AQ9-AT9)</f>
        <v>1706.97</v>
      </c>
      <c r="AW9" s="16">
        <f>SUM(AX9+BA9)-0.01</f>
        <v>2711.95</v>
      </c>
      <c r="AX9" s="16">
        <v>2442.4</v>
      </c>
      <c r="AY9" s="16">
        <f t="shared" si="12"/>
        <v>31.881898097151129</v>
      </c>
      <c r="AZ9" s="16">
        <v>23.21</v>
      </c>
      <c r="BA9" s="16">
        <v>269.56</v>
      </c>
      <c r="BB9" s="16">
        <f>+(BA9-AT9)/AT9*100</f>
        <v>85.916270087592238</v>
      </c>
      <c r="BC9" s="16">
        <f t="shared" si="13"/>
        <v>2172.84</v>
      </c>
      <c r="BD9" s="39">
        <f t="shared" si="1"/>
        <v>2847.62</v>
      </c>
      <c r="BE9" s="16">
        <v>1968.2</v>
      </c>
      <c r="BF9" s="16">
        <v>879.42</v>
      </c>
      <c r="BG9" s="16">
        <f t="shared" si="2"/>
        <v>1088.7800000000002</v>
      </c>
      <c r="BH9" s="81">
        <f t="shared" si="3"/>
        <v>3734.0452</v>
      </c>
      <c r="BI9" s="87">
        <v>2378.7073</v>
      </c>
      <c r="BJ9" s="87">
        <v>1355.3379</v>
      </c>
      <c r="BK9" s="84">
        <f t="shared" si="4"/>
        <v>1023.3694</v>
      </c>
      <c r="BL9" s="115">
        <f t="shared" si="5"/>
        <v>3011.8746000000001</v>
      </c>
      <c r="BM9" s="114">
        <v>873.30489999999998</v>
      </c>
      <c r="BN9" s="114">
        <v>2138.5697</v>
      </c>
      <c r="BO9" s="117">
        <f t="shared" si="6"/>
        <v>-1265.2647999999999</v>
      </c>
      <c r="BP9" s="115">
        <f t="shared" si="7"/>
        <v>5317.4624000000003</v>
      </c>
      <c r="BQ9" s="137">
        <v>3348.6278000000002</v>
      </c>
      <c r="BR9" s="137">
        <v>1968.8345999999999</v>
      </c>
      <c r="BS9" s="116">
        <f t="shared" si="8"/>
        <v>1379.7932000000003</v>
      </c>
      <c r="BT9" s="115">
        <f t="shared" si="9"/>
        <v>3627.0837000000001</v>
      </c>
      <c r="BU9" s="137">
        <v>2164.1165999999998</v>
      </c>
      <c r="BV9" s="134">
        <f t="shared" si="10"/>
        <v>102.37614573888375</v>
      </c>
      <c r="BW9" s="137">
        <v>1462.9671000000001</v>
      </c>
      <c r="BX9" s="134">
        <f>SUM(BW9-CB9)*100/CB9</f>
        <v>8.6728451874080577</v>
      </c>
      <c r="BY9" s="116">
        <f t="shared" si="11"/>
        <v>701.14949999999976</v>
      </c>
      <c r="BZ9" s="73"/>
      <c r="CA9" s="113">
        <v>1069.3535999999999</v>
      </c>
      <c r="CB9" s="113">
        <v>1346.2121999999999</v>
      </c>
    </row>
    <row r="10" spans="1:84" ht="36" customHeight="1" x14ac:dyDescent="0.5">
      <c r="A10" s="78" t="s">
        <v>42</v>
      </c>
      <c r="B10" s="79"/>
      <c r="C10" s="79"/>
      <c r="D10" s="7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R10" s="31"/>
      <c r="S10" s="31"/>
      <c r="T10" s="31"/>
      <c r="U10" s="32"/>
      <c r="V10" s="33"/>
      <c r="W10" s="34"/>
      <c r="X10" s="35"/>
      <c r="Y10" s="36"/>
      <c r="Z10" s="36"/>
      <c r="AA10" s="35"/>
      <c r="AB10" s="35"/>
      <c r="AC10" s="35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16"/>
      <c r="AR10" s="38"/>
      <c r="AS10" s="16"/>
      <c r="AT10" s="16"/>
      <c r="AU10" s="38"/>
      <c r="AV10" s="16"/>
      <c r="AW10" s="16">
        <f>SUM(AX10+BA10)</f>
        <v>0</v>
      </c>
      <c r="AX10" s="16">
        <v>0</v>
      </c>
      <c r="AY10" s="16" t="e">
        <f>+(AX10-AQ10)/AQ10*100</f>
        <v>#DIV/0!</v>
      </c>
      <c r="AZ10" s="16">
        <v>0</v>
      </c>
      <c r="BA10" s="16">
        <v>0</v>
      </c>
      <c r="BB10" s="16">
        <v>0</v>
      </c>
      <c r="BC10" s="16">
        <f>SUM(AX10-BA10)</f>
        <v>0</v>
      </c>
      <c r="BD10" s="39">
        <f>SUM(BE10+BF10)</f>
        <v>0</v>
      </c>
      <c r="BE10" s="16">
        <v>0</v>
      </c>
      <c r="BF10" s="16">
        <v>0</v>
      </c>
      <c r="BG10" s="16">
        <f>SUM(BE10-BF10)</f>
        <v>0</v>
      </c>
      <c r="BH10" s="81">
        <f>SUM(BI10+BJ10)</f>
        <v>114.19329999999999</v>
      </c>
      <c r="BI10" s="87">
        <v>0</v>
      </c>
      <c r="BJ10" s="87">
        <v>114.19329999999999</v>
      </c>
      <c r="BK10" s="84">
        <f>SUM(BI10-BJ10)</f>
        <v>-114.19329999999999</v>
      </c>
      <c r="BL10" s="115">
        <f t="shared" si="5"/>
        <v>818.89969999999994</v>
      </c>
      <c r="BM10" s="114">
        <v>464.25110000000001</v>
      </c>
      <c r="BN10" s="114">
        <v>354.64859999999999</v>
      </c>
      <c r="BO10" s="117">
        <f t="shared" si="6"/>
        <v>109.60250000000002</v>
      </c>
      <c r="BP10" s="115">
        <f t="shared" si="7"/>
        <v>834.05729999999994</v>
      </c>
      <c r="BQ10" s="137">
        <v>609.45169999999996</v>
      </c>
      <c r="BR10" s="137">
        <v>224.60560000000001</v>
      </c>
      <c r="BS10" s="116">
        <f t="shared" si="8"/>
        <v>384.84609999999998</v>
      </c>
      <c r="BT10" s="115">
        <f>SUM(BU10+BW10)</f>
        <v>415.58950000000004</v>
      </c>
      <c r="BU10" s="137">
        <v>282.81</v>
      </c>
      <c r="BV10" s="134">
        <f t="shared" si="10"/>
        <v>7.5171933986473487</v>
      </c>
      <c r="BW10" s="137">
        <v>132.77950000000001</v>
      </c>
      <c r="BX10" s="134">
        <f>SUM(BW10-CB10)*100/CB10</f>
        <v>-8.3137975203615468</v>
      </c>
      <c r="BY10" s="116">
        <f>SUM(BU10-BW10)</f>
        <v>150.03049999999999</v>
      </c>
      <c r="BZ10" s="73"/>
      <c r="CA10" s="113">
        <v>263.03699999999998</v>
      </c>
      <c r="CB10" s="113">
        <v>144.81950000000001</v>
      </c>
    </row>
    <row r="11" spans="1:84" ht="36" customHeight="1" x14ac:dyDescent="0.5">
      <c r="A11" s="78" t="s">
        <v>43</v>
      </c>
      <c r="B11" s="79">
        <v>88.57</v>
      </c>
      <c r="C11" s="79">
        <v>0.06</v>
      </c>
      <c r="D11" s="79">
        <f>B11-C11</f>
        <v>88.509999999999991</v>
      </c>
      <c r="E11" s="30">
        <v>150.97</v>
      </c>
      <c r="F11" s="30">
        <v>0</v>
      </c>
      <c r="G11" s="30">
        <f>E11-F11</f>
        <v>150.97</v>
      </c>
      <c r="H11" s="30">
        <v>190.78</v>
      </c>
      <c r="I11" s="30">
        <v>0</v>
      </c>
      <c r="J11" s="30">
        <f>H11-I11</f>
        <v>190.78</v>
      </c>
      <c r="K11" s="30">
        <v>197.98</v>
      </c>
      <c r="L11" s="30">
        <v>0</v>
      </c>
      <c r="M11" s="30">
        <f>K11-L11</f>
        <v>197.98</v>
      </c>
      <c r="N11" s="30">
        <v>197.98</v>
      </c>
      <c r="O11" s="30">
        <v>0</v>
      </c>
      <c r="P11" s="30">
        <f>N11-O11</f>
        <v>197.98</v>
      </c>
      <c r="Q11" s="31">
        <v>252.28</v>
      </c>
      <c r="R11" s="31">
        <f>(Q11-N11)*100/N11</f>
        <v>27.42701282957875</v>
      </c>
      <c r="S11" s="31">
        <v>0</v>
      </c>
      <c r="T11" s="31">
        <v>0</v>
      </c>
      <c r="U11" s="32">
        <f>Q11-S11</f>
        <v>252.28</v>
      </c>
      <c r="V11" s="33">
        <v>252.28</v>
      </c>
      <c r="W11" s="34">
        <v>169.44</v>
      </c>
      <c r="X11" s="35">
        <f>+(W11-V11)/V11*100</f>
        <v>-32.836530838750591</v>
      </c>
      <c r="Y11" s="36">
        <v>0</v>
      </c>
      <c r="Z11" s="36">
        <v>0</v>
      </c>
      <c r="AA11" s="35">
        <v>0</v>
      </c>
      <c r="AB11" s="35">
        <f t="shared" si="0"/>
        <v>169.44</v>
      </c>
      <c r="AC11" s="35">
        <v>64.2</v>
      </c>
      <c r="AD11" s="37">
        <v>251.54</v>
      </c>
      <c r="AE11" s="37">
        <v>0</v>
      </c>
      <c r="AF11" s="37">
        <f>(AD11-AE11)</f>
        <v>251.54</v>
      </c>
      <c r="AG11" s="37">
        <v>353</v>
      </c>
      <c r="AH11" s="37">
        <v>0</v>
      </c>
      <c r="AI11" s="37">
        <f>SUM(AG11-AH11)</f>
        <v>353</v>
      </c>
      <c r="AJ11" s="37">
        <v>527.42999999999995</v>
      </c>
      <c r="AK11" s="37" t="e">
        <f>+(AJ11-#REF!)/#REF!*100</f>
        <v>#REF!</v>
      </c>
      <c r="AL11" s="37">
        <v>0</v>
      </c>
      <c r="AM11" s="37">
        <v>0</v>
      </c>
      <c r="AN11" s="37">
        <v>0</v>
      </c>
      <c r="AO11" s="37">
        <f>(AJ11-AM11)</f>
        <v>527.42999999999995</v>
      </c>
      <c r="AP11" s="37">
        <f>SUM(AQ11+AT11)</f>
        <v>424.79</v>
      </c>
      <c r="AQ11" s="16">
        <v>424.79</v>
      </c>
      <c r="AR11" s="38" t="e">
        <f>+(AQ11-#REF!)/#REF!*100</f>
        <v>#REF!</v>
      </c>
      <c r="AS11" s="16">
        <v>0</v>
      </c>
      <c r="AT11" s="16">
        <v>0</v>
      </c>
      <c r="AU11" s="38">
        <v>0</v>
      </c>
      <c r="AV11" s="16">
        <f>SUM(AQ11-AT11)</f>
        <v>424.79</v>
      </c>
      <c r="AW11" s="16">
        <f>SUM(AX11+BA11)</f>
        <v>470.72</v>
      </c>
      <c r="AX11" s="16">
        <v>470.72</v>
      </c>
      <c r="AY11" s="16">
        <f>+(AX11-AQ11)/AQ11*100</f>
        <v>10.812401421879049</v>
      </c>
      <c r="AZ11" s="16">
        <v>0</v>
      </c>
      <c r="BA11" s="16">
        <v>0</v>
      </c>
      <c r="BB11" s="16">
        <v>0</v>
      </c>
      <c r="BC11" s="16">
        <f t="shared" si="13"/>
        <v>470.72</v>
      </c>
      <c r="BD11" s="39">
        <f t="shared" si="1"/>
        <v>338.9</v>
      </c>
      <c r="BE11" s="16">
        <v>338.9</v>
      </c>
      <c r="BF11" s="16">
        <v>0</v>
      </c>
      <c r="BG11" s="16">
        <f t="shared" si="2"/>
        <v>338.9</v>
      </c>
      <c r="BH11" s="81">
        <f t="shared" si="3"/>
        <v>921.55619999999999</v>
      </c>
      <c r="BI11" s="87">
        <v>921.33280000000002</v>
      </c>
      <c r="BJ11" s="87">
        <v>0.22339999999999999</v>
      </c>
      <c r="BK11" s="84">
        <f t="shared" si="4"/>
        <v>921.10940000000005</v>
      </c>
      <c r="BL11" s="115">
        <f t="shared" si="5"/>
        <v>8.7609999999999992</v>
      </c>
      <c r="BM11" s="114">
        <v>8.7609999999999992</v>
      </c>
      <c r="BN11" s="114">
        <v>0</v>
      </c>
      <c r="BO11" s="117">
        <f t="shared" si="6"/>
        <v>8.7609999999999992</v>
      </c>
      <c r="BP11" s="115">
        <f t="shared" si="7"/>
        <v>4.8169000000000004</v>
      </c>
      <c r="BQ11" s="137">
        <v>4.8169000000000004</v>
      </c>
      <c r="BR11" s="137">
        <v>0</v>
      </c>
      <c r="BS11" s="116">
        <f t="shared" si="8"/>
        <v>4.8169000000000004</v>
      </c>
      <c r="BT11" s="115">
        <f t="shared" si="9"/>
        <v>2.1837999999999997</v>
      </c>
      <c r="BU11" s="137">
        <v>0.1138</v>
      </c>
      <c r="BV11" s="134">
        <f t="shared" si="10"/>
        <v>-97.136746760598811</v>
      </c>
      <c r="BW11" s="137">
        <v>2.0699999999999998</v>
      </c>
      <c r="BX11" s="134" t="s">
        <v>17</v>
      </c>
      <c r="BY11" s="116">
        <f t="shared" si="11"/>
        <v>-1.9561999999999999</v>
      </c>
      <c r="BZ11" s="73"/>
      <c r="CA11" s="113">
        <v>3.9744999999999999</v>
      </c>
      <c r="CB11" s="113">
        <v>0</v>
      </c>
    </row>
    <row r="12" spans="1:84" ht="36" customHeight="1" x14ac:dyDescent="0.5">
      <c r="A12" s="76" t="s">
        <v>6</v>
      </c>
      <c r="B12" s="77"/>
      <c r="C12" s="77"/>
      <c r="D12" s="77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  <c r="R12" s="44"/>
      <c r="S12" s="44"/>
      <c r="T12" s="44"/>
      <c r="U12" s="44"/>
      <c r="V12" s="44"/>
      <c r="W12" s="45">
        <f>SUM(W6:W11)+0.01</f>
        <v>42878.66</v>
      </c>
      <c r="X12" s="45">
        <f>SUM(X6:X11)</f>
        <v>-83.267245055037961</v>
      </c>
      <c r="Y12" s="45">
        <f>SUM(Y6:Y11)</f>
        <v>2935.57</v>
      </c>
      <c r="Z12" s="45">
        <f>SUM(Z6:Z11)-0.03</f>
        <v>2494.8499999999995</v>
      </c>
      <c r="AA12" s="45">
        <f>SUM(AA6:AA11)</f>
        <v>33.155734911474767</v>
      </c>
      <c r="AB12" s="45">
        <f t="shared" si="0"/>
        <v>40383.810000000005</v>
      </c>
      <c r="AC12" s="45">
        <f t="shared" ref="AC12:AH12" si="14">SUM(AC6:AC11)</f>
        <v>24627.71</v>
      </c>
      <c r="AD12" s="45">
        <f t="shared" si="14"/>
        <v>51112.450000000004</v>
      </c>
      <c r="AE12" s="45">
        <f t="shared" si="14"/>
        <v>4303.88</v>
      </c>
      <c r="AF12" s="45">
        <f t="shared" si="14"/>
        <v>46808.57</v>
      </c>
      <c r="AG12" s="45">
        <f t="shared" si="14"/>
        <v>59065.32</v>
      </c>
      <c r="AH12" s="46">
        <f t="shared" si="14"/>
        <v>4912.0600000000004</v>
      </c>
      <c r="AI12" s="47">
        <f>SUM(AI6:AI11)+0.01</f>
        <v>54153.26</v>
      </c>
      <c r="AJ12" s="45">
        <f>SUM(AJ6:AJ11)</f>
        <v>74921.52</v>
      </c>
      <c r="AK12" s="47" t="e">
        <f>+(AJ12-CE12)/CE12*100</f>
        <v>#DIV/0!</v>
      </c>
      <c r="AL12" s="45">
        <f>SUM(AL6:AL11)</f>
        <v>1078.22</v>
      </c>
      <c r="AM12" s="46">
        <f>SUM(AM6:AM11)</f>
        <v>7167.55</v>
      </c>
      <c r="AN12" s="47" t="e">
        <f>+(AM12-CF12)/CF12*100</f>
        <v>#DIV/0!</v>
      </c>
      <c r="AO12" s="47">
        <f>SUM(AO6:AO11)+0.02</f>
        <v>67753.97</v>
      </c>
      <c r="AP12" s="17">
        <f>SUM(AQ12+AT12)</f>
        <v>93834.51999999999</v>
      </c>
      <c r="AQ12" s="48">
        <f>SUM(AQ6:AQ11)-0.01</f>
        <v>84087.9</v>
      </c>
      <c r="AR12" s="49">
        <v>12.23</v>
      </c>
      <c r="AS12" s="48">
        <f>SUM(AS6:AS11)</f>
        <v>1078.22</v>
      </c>
      <c r="AT12" s="50">
        <f>SUM(AT6:AT11)+0.01</f>
        <v>9746.619999999999</v>
      </c>
      <c r="AU12" s="49" t="e">
        <f>+(AT12-CF12)/CF12*100</f>
        <v>#DIV/0!</v>
      </c>
      <c r="AV12" s="17">
        <f>SUM(AQ12-AT12)</f>
        <v>74341.279999999999</v>
      </c>
      <c r="AW12" s="51">
        <f>SUM(AX12+BA12)+0.01</f>
        <v>115012.4</v>
      </c>
      <c r="AX12" s="62">
        <f>SUM(AX6:AX11)</f>
        <v>96778.89</v>
      </c>
      <c r="AY12" s="51">
        <f t="shared" si="12"/>
        <v>15.092528175873113</v>
      </c>
      <c r="AZ12" s="62">
        <f>SUM(AZ6:AZ11)</f>
        <v>1078.22</v>
      </c>
      <c r="BA12" s="61">
        <f>SUM(BA6:BA11)</f>
        <v>18233.5</v>
      </c>
      <c r="BB12" s="51">
        <f>+(BA12-AT12)/AT12*100</f>
        <v>87.075109114749537</v>
      </c>
      <c r="BC12" s="51">
        <f t="shared" si="13"/>
        <v>78545.39</v>
      </c>
      <c r="BD12" s="51">
        <f t="shared" si="1"/>
        <v>125078.158</v>
      </c>
      <c r="BE12" s="62">
        <f>SUM(BE6:BE11)</f>
        <v>104692.03</v>
      </c>
      <c r="BF12" s="61">
        <f>SUM(BF6:BF11)</f>
        <v>20386.128000000001</v>
      </c>
      <c r="BG12" s="51">
        <f t="shared" si="2"/>
        <v>84305.902000000002</v>
      </c>
      <c r="BH12" s="82">
        <f>SUM(BI12+BJ12)</f>
        <v>121050.68909999999</v>
      </c>
      <c r="BI12" s="88">
        <f>SUM(BI6:BI11)</f>
        <v>101342.44069999999</v>
      </c>
      <c r="BJ12" s="89">
        <f>SUM(BJ6:BJ11)</f>
        <v>19708.248399999997</v>
      </c>
      <c r="BK12" s="85">
        <f t="shared" si="4"/>
        <v>81634.192299999995</v>
      </c>
      <c r="BL12" s="90">
        <f>SUM(BM12+BN12)</f>
        <v>125268.3073</v>
      </c>
      <c r="BM12" s="88">
        <f>SUM(BM6:BM11)</f>
        <v>101727.6017</v>
      </c>
      <c r="BN12" s="93">
        <f>SUM(BN6:BN11)</f>
        <v>23540.705600000001</v>
      </c>
      <c r="BO12" s="92">
        <f>SUM(BM12-BN12)</f>
        <v>78186.896099999998</v>
      </c>
      <c r="BP12" s="138">
        <f>SUM(BQ12+BR12)</f>
        <v>145382.32630000002</v>
      </c>
      <c r="BQ12" s="135">
        <f>SUM(BQ6:BQ11)</f>
        <v>122602.57100000001</v>
      </c>
      <c r="BR12" s="100">
        <f>SUM(BR6:BR11)</f>
        <v>22779.755299999997</v>
      </c>
      <c r="BS12" s="139">
        <f>SUM(BQ12-BR12)-0.01</f>
        <v>99822.805700000012</v>
      </c>
      <c r="BT12" s="138">
        <f>SUM(BU12+BW12)</f>
        <v>67388.238099999988</v>
      </c>
      <c r="BU12" s="135">
        <f>SUM(BU6:BU11)</f>
        <v>57406.914499999992</v>
      </c>
      <c r="BV12" s="136">
        <f t="shared" si="10"/>
        <v>21.557705095693791</v>
      </c>
      <c r="BW12" s="100">
        <f>SUM(BW6:BW11)</f>
        <v>9981.3235999999997</v>
      </c>
      <c r="BX12" s="136">
        <f>SUM(BW12-CB12)*100/CB12</f>
        <v>-13.017751994940857</v>
      </c>
      <c r="BY12" s="139">
        <f>SUM(BU12-BW12)</f>
        <v>47425.590899999996</v>
      </c>
      <c r="BZ12" s="74"/>
      <c r="CA12" s="88">
        <f>SUM(CA6:CA11)</f>
        <v>47226.059799999995</v>
      </c>
      <c r="CB12" s="93">
        <f>SUM(CB6:CB11)</f>
        <v>11475.127200000001</v>
      </c>
    </row>
    <row r="13" spans="1:84" ht="24" customHeight="1" x14ac:dyDescent="0.5">
      <c r="A13" s="52" t="s">
        <v>18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53"/>
      <c r="T13" s="18"/>
      <c r="U13" s="54"/>
      <c r="V13" s="54"/>
      <c r="W13" s="18"/>
      <c r="X13" s="18"/>
      <c r="Y13" s="18"/>
      <c r="Z13" s="53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97"/>
      <c r="BU13" s="96"/>
      <c r="BV13" s="96"/>
      <c r="BW13" s="96"/>
      <c r="BX13" s="96"/>
      <c r="BY13" s="14" t="s">
        <v>35</v>
      </c>
      <c r="BZ13" s="14"/>
    </row>
    <row r="14" spans="1:84" s="101" customFormat="1" ht="18.75" customHeight="1" x14ac:dyDescent="0.2">
      <c r="A14" s="103" t="s">
        <v>46</v>
      </c>
      <c r="B14" s="104"/>
      <c r="C14" s="105"/>
      <c r="D14" s="105"/>
      <c r="E14" s="105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50"/>
      <c r="T14" s="149"/>
      <c r="U14" s="150"/>
      <c r="V14" s="150"/>
      <c r="W14" s="149"/>
      <c r="X14" s="149"/>
      <c r="Y14" s="149"/>
      <c r="Z14" s="150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1"/>
      <c r="BU14" s="152"/>
      <c r="BV14" s="152"/>
      <c r="BW14" s="152"/>
      <c r="BX14" s="152"/>
      <c r="BY14" s="150" t="s">
        <v>15</v>
      </c>
      <c r="BZ14" s="150"/>
    </row>
    <row r="15" spans="1:84" s="72" customFormat="1" ht="18.75" customHeight="1" x14ac:dyDescent="0.2">
      <c r="A15" s="107" t="s">
        <v>47</v>
      </c>
      <c r="B15" s="104"/>
      <c r="C15" s="105"/>
      <c r="D15" s="105"/>
      <c r="E15" s="105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50"/>
      <c r="T15" s="149"/>
      <c r="U15" s="150"/>
      <c r="V15" s="150"/>
      <c r="W15" s="149"/>
      <c r="X15" s="149"/>
      <c r="Y15" s="149"/>
      <c r="Z15" s="150"/>
      <c r="AA15" s="149"/>
      <c r="AB15" s="149"/>
      <c r="AC15" s="149"/>
      <c r="AD15" s="149"/>
      <c r="AE15" s="149"/>
      <c r="AF15" s="149"/>
      <c r="AG15" s="149"/>
      <c r="AH15" s="149"/>
      <c r="AI15" s="149"/>
      <c r="AJ15" s="153"/>
      <c r="AK15" s="149"/>
      <c r="AL15" s="149"/>
      <c r="AM15" s="149"/>
      <c r="AN15" s="149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4" t="s">
        <v>33</v>
      </c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1"/>
      <c r="BU15" s="155"/>
      <c r="BV15" s="152"/>
      <c r="BW15" s="152"/>
      <c r="BX15" s="152"/>
      <c r="BY15" s="150" t="s">
        <v>7</v>
      </c>
      <c r="BZ15" s="150"/>
    </row>
    <row r="16" spans="1:84" s="148" customFormat="1" ht="18.75" customHeight="1" x14ac:dyDescent="0.2">
      <c r="A16" s="103" t="s">
        <v>48</v>
      </c>
      <c r="B16" s="107"/>
      <c r="C16" s="59"/>
      <c r="D16" s="59"/>
      <c r="E16" s="59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08"/>
      <c r="AU16" s="8"/>
      <c r="BJ16" s="72"/>
      <c r="BT16" s="157"/>
      <c r="BU16" s="157"/>
      <c r="BV16" s="157"/>
      <c r="BW16" s="157"/>
      <c r="BX16" s="157"/>
      <c r="BY16" s="158"/>
      <c r="BZ16" s="159"/>
      <c r="CB16" s="160"/>
      <c r="CC16" s="9"/>
    </row>
    <row r="17" spans="1:77" s="72" customFormat="1" ht="18.75" customHeight="1" x14ac:dyDescent="0.2">
      <c r="A17" s="108" t="s">
        <v>49</v>
      </c>
      <c r="BT17" s="161"/>
      <c r="BU17" s="161"/>
      <c r="BV17" s="161"/>
      <c r="BW17" s="161"/>
      <c r="BX17" s="161"/>
      <c r="BY17" s="161"/>
    </row>
    <row r="18" spans="1:77" s="72" customFormat="1" ht="18.75" customHeight="1" x14ac:dyDescent="0.2">
      <c r="A18" s="147" t="s">
        <v>62</v>
      </c>
      <c r="BT18" s="161"/>
      <c r="BU18" s="161"/>
      <c r="BV18" s="161"/>
      <c r="BW18" s="161"/>
      <c r="BX18" s="161"/>
      <c r="BY18" s="161"/>
    </row>
    <row r="19" spans="1:77" ht="36" customHeight="1" x14ac:dyDescent="0.5">
      <c r="O19" s="10">
        <f t="shared" ref="O19:AA19" si="15">SUM(O7:O13)</f>
        <v>504.65000000000003</v>
      </c>
      <c r="P19" s="10">
        <f t="shared" si="15"/>
        <v>13581.849999999999</v>
      </c>
      <c r="Q19" s="10">
        <f t="shared" si="15"/>
        <v>20905.830000000002</v>
      </c>
      <c r="R19" s="10">
        <f t="shared" si="15"/>
        <v>296.0963333533486</v>
      </c>
      <c r="S19" s="10">
        <f t="shared" si="15"/>
        <v>956.81000000000006</v>
      </c>
      <c r="T19" s="10">
        <f t="shared" si="15"/>
        <v>103.11439171723323</v>
      </c>
      <c r="U19" s="10">
        <f t="shared" si="15"/>
        <v>19949.02</v>
      </c>
      <c r="V19" s="10">
        <f t="shared" si="15"/>
        <v>20905.830000000002</v>
      </c>
      <c r="W19" s="10">
        <f t="shared" si="15"/>
        <v>64361.08</v>
      </c>
      <c r="X19" s="10">
        <f t="shared" si="15"/>
        <v>-147.66169723475477</v>
      </c>
      <c r="Y19" s="10">
        <f t="shared" si="15"/>
        <v>3892.38</v>
      </c>
      <c r="Z19" s="10">
        <f t="shared" si="15"/>
        <v>3405.6299999999992</v>
      </c>
      <c r="AA19" s="10">
        <f t="shared" si="15"/>
        <v>86.256283746821055</v>
      </c>
      <c r="AB19" s="10">
        <f>SUM(Z14-AA14)</f>
        <v>0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>
        <f>SUM(AT7:AT13)</f>
        <v>11467.49</v>
      </c>
      <c r="AU19" s="11" t="e">
        <f>(AT14-BK14)*100/BK14</f>
        <v>#DIV/0!</v>
      </c>
      <c r="AV19" s="12">
        <f>SUM(AV7:AV13)</f>
        <v>105082.46</v>
      </c>
    </row>
  </sheetData>
  <mergeCells count="21">
    <mergeCell ref="CA4:CB4"/>
    <mergeCell ref="A4:A5"/>
    <mergeCell ref="B4:C4"/>
    <mergeCell ref="E4:G4"/>
    <mergeCell ref="H4:J4"/>
    <mergeCell ref="K4:M4"/>
    <mergeCell ref="N4:P4"/>
    <mergeCell ref="Q4:U4"/>
    <mergeCell ref="W4:AB4"/>
    <mergeCell ref="BL4:BO4"/>
    <mergeCell ref="BP4:BS4"/>
    <mergeCell ref="A1:BY1"/>
    <mergeCell ref="A2:BY2"/>
    <mergeCell ref="BD4:BG4"/>
    <mergeCell ref="BT4:BY4"/>
    <mergeCell ref="AD4:AF4"/>
    <mergeCell ref="AG4:AI4"/>
    <mergeCell ref="AJ4:AO4"/>
    <mergeCell ref="AP4:AV4"/>
    <mergeCell ref="AW4:BC4"/>
    <mergeCell ref="BH4:BK4"/>
  </mergeCells>
  <phoneticPr fontId="17" type="noConversion"/>
  <pageMargins left="0.3" right="0" top="1.3771701388888888" bottom="0.75" header="0.3" footer="0.3"/>
  <pageSetup scale="95" orientation="portrait" horizontalDpi="4294967295" verticalDpi="4294967295" r:id="rId1"/>
  <headerFooter>
    <oddHeader>&amp;C&amp;"AngsanaUPC,Regular"&amp;16- 33 -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abSelected="1" view="pageLayout" zoomScale="150" zoomScaleNormal="96" zoomScalePageLayoutView="150" workbookViewId="0">
      <selection activeCell="H1" sqref="H1:H1048576"/>
    </sheetView>
  </sheetViews>
  <sheetFormatPr defaultColWidth="9.125" defaultRowHeight="23.25" x14ac:dyDescent="0.5"/>
  <cols>
    <col min="1" max="1" width="6.125" style="2" customWidth="1"/>
    <col min="2" max="2" width="33.25" style="2" customWidth="1"/>
    <col min="3" max="4" width="10.125" style="2" customWidth="1"/>
    <col min="5" max="6" width="10.125" style="124" customWidth="1"/>
    <col min="7" max="7" width="6.875" style="2" customWidth="1"/>
    <col min="8" max="16384" width="9.125" style="2"/>
  </cols>
  <sheetData>
    <row r="1" spans="1:38" ht="26.25" x14ac:dyDescent="0.5">
      <c r="A1" s="181" t="s">
        <v>32</v>
      </c>
      <c r="B1" s="181"/>
      <c r="C1" s="181"/>
      <c r="D1" s="181"/>
      <c r="E1" s="181"/>
      <c r="F1" s="181"/>
      <c r="G1" s="181"/>
    </row>
    <row r="2" spans="1:38" ht="22.9" customHeight="1" x14ac:dyDescent="0.5">
      <c r="A2" s="162" t="s">
        <v>56</v>
      </c>
      <c r="B2" s="162"/>
      <c r="C2" s="162"/>
      <c r="D2" s="162"/>
      <c r="E2" s="162"/>
      <c r="F2" s="162"/>
      <c r="G2" s="162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</row>
    <row r="3" spans="1:38" ht="23.25" customHeight="1" x14ac:dyDescent="0.55000000000000004">
      <c r="A3" s="56" t="s">
        <v>19</v>
      </c>
      <c r="B3" s="57"/>
      <c r="C3" s="57"/>
      <c r="D3" s="57"/>
      <c r="E3" s="118"/>
      <c r="F3" s="118"/>
      <c r="G3" s="63" t="s">
        <v>11</v>
      </c>
    </row>
    <row r="4" spans="1:38" ht="18" customHeight="1" x14ac:dyDescent="0.5">
      <c r="A4" s="180" t="s">
        <v>9</v>
      </c>
      <c r="B4" s="180" t="s">
        <v>13</v>
      </c>
      <c r="C4" s="185">
        <v>2560</v>
      </c>
      <c r="D4" s="185">
        <v>2561</v>
      </c>
      <c r="E4" s="127">
        <v>2561</v>
      </c>
      <c r="F4" s="128">
        <v>2562</v>
      </c>
      <c r="G4" s="183" t="s">
        <v>30</v>
      </c>
    </row>
    <row r="5" spans="1:38" ht="18" customHeight="1" x14ac:dyDescent="0.5">
      <c r="A5" s="187"/>
      <c r="B5" s="187"/>
      <c r="C5" s="186"/>
      <c r="D5" s="186"/>
      <c r="E5" s="180" t="s">
        <v>57</v>
      </c>
      <c r="F5" s="180"/>
      <c r="G5" s="184"/>
    </row>
    <row r="6" spans="1:38" ht="17.25" customHeight="1" x14ac:dyDescent="0.5">
      <c r="A6" s="141">
        <v>1</v>
      </c>
      <c r="B6" s="130" t="s">
        <v>59</v>
      </c>
      <c r="C6" s="131">
        <v>10172.475972</v>
      </c>
      <c r="D6" s="131">
        <v>12992.874878000001</v>
      </c>
      <c r="E6" s="144">
        <v>5267.6864139999998</v>
      </c>
      <c r="F6" s="144">
        <v>6333.0613020000001</v>
      </c>
      <c r="G6" s="145">
        <f>+(F6-E6)/E6*100</f>
        <v>20.224721144533952</v>
      </c>
    </row>
    <row r="7" spans="1:38" ht="18.75" customHeight="1" x14ac:dyDescent="0.5">
      <c r="A7" s="141">
        <v>2</v>
      </c>
      <c r="B7" s="130" t="s">
        <v>53</v>
      </c>
      <c r="C7" s="131">
        <v>5539.4793309999995</v>
      </c>
      <c r="D7" s="131">
        <v>7700.4584720000003</v>
      </c>
      <c r="E7" s="144">
        <v>2400.9191179999998</v>
      </c>
      <c r="F7" s="144">
        <v>5307.1613159999997</v>
      </c>
      <c r="G7" s="145">
        <f t="shared" ref="G7:G18" si="0">+(F7-E7)/E7*100</f>
        <v>121.04706802538779</v>
      </c>
    </row>
    <row r="8" spans="1:38" ht="18.75" customHeight="1" x14ac:dyDescent="0.5">
      <c r="A8" s="141">
        <v>3</v>
      </c>
      <c r="B8" s="130" t="s">
        <v>23</v>
      </c>
      <c r="C8" s="131">
        <v>6206.5231940000003</v>
      </c>
      <c r="D8" s="131">
        <v>6444.6233249999996</v>
      </c>
      <c r="E8" s="144">
        <v>3028.8187210000001</v>
      </c>
      <c r="F8" s="144">
        <v>2707.6003369999999</v>
      </c>
      <c r="G8" s="145">
        <f t="shared" si="0"/>
        <v>-10.605401431682456</v>
      </c>
    </row>
    <row r="9" spans="1:38" ht="18.75" customHeight="1" x14ac:dyDescent="0.5">
      <c r="A9" s="141">
        <v>4</v>
      </c>
      <c r="B9" s="130" t="s">
        <v>60</v>
      </c>
      <c r="C9" s="131">
        <v>4714.2996210000001</v>
      </c>
      <c r="D9" s="131">
        <v>5584.3996230000002</v>
      </c>
      <c r="E9" s="144">
        <v>2668.2786150000002</v>
      </c>
      <c r="F9" s="144">
        <v>2686.2642959999998</v>
      </c>
      <c r="G9" s="145">
        <f t="shared" si="0"/>
        <v>0.67405558395931064</v>
      </c>
    </row>
    <row r="10" spans="1:38" ht="18.75" customHeight="1" x14ac:dyDescent="0.5">
      <c r="A10" s="141">
        <v>5</v>
      </c>
      <c r="B10" s="130" t="s">
        <v>52</v>
      </c>
      <c r="C10" s="131">
        <v>1274.264158</v>
      </c>
      <c r="D10" s="131">
        <v>1806.5277659999999</v>
      </c>
      <c r="E10" s="144">
        <v>821.31726600000002</v>
      </c>
      <c r="F10" s="144">
        <v>2112.7460110000002</v>
      </c>
      <c r="G10" s="145">
        <f t="shared" si="0"/>
        <v>157.23871863665414</v>
      </c>
    </row>
    <row r="11" spans="1:38" ht="18.75" customHeight="1" x14ac:dyDescent="0.5">
      <c r="A11" s="141">
        <v>6</v>
      </c>
      <c r="B11" s="130" t="s">
        <v>22</v>
      </c>
      <c r="C11" s="131">
        <v>3129.4512810000001</v>
      </c>
      <c r="D11" s="131">
        <v>3569.4831279999999</v>
      </c>
      <c r="E11" s="144">
        <v>1433.8783410000001</v>
      </c>
      <c r="F11" s="144">
        <v>1846.8428449999999</v>
      </c>
      <c r="G11" s="145">
        <f>+(F11-E11)/E11*100</f>
        <v>28.800525971540551</v>
      </c>
    </row>
    <row r="12" spans="1:38" ht="18.75" customHeight="1" x14ac:dyDescent="0.5">
      <c r="A12" s="141">
        <v>7</v>
      </c>
      <c r="B12" s="130" t="s">
        <v>34</v>
      </c>
      <c r="C12" s="131">
        <v>2442.9365699999998</v>
      </c>
      <c r="D12" s="131">
        <v>3599.732375</v>
      </c>
      <c r="E12" s="144">
        <v>1281.733919</v>
      </c>
      <c r="F12" s="144">
        <v>1708.429697</v>
      </c>
      <c r="G12" s="145">
        <f t="shared" si="0"/>
        <v>33.290511523086252</v>
      </c>
    </row>
    <row r="13" spans="1:38" ht="18.75" customHeight="1" x14ac:dyDescent="0.5">
      <c r="A13" s="141">
        <v>8</v>
      </c>
      <c r="B13" s="130" t="s">
        <v>28</v>
      </c>
      <c r="C13" s="131">
        <v>3168.3056019999999</v>
      </c>
      <c r="D13" s="131">
        <v>3775.068538</v>
      </c>
      <c r="E13" s="144">
        <v>1561.8741439999999</v>
      </c>
      <c r="F13" s="144">
        <v>1516.191196</v>
      </c>
      <c r="G13" s="145">
        <f t="shared" si="0"/>
        <v>-2.9248802264569598</v>
      </c>
    </row>
    <row r="14" spans="1:38" ht="18.75" customHeight="1" x14ac:dyDescent="0.5">
      <c r="A14" s="141">
        <v>9</v>
      </c>
      <c r="B14" s="130" t="s">
        <v>51</v>
      </c>
      <c r="C14" s="131">
        <v>2190.756594</v>
      </c>
      <c r="D14" s="131">
        <v>2654.7381439999999</v>
      </c>
      <c r="E14" s="144">
        <v>1053.6947090000001</v>
      </c>
      <c r="F14" s="144">
        <v>1402.8508690000001</v>
      </c>
      <c r="G14" s="145">
        <f t="shared" si="0"/>
        <v>33.136368344429066</v>
      </c>
    </row>
    <row r="15" spans="1:38" ht="18.75" customHeight="1" x14ac:dyDescent="0.5">
      <c r="A15" s="141">
        <v>10</v>
      </c>
      <c r="B15" s="130" t="s">
        <v>45</v>
      </c>
      <c r="C15" s="131">
        <v>1866.075977</v>
      </c>
      <c r="D15" s="131">
        <v>3056.4499580000002</v>
      </c>
      <c r="E15" s="144">
        <v>935.81411900000001</v>
      </c>
      <c r="F15" s="144">
        <v>1365.664947</v>
      </c>
      <c r="G15" s="145">
        <f t="shared" si="0"/>
        <v>45.933355703089148</v>
      </c>
    </row>
    <row r="16" spans="1:38" ht="18.75" customHeight="1" x14ac:dyDescent="0.5">
      <c r="A16" s="142"/>
      <c r="B16" s="129" t="s">
        <v>10</v>
      </c>
      <c r="C16" s="143">
        <v>40704.568299999999</v>
      </c>
      <c r="D16" s="143">
        <v>51184.356206999997</v>
      </c>
      <c r="E16" s="143">
        <v>20454.015366</v>
      </c>
      <c r="F16" s="143">
        <v>26986.812816000001</v>
      </c>
      <c r="G16" s="146">
        <f t="shared" si="0"/>
        <v>31.93894857857223</v>
      </c>
    </row>
    <row r="17" spans="1:7" ht="18.75" customHeight="1" x14ac:dyDescent="0.5">
      <c r="A17" s="94"/>
      <c r="B17" s="129" t="s">
        <v>5</v>
      </c>
      <c r="C17" s="143">
        <v>61023.033783999999</v>
      </c>
      <c r="D17" s="143">
        <v>71418.215131999998</v>
      </c>
      <c r="E17" s="143">
        <v>26772.044786999999</v>
      </c>
      <c r="F17" s="143">
        <v>30420.102068</v>
      </c>
      <c r="G17" s="146">
        <f t="shared" si="0"/>
        <v>13.626367765421598</v>
      </c>
    </row>
    <row r="18" spans="1:7" ht="20.25" customHeight="1" x14ac:dyDescent="0.5">
      <c r="A18" s="94"/>
      <c r="B18" s="129" t="s">
        <v>8</v>
      </c>
      <c r="C18" s="143">
        <v>101727.602084</v>
      </c>
      <c r="D18" s="143">
        <v>122602.571339</v>
      </c>
      <c r="E18" s="143">
        <v>47226.060152999999</v>
      </c>
      <c r="F18" s="143">
        <v>57406.914883999998</v>
      </c>
      <c r="G18" s="146">
        <f t="shared" si="0"/>
        <v>21.557705000198432</v>
      </c>
    </row>
    <row r="19" spans="1:7" ht="23.25" customHeight="1" x14ac:dyDescent="0.55000000000000004">
      <c r="A19" s="56" t="s">
        <v>12</v>
      </c>
      <c r="B19" s="3"/>
      <c r="C19" s="60"/>
      <c r="D19" s="60"/>
      <c r="E19" s="119"/>
      <c r="F19" s="119"/>
      <c r="G19" s="126" t="s">
        <v>11</v>
      </c>
    </row>
    <row r="20" spans="1:7" ht="15.75" customHeight="1" x14ac:dyDescent="0.5">
      <c r="A20" s="180" t="s">
        <v>9</v>
      </c>
      <c r="B20" s="180" t="s">
        <v>14</v>
      </c>
      <c r="C20" s="185">
        <v>2560</v>
      </c>
      <c r="D20" s="185">
        <v>2561</v>
      </c>
      <c r="E20" s="127">
        <v>2561</v>
      </c>
      <c r="F20" s="128">
        <v>2562</v>
      </c>
      <c r="G20" s="183" t="s">
        <v>30</v>
      </c>
    </row>
    <row r="21" spans="1:7" ht="15.75" customHeight="1" x14ac:dyDescent="0.5">
      <c r="A21" s="187"/>
      <c r="B21" s="187"/>
      <c r="C21" s="186"/>
      <c r="D21" s="186"/>
      <c r="E21" s="180" t="s">
        <v>57</v>
      </c>
      <c r="F21" s="180"/>
      <c r="G21" s="184"/>
    </row>
    <row r="22" spans="1:7" ht="18.75" customHeight="1" x14ac:dyDescent="0.5">
      <c r="A22" s="58">
        <v>1</v>
      </c>
      <c r="B22" s="130" t="s">
        <v>36</v>
      </c>
      <c r="C22" s="131">
        <v>9874.1006309999993</v>
      </c>
      <c r="D22" s="131">
        <v>6561.7308139999996</v>
      </c>
      <c r="E22" s="144">
        <v>5148.1248930000002</v>
      </c>
      <c r="F22" s="144">
        <v>3789.81016</v>
      </c>
      <c r="G22" s="145">
        <f>+(F22-E22)/E22*100</f>
        <v>-26.384649969291257</v>
      </c>
    </row>
    <row r="23" spans="1:7" ht="18.75" customHeight="1" x14ac:dyDescent="0.5">
      <c r="A23" s="58">
        <v>2</v>
      </c>
      <c r="B23" s="130" t="s">
        <v>37</v>
      </c>
      <c r="C23" s="131">
        <v>3463.0843359999999</v>
      </c>
      <c r="D23" s="131">
        <v>3980.2242449999999</v>
      </c>
      <c r="E23" s="144">
        <v>1496.328467</v>
      </c>
      <c r="F23" s="144">
        <v>1652.683205</v>
      </c>
      <c r="G23" s="145">
        <f t="shared" ref="G23:G33" si="1">+(F23-E23)/E23*100</f>
        <v>10.449225651201889</v>
      </c>
    </row>
    <row r="24" spans="1:7" ht="18.75" customHeight="1" x14ac:dyDescent="0.5">
      <c r="A24" s="58">
        <v>3</v>
      </c>
      <c r="B24" s="130" t="s">
        <v>24</v>
      </c>
      <c r="C24" s="131">
        <v>2904.226631</v>
      </c>
      <c r="D24" s="131">
        <v>3525.872613</v>
      </c>
      <c r="E24" s="144">
        <v>1472.984735</v>
      </c>
      <c r="F24" s="144">
        <v>1090.6681080000001</v>
      </c>
      <c r="G24" s="145">
        <f t="shared" si="1"/>
        <v>-25.955233473617767</v>
      </c>
    </row>
    <row r="25" spans="1:7" ht="18.75" customHeight="1" x14ac:dyDescent="0.5">
      <c r="A25" s="58">
        <v>4</v>
      </c>
      <c r="B25" s="130" t="s">
        <v>25</v>
      </c>
      <c r="C25" s="131">
        <v>1608.376397</v>
      </c>
      <c r="D25" s="131">
        <v>1840.2662049999999</v>
      </c>
      <c r="E25" s="144">
        <v>724.73643800000002</v>
      </c>
      <c r="F25" s="144">
        <v>746.22495000000004</v>
      </c>
      <c r="G25" s="145">
        <f t="shared" si="1"/>
        <v>2.9650105711947128</v>
      </c>
    </row>
    <row r="26" spans="1:7" ht="18.75" customHeight="1" x14ac:dyDescent="0.5">
      <c r="A26" s="58">
        <v>5</v>
      </c>
      <c r="B26" s="130" t="s">
        <v>29</v>
      </c>
      <c r="C26" s="131">
        <v>530.14989600000001</v>
      </c>
      <c r="D26" s="131">
        <v>781.008377</v>
      </c>
      <c r="E26" s="144">
        <v>326.17609900000002</v>
      </c>
      <c r="F26" s="144">
        <v>366.87434000000002</v>
      </c>
      <c r="G26" s="145">
        <f t="shared" si="1"/>
        <v>12.477382961159272</v>
      </c>
    </row>
    <row r="27" spans="1:7" ht="18.75" customHeight="1" x14ac:dyDescent="0.5">
      <c r="A27" s="58">
        <v>6</v>
      </c>
      <c r="B27" s="130" t="s">
        <v>27</v>
      </c>
      <c r="C27" s="131">
        <v>873.14761499999997</v>
      </c>
      <c r="D27" s="131">
        <v>828.52086899999995</v>
      </c>
      <c r="E27" s="144">
        <v>493.67613899999998</v>
      </c>
      <c r="F27" s="144">
        <v>291.35931799999997</v>
      </c>
      <c r="G27" s="145">
        <f t="shared" si="1"/>
        <v>-40.981689212246906</v>
      </c>
    </row>
    <row r="28" spans="1:7" ht="18.75" customHeight="1" x14ac:dyDescent="0.5">
      <c r="A28" s="58">
        <v>7</v>
      </c>
      <c r="B28" s="130" t="s">
        <v>44</v>
      </c>
      <c r="C28" s="131">
        <v>198.88474199999999</v>
      </c>
      <c r="D28" s="131">
        <v>372.57153299999999</v>
      </c>
      <c r="E28" s="144">
        <v>106.4847</v>
      </c>
      <c r="F28" s="144">
        <v>253.19474199999999</v>
      </c>
      <c r="G28" s="145">
        <f t="shared" si="1"/>
        <v>137.77570111011252</v>
      </c>
    </row>
    <row r="29" spans="1:7" s="3" customFormat="1" ht="17.25" customHeight="1" x14ac:dyDescent="0.4">
      <c r="A29" s="58">
        <v>8</v>
      </c>
      <c r="B29" s="130" t="s">
        <v>61</v>
      </c>
      <c r="C29" s="131">
        <v>545.38120100000003</v>
      </c>
      <c r="D29" s="131">
        <v>499.20917200000002</v>
      </c>
      <c r="E29" s="144">
        <v>186.76447400000001</v>
      </c>
      <c r="F29" s="144">
        <v>183.83093700000001</v>
      </c>
      <c r="G29" s="145">
        <f t="shared" si="1"/>
        <v>-1.5707146745692124</v>
      </c>
    </row>
    <row r="30" spans="1:7" s="4" customFormat="1" ht="17.25" customHeight="1" x14ac:dyDescent="0.4">
      <c r="A30" s="58">
        <v>9</v>
      </c>
      <c r="B30" s="130" t="s">
        <v>54</v>
      </c>
      <c r="C30" s="131">
        <v>118.147127</v>
      </c>
      <c r="D30" s="131">
        <v>278.73621400000002</v>
      </c>
      <c r="E30" s="144">
        <v>86.839698999999996</v>
      </c>
      <c r="F30" s="144">
        <v>171.75159600000001</v>
      </c>
      <c r="G30" s="145">
        <f t="shared" si="1"/>
        <v>97.780045276296974</v>
      </c>
    </row>
    <row r="31" spans="1:7" ht="18" customHeight="1" x14ac:dyDescent="0.5">
      <c r="A31" s="58">
        <v>10</v>
      </c>
      <c r="B31" s="130" t="s">
        <v>55</v>
      </c>
      <c r="C31" s="131">
        <v>0</v>
      </c>
      <c r="D31" s="131">
        <v>88.637178000000006</v>
      </c>
      <c r="E31" s="144">
        <v>0</v>
      </c>
      <c r="F31" s="144">
        <v>170.87787599999999</v>
      </c>
      <c r="G31" s="145" t="s">
        <v>17</v>
      </c>
    </row>
    <row r="32" spans="1:7" s="7" customFormat="1" ht="21" customHeight="1" x14ac:dyDescent="0.2">
      <c r="A32" s="94"/>
      <c r="B32" s="133" t="s">
        <v>10</v>
      </c>
      <c r="C32" s="132">
        <v>20115.498576000002</v>
      </c>
      <c r="D32" s="132">
        <v>18756.77722</v>
      </c>
      <c r="E32" s="132">
        <v>10042.115644</v>
      </c>
      <c r="F32" s="132">
        <v>8717.275232</v>
      </c>
      <c r="G32" s="146">
        <f t="shared" si="1"/>
        <v>-13.192841617907181</v>
      </c>
    </row>
    <row r="33" spans="1:7" s="1" customFormat="1" ht="17.25" customHeight="1" x14ac:dyDescent="0.5">
      <c r="A33" s="94"/>
      <c r="B33" s="133" t="s">
        <v>26</v>
      </c>
      <c r="C33" s="132">
        <v>3425.207328</v>
      </c>
      <c r="D33" s="132">
        <v>4022.9783649999999</v>
      </c>
      <c r="E33" s="132">
        <v>1433.0117929999999</v>
      </c>
      <c r="F33" s="132">
        <v>1264.0485639999999</v>
      </c>
      <c r="G33" s="146">
        <f t="shared" si="1"/>
        <v>-11.790777286366684</v>
      </c>
    </row>
    <row r="34" spans="1:7" s="1" customFormat="1" ht="18.75" customHeight="1" x14ac:dyDescent="0.5">
      <c r="A34" s="94"/>
      <c r="B34" s="133" t="s">
        <v>8</v>
      </c>
      <c r="C34" s="132">
        <v>23540.705903999999</v>
      </c>
      <c r="D34" s="132">
        <v>22779.755584999999</v>
      </c>
      <c r="E34" s="132">
        <v>11475.127436999999</v>
      </c>
      <c r="F34" s="132">
        <v>9981.3237960000006</v>
      </c>
      <c r="G34" s="125">
        <f>+(F34-E34)/E34*100</f>
        <v>-13.017752083374956</v>
      </c>
    </row>
    <row r="35" spans="1:7" s="72" customFormat="1" ht="17.25" customHeight="1" x14ac:dyDescent="0.2">
      <c r="A35" s="102" t="s">
        <v>16</v>
      </c>
      <c r="B35" s="59"/>
      <c r="C35" s="99"/>
      <c r="D35" s="110"/>
      <c r="E35" s="120"/>
      <c r="F35" s="120"/>
      <c r="G35" s="8" t="s">
        <v>35</v>
      </c>
    </row>
    <row r="36" spans="1:7" s="106" customFormat="1" ht="17.25" customHeight="1" x14ac:dyDescent="0.2">
      <c r="A36" s="103" t="s">
        <v>46</v>
      </c>
      <c r="B36" s="104"/>
      <c r="C36" s="99"/>
      <c r="D36" s="110"/>
      <c r="E36" s="120"/>
      <c r="F36" s="120"/>
      <c r="G36" s="99" t="s">
        <v>15</v>
      </c>
    </row>
    <row r="37" spans="1:7" s="106" customFormat="1" ht="17.25" customHeight="1" x14ac:dyDescent="0.2">
      <c r="A37" s="107" t="s">
        <v>47</v>
      </c>
      <c r="B37" s="104"/>
      <c r="C37" s="59"/>
      <c r="D37" s="59"/>
      <c r="E37" s="121"/>
      <c r="F37" s="182" t="s">
        <v>7</v>
      </c>
      <c r="G37" s="182"/>
    </row>
    <row r="38" spans="1:7" s="106" customFormat="1" ht="17.25" customHeight="1" x14ac:dyDescent="0.2">
      <c r="A38" s="103" t="s">
        <v>48</v>
      </c>
      <c r="B38" s="107"/>
      <c r="C38" s="107"/>
      <c r="D38" s="107"/>
      <c r="E38" s="122"/>
      <c r="F38" s="122"/>
      <c r="G38" s="107"/>
    </row>
    <row r="39" spans="1:7" s="106" customFormat="1" ht="17.25" customHeight="1" x14ac:dyDescent="0.2">
      <c r="A39" s="108" t="s">
        <v>64</v>
      </c>
      <c r="E39" s="123"/>
      <c r="F39" s="123"/>
    </row>
    <row r="40" spans="1:7" x14ac:dyDescent="0.5">
      <c r="A40" s="147" t="s">
        <v>63</v>
      </c>
    </row>
  </sheetData>
  <mergeCells count="15">
    <mergeCell ref="E5:F5"/>
    <mergeCell ref="E21:F21"/>
    <mergeCell ref="A1:G1"/>
    <mergeCell ref="A2:G2"/>
    <mergeCell ref="F37:G37"/>
    <mergeCell ref="G20:G21"/>
    <mergeCell ref="A4:A5"/>
    <mergeCell ref="B4:B5"/>
    <mergeCell ref="G4:G5"/>
    <mergeCell ref="A20:A21"/>
    <mergeCell ref="B20:B21"/>
    <mergeCell ref="C20:C21"/>
    <mergeCell ref="C4:C5"/>
    <mergeCell ref="D4:D5"/>
    <mergeCell ref="D20:D21"/>
  </mergeCells>
  <phoneticPr fontId="17" type="noConversion"/>
  <pageMargins left="0.52" right="0.16" top="0.60763888888888884" bottom="0.18" header="0.19" footer="0.17"/>
  <pageSetup paperSize="9" orientation="portrait" r:id="rId1"/>
  <headerFooter>
    <oddHeader>&amp;C&amp;"AngsanaUPC,Regular"&amp;16-35 -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จว</vt:lpstr>
      <vt:lpstr>สินค้า</vt:lpstr>
      <vt:lpstr>จว!Print_Area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2019-07-22T08:00:45Z</cp:lastPrinted>
  <dcterms:created xsi:type="dcterms:W3CDTF">2010-02-25T05:00:19Z</dcterms:created>
  <dcterms:modified xsi:type="dcterms:W3CDTF">2019-08-26T04:00:26Z</dcterms:modified>
</cp:coreProperties>
</file>