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U:\ส่วนวางแผนการคลังและงบประมาณ\JD\หนี้สาธารณะคงค้าง\5.ปี 63\2.เดือน พ.ย.62\"/>
    </mc:Choice>
  </mc:AlternateContent>
  <xr:revisionPtr revIDLastSave="0" documentId="13_ncr:1_{268D860A-5652-4929-A9F8-59975B2E974A}" xr6:coauthVersionLast="45" xr6:coauthVersionMax="45" xr10:uidLastSave="{00000000-0000-0000-0000-000000000000}"/>
  <bookViews>
    <workbookView xWindow="19080" yWindow="-120" windowWidth="29040" windowHeight="15840" xr2:uid="{00000000-000D-0000-FFFF-FFFF00000000}"/>
  </bookViews>
  <sheets>
    <sheet name="รายเดือน" sheetId="2" r:id="rId1"/>
    <sheet name="รายปี" sheetId="6" r:id="rId2"/>
    <sheet name="Sheet4" sheetId="4" state="hidden" r:id="rId3"/>
  </sheets>
  <externalReferences>
    <externalReference r:id="rId4"/>
    <externalReference r:id="rId5"/>
  </externalReferences>
  <definedNames>
    <definedName name="_xlnm.Print_Area" localSheetId="0">รายเดือน!$A$1:$FJ$24</definedName>
    <definedName name="_xlnm.Print_Titles" localSheetId="1">รายปี!$B:$B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I14" i="2" l="1"/>
  <c r="FI13" i="2"/>
  <c r="FI12" i="2"/>
  <c r="FI8" i="2"/>
  <c r="FI9" i="2"/>
  <c r="FI10" i="2"/>
  <c r="FI7" i="2"/>
  <c r="FI5" i="2"/>
  <c r="FI4" i="2"/>
  <c r="FH11" i="2"/>
  <c r="FH6" i="2"/>
  <c r="FH3" i="2"/>
  <c r="FH16" i="2" l="1"/>
  <c r="V22" i="6"/>
  <c r="U22" i="6"/>
  <c r="T22" i="6"/>
  <c r="S22" i="6"/>
  <c r="R22" i="6"/>
  <c r="N22" i="6"/>
  <c r="M21" i="6"/>
  <c r="Y20" i="6"/>
  <c r="Y21" i="6" s="1"/>
  <c r="Q20" i="6"/>
  <c r="Q21" i="6" s="1"/>
  <c r="V19" i="6"/>
  <c r="U19" i="6"/>
  <c r="T19" i="6"/>
  <c r="S19" i="6"/>
  <c r="R19" i="6"/>
  <c r="R20" i="6" s="1"/>
  <c r="R21" i="6" s="1"/>
  <c r="V18" i="6"/>
  <c r="V16" i="6" s="1"/>
  <c r="U18" i="6"/>
  <c r="T18" i="6"/>
  <c r="S18" i="6"/>
  <c r="V17" i="6"/>
  <c r="U17" i="6"/>
  <c r="T17" i="6"/>
  <c r="S17" i="6"/>
  <c r="Z16" i="6"/>
  <c r="Y16" i="6"/>
  <c r="X16" i="6"/>
  <c r="W16" i="6"/>
  <c r="U16" i="6"/>
  <c r="T16" i="6"/>
  <c r="S16" i="6"/>
  <c r="V15" i="6"/>
  <c r="U15" i="6"/>
  <c r="T15" i="6"/>
  <c r="S15" i="6"/>
  <c r="R15" i="6"/>
  <c r="V14" i="6"/>
  <c r="U14" i="6"/>
  <c r="T14" i="6"/>
  <c r="T13" i="6" s="1"/>
  <c r="S14" i="6"/>
  <c r="R14" i="6"/>
  <c r="R13" i="6" s="1"/>
  <c r="Z13" i="6"/>
  <c r="Y13" i="6"/>
  <c r="X13" i="6"/>
  <c r="W13" i="6"/>
  <c r="V13" i="6"/>
  <c r="U13" i="6"/>
  <c r="S13" i="6"/>
  <c r="Q13" i="6"/>
  <c r="P13" i="6"/>
  <c r="O13" i="6"/>
  <c r="N13" i="6"/>
  <c r="V12" i="6"/>
  <c r="V10" i="6" s="1"/>
  <c r="V9" i="6" s="1"/>
  <c r="U12" i="6"/>
  <c r="T12" i="6"/>
  <c r="S12" i="6"/>
  <c r="R12" i="6"/>
  <c r="O12" i="6"/>
  <c r="V11" i="6"/>
  <c r="U11" i="6"/>
  <c r="U10" i="6" s="1"/>
  <c r="U9" i="6" s="1"/>
  <c r="T11" i="6"/>
  <c r="T10" i="6" s="1"/>
  <c r="S11" i="6"/>
  <c r="S10" i="6" s="1"/>
  <c r="S9" i="6" s="1"/>
  <c r="R11" i="6"/>
  <c r="R10" i="6" s="1"/>
  <c r="R9" i="6" s="1"/>
  <c r="O11" i="6"/>
  <c r="Z10" i="6"/>
  <c r="Y10" i="6"/>
  <c r="X10" i="6"/>
  <c r="X9" i="6" s="1"/>
  <c r="W10" i="6"/>
  <c r="W9" i="6" s="1"/>
  <c r="Q10" i="6"/>
  <c r="P10" i="6"/>
  <c r="O10" i="6"/>
  <c r="O9" i="6" s="1"/>
  <c r="O20" i="6" s="1"/>
  <c r="O21" i="6" s="1"/>
  <c r="N10" i="6"/>
  <c r="N9" i="6" s="1"/>
  <c r="Z9" i="6"/>
  <c r="Y9" i="6"/>
  <c r="Q9" i="6"/>
  <c r="P9" i="6"/>
  <c r="P20" i="6" s="1"/>
  <c r="P21" i="6" s="1"/>
  <c r="V8" i="6"/>
  <c r="U8" i="6"/>
  <c r="T8" i="6"/>
  <c r="S8" i="6"/>
  <c r="R8" i="6"/>
  <c r="N8" i="6"/>
  <c r="V7" i="6"/>
  <c r="V6" i="6" s="1"/>
  <c r="U7" i="6"/>
  <c r="T7" i="6"/>
  <c r="S7" i="6"/>
  <c r="R7" i="6"/>
  <c r="R6" i="6" s="1"/>
  <c r="N7" i="6"/>
  <c r="N6" i="6" s="1"/>
  <c r="Z6" i="6"/>
  <c r="Z20" i="6" s="1"/>
  <c r="Z21" i="6" s="1"/>
  <c r="Y6" i="6"/>
  <c r="X6" i="6"/>
  <c r="X20" i="6" s="1"/>
  <c r="X21" i="6" s="1"/>
  <c r="W6" i="6"/>
  <c r="W20" i="6" s="1"/>
  <c r="W21" i="6" s="1"/>
  <c r="U6" i="6"/>
  <c r="T6" i="6"/>
  <c r="S6" i="6"/>
  <c r="S20" i="6" s="1"/>
  <c r="S21" i="6" s="1"/>
  <c r="Q6" i="6"/>
  <c r="P6" i="6"/>
  <c r="O6" i="6"/>
  <c r="FH18" i="2" l="1"/>
  <c r="N20" i="6"/>
  <c r="N21" i="6" s="1"/>
  <c r="U20" i="6"/>
  <c r="U21" i="6" s="1"/>
  <c r="T9" i="6"/>
  <c r="T20" i="6" s="1"/>
  <c r="T21" i="6" s="1"/>
  <c r="V20" i="6"/>
  <c r="V21" i="6" s="1"/>
  <c r="FG11" i="2"/>
  <c r="FG6" i="2"/>
  <c r="FG3" i="2"/>
  <c r="FG16" i="2" l="1"/>
  <c r="FI16" i="2" s="1"/>
  <c r="FF11" i="2"/>
  <c r="FF6" i="2"/>
  <c r="FF3" i="2"/>
  <c r="FG18" i="2" l="1"/>
  <c r="FF16" i="2"/>
  <c r="FE11" i="2"/>
  <c r="FE6" i="2"/>
  <c r="FE3" i="2"/>
  <c r="FF18" i="2" l="1"/>
  <c r="FE16" i="2"/>
  <c r="FD11" i="2"/>
  <c r="FD6" i="2"/>
  <c r="FD3" i="2"/>
  <c r="FE18" i="2" l="1"/>
  <c r="FD16" i="2"/>
  <c r="FI11" i="2"/>
  <c r="FC11" i="2"/>
  <c r="FC6" i="2"/>
  <c r="FC3" i="2"/>
  <c r="FD18" i="2" l="1"/>
  <c r="FC16" i="2"/>
  <c r="FC18" i="2" s="1"/>
  <c r="FB11" i="2"/>
  <c r="FB6" i="2"/>
  <c r="FB3" i="2"/>
  <c r="FB16" i="2" l="1"/>
  <c r="FA11" i="2"/>
  <c r="FA6" i="2"/>
  <c r="FA3" i="2"/>
  <c r="FA16" i="2" l="1"/>
  <c r="FA18" i="2" s="1"/>
  <c r="FB18" i="2"/>
  <c r="EZ11" i="2"/>
  <c r="EZ6" i="2"/>
  <c r="EZ3" i="2"/>
  <c r="EZ16" i="2" l="1"/>
  <c r="EX11" i="2"/>
  <c r="EY11" i="2"/>
  <c r="EY6" i="2"/>
  <c r="EX6" i="2"/>
  <c r="EY3" i="2"/>
  <c r="EX3" i="2"/>
  <c r="EZ18" i="2" l="1"/>
  <c r="EY16" i="2"/>
  <c r="EY18" i="2" s="1"/>
  <c r="EX16" i="2"/>
  <c r="EX18" i="2" s="1"/>
  <c r="EW11" i="2"/>
  <c r="EW6" i="2"/>
  <c r="EW3" i="2"/>
  <c r="EW16" i="2" l="1"/>
  <c r="EW18" i="2" s="1"/>
  <c r="EV11" i="2"/>
  <c r="EV6" i="2"/>
  <c r="EV3" i="2"/>
  <c r="EV16" i="2" l="1"/>
  <c r="EU11" i="2"/>
  <c r="EU6" i="2"/>
  <c r="EU3" i="2"/>
  <c r="EU16" i="2" l="1"/>
  <c r="EU18" i="2" s="1"/>
  <c r="EV18" i="2"/>
  <c r="ET11" i="2"/>
  <c r="ET6" i="2"/>
  <c r="ET3" i="2"/>
  <c r="FI3" i="2" l="1"/>
  <c r="ET16" i="2"/>
  <c r="ES11" i="2"/>
  <c r="ES6" i="2"/>
  <c r="ES3" i="2"/>
  <c r="ET18" i="2" l="1"/>
  <c r="ES16" i="2"/>
  <c r="ES18" i="2" s="1"/>
  <c r="ER11" i="2"/>
  <c r="ER6" i="2"/>
  <c r="ER3" i="2"/>
  <c r="ER16" i="2" l="1"/>
  <c r="EQ11" i="2"/>
  <c r="EQ6" i="2"/>
  <c r="EQ3" i="2"/>
  <c r="ER18" i="2" l="1"/>
  <c r="EQ16" i="2"/>
  <c r="EQ18" i="2" s="1"/>
  <c r="EP11" i="2"/>
  <c r="EP6" i="2"/>
  <c r="EP3" i="2"/>
  <c r="EP16" i="2" l="1"/>
  <c r="EP18" i="2" l="1"/>
  <c r="EO11" i="2"/>
  <c r="EO6" i="2"/>
  <c r="EO3" i="2"/>
  <c r="FI6" i="2" l="1"/>
  <c r="EO16" i="2"/>
  <c r="EN11" i="2"/>
  <c r="EN6" i="2"/>
  <c r="EO18" i="2" l="1"/>
  <c r="EN3" i="2"/>
  <c r="EN16" i="2" s="1"/>
  <c r="EN18" i="2" l="1"/>
  <c r="EM11" i="2"/>
  <c r="EM6" i="2"/>
  <c r="EM3" i="2"/>
  <c r="EM16" i="2" l="1"/>
  <c r="EL11" i="2"/>
  <c r="EL6" i="2"/>
  <c r="EL3" i="2"/>
  <c r="EM18" i="2" l="1"/>
  <c r="EL16" i="2"/>
  <c r="EL18" i="2" l="1"/>
  <c r="EK11" i="2"/>
  <c r="EK6" i="2"/>
  <c r="EK3" i="2"/>
  <c r="EK16" i="2" l="1"/>
  <c r="EJ11" i="2"/>
  <c r="EJ6" i="2"/>
  <c r="EJ3" i="2"/>
  <c r="EK18" i="2" l="1"/>
  <c r="EJ16" i="2"/>
  <c r="EJ18" i="2" l="1"/>
  <c r="EI11" i="2"/>
  <c r="EI6" i="2"/>
  <c r="EI3" i="2"/>
  <c r="EI16" i="2" l="1"/>
  <c r="EH11" i="2"/>
  <c r="EH6" i="2"/>
  <c r="EH3" i="2"/>
  <c r="EI18" i="2" l="1"/>
  <c r="EH16" i="2"/>
  <c r="EH18" i="2" l="1"/>
  <c r="EG11" i="2" l="1"/>
  <c r="EG6" i="2"/>
  <c r="EG3" i="2"/>
  <c r="EG16" i="2" l="1"/>
  <c r="EE11" i="2"/>
  <c r="EF11" i="2"/>
  <c r="EE6" i="2"/>
  <c r="EF6" i="2"/>
  <c r="EE3" i="2"/>
  <c r="EF3" i="2"/>
  <c r="EG18" i="2" l="1"/>
  <c r="EF16" i="2"/>
  <c r="EE16" i="2"/>
  <c r="EE18" i="2" s="1"/>
  <c r="EF18" i="2" l="1"/>
  <c r="ED11" i="2"/>
  <c r="ED6" i="2"/>
  <c r="ED3" i="2"/>
  <c r="ED16" i="2" l="1"/>
  <c r="ED18" i="2" s="1"/>
  <c r="EC11" i="2"/>
  <c r="EC6" i="2"/>
  <c r="EC3" i="2"/>
  <c r="EC16" i="2" l="1"/>
  <c r="EC18" i="2" s="1"/>
  <c r="EB11" i="2" l="1"/>
  <c r="EB6" i="2"/>
  <c r="EB3" i="2"/>
  <c r="EB16" i="2" l="1"/>
  <c r="EA3" i="2"/>
  <c r="DZ8" i="2"/>
  <c r="DZ7" i="2"/>
  <c r="DZ5" i="2"/>
  <c r="EA11" i="2"/>
  <c r="EB18" i="2" l="1"/>
  <c r="EA6" i="2"/>
  <c r="DY8" i="2"/>
  <c r="DY7" i="2"/>
  <c r="DY5" i="2"/>
  <c r="DZ3" i="2"/>
  <c r="DZ11" i="2"/>
  <c r="DZ6" i="2"/>
  <c r="EA16" i="2" l="1"/>
  <c r="DZ16" i="2"/>
  <c r="DZ18" i="2" s="1"/>
  <c r="EA18" i="2" l="1"/>
  <c r="DY11" i="2"/>
  <c r="DY6" i="2"/>
  <c r="DY3" i="2"/>
  <c r="DY16" i="2" l="1"/>
  <c r="DX11" i="2"/>
  <c r="DX6" i="2"/>
  <c r="DX3" i="2"/>
  <c r="DY18" i="2" l="1"/>
  <c r="DX16" i="2"/>
  <c r="DX18" i="2" s="1"/>
  <c r="DW11" i="2"/>
  <c r="DW6" i="2"/>
  <c r="DW3" i="2"/>
  <c r="DW16" i="2" l="1"/>
  <c r="DV11" i="2"/>
  <c r="DV6" i="2"/>
  <c r="DV3" i="2"/>
  <c r="DU8" i="2"/>
  <c r="DU7" i="2"/>
  <c r="DU6" i="2" s="1"/>
  <c r="DU5" i="2"/>
  <c r="DU3" i="2" s="1"/>
  <c r="DU11" i="2"/>
  <c r="DT5" i="2"/>
  <c r="DT8" i="2"/>
  <c r="DT7" i="2"/>
  <c r="DW18" i="2" l="1"/>
  <c r="DV16" i="2"/>
  <c r="DU16" i="2"/>
  <c r="DT11" i="2"/>
  <c r="DT6" i="2"/>
  <c r="DT3" i="2"/>
  <c r="DV18" i="2" l="1"/>
  <c r="DU18" i="2"/>
  <c r="DT16" i="2"/>
  <c r="DS11" i="2"/>
  <c r="DS6" i="2"/>
  <c r="DS3" i="2"/>
  <c r="DT18" i="2" l="1"/>
  <c r="DS16" i="2"/>
  <c r="DS18" i="2" s="1"/>
  <c r="DR3" i="2"/>
  <c r="DR11" i="2" l="1"/>
  <c r="DR6" i="2"/>
  <c r="DQ3" i="2"/>
  <c r="DR16" i="2" l="1"/>
  <c r="DR18" i="2" s="1"/>
  <c r="DQ11" i="2"/>
  <c r="DQ6" i="2"/>
  <c r="DQ16" i="2" l="1"/>
  <c r="DP11" i="2"/>
  <c r="DP6" i="2"/>
  <c r="DP3" i="2"/>
  <c r="DQ18" i="2" l="1"/>
  <c r="DP16" i="2"/>
  <c r="DO11" i="2"/>
  <c r="DO6" i="2"/>
  <c r="DO3" i="2"/>
  <c r="DO16" i="2" l="1"/>
  <c r="DO18" i="2" s="1"/>
  <c r="DP18" i="2"/>
  <c r="DN11" i="2"/>
  <c r="DN6" i="2"/>
  <c r="DN3" i="2"/>
  <c r="DN16" i="2" l="1"/>
  <c r="DN18" i="2" l="1"/>
  <c r="DM11" i="2"/>
  <c r="DM6" i="2"/>
  <c r="DM3" i="2"/>
  <c r="DM16" i="2" l="1"/>
  <c r="DM18" i="2" l="1"/>
  <c r="DL11" i="2"/>
  <c r="DL6" i="2" l="1"/>
  <c r="DL3" i="2"/>
  <c r="DL16" i="2" l="1"/>
  <c r="DL18" i="2" l="1"/>
  <c r="DK11" i="2" l="1"/>
  <c r="DK6" i="2"/>
  <c r="DK3" i="2"/>
  <c r="DK16" i="2" l="1"/>
  <c r="DK18" i="2" s="1"/>
  <c r="DJ11" i="2"/>
  <c r="DJ6" i="2"/>
  <c r="DJ3" i="2"/>
  <c r="DI11" i="2"/>
  <c r="DI6" i="2"/>
  <c r="DI3" i="2"/>
  <c r="DG18" i="2"/>
  <c r="DH18" i="2"/>
  <c r="DH11" i="2"/>
  <c r="DH6" i="2"/>
  <c r="DH3" i="2"/>
  <c r="DI16" i="2" l="1"/>
  <c r="DI18" i="2" s="1"/>
  <c r="DJ16" i="2"/>
  <c r="DG8" i="2"/>
  <c r="DG7" i="2"/>
  <c r="DG5" i="2"/>
  <c r="DG11" i="2"/>
  <c r="DJ18" i="2" l="1"/>
  <c r="DG3" i="2"/>
  <c r="DG6" i="2"/>
  <c r="DF5" i="2"/>
  <c r="DF8" i="2"/>
  <c r="DF7" i="2"/>
  <c r="DF11" i="2"/>
  <c r="DF3" i="2"/>
  <c r="DF6" i="2" l="1"/>
  <c r="DF16" i="2" s="1"/>
  <c r="DE8" i="2"/>
  <c r="DE7" i="2"/>
  <c r="DE11" i="2"/>
  <c r="DE5" i="2"/>
  <c r="DF18" i="2" l="1"/>
  <c r="DE3" i="2"/>
  <c r="DE6" i="2"/>
  <c r="DE16" i="2" l="1"/>
  <c r="DE18" i="2" s="1"/>
  <c r="DD8" i="2"/>
  <c r="DD7" i="2"/>
  <c r="DD5" i="2"/>
  <c r="DD3" i="2" s="1"/>
  <c r="DC8" i="2"/>
  <c r="DD11" i="2"/>
  <c r="DD6" i="2" l="1"/>
  <c r="DD16" i="2" s="1"/>
  <c r="DD18" i="2" s="1"/>
  <c r="DC7" i="2"/>
  <c r="DC5" i="2"/>
  <c r="DC11" i="2"/>
  <c r="DC3" i="2" l="1"/>
  <c r="DC6" i="2"/>
  <c r="DB8" i="2"/>
  <c r="DB7" i="2"/>
  <c r="DB5" i="2"/>
  <c r="DB3" i="2" s="1"/>
  <c r="DB11" i="2"/>
  <c r="DB6" i="2" l="1"/>
  <c r="DB15" i="2" s="1"/>
  <c r="DB18" i="2" s="1"/>
  <c r="DC16" i="2"/>
  <c r="DC18" i="2" l="1"/>
  <c r="DA8" i="2"/>
  <c r="DA7" i="2"/>
  <c r="CZ7" i="2"/>
  <c r="DA5" i="2"/>
  <c r="DA3" i="2" s="1"/>
  <c r="DA11" i="2"/>
  <c r="DA6" i="2" l="1"/>
  <c r="DA15" i="2" s="1"/>
  <c r="CZ8" i="2"/>
  <c r="CZ5" i="2"/>
  <c r="CZ3" i="2" s="1"/>
  <c r="CY5" i="2"/>
  <c r="CZ11" i="2"/>
  <c r="DA18" i="2" l="1"/>
  <c r="CZ6" i="2"/>
  <c r="CY11" i="2"/>
  <c r="CY8" i="2"/>
  <c r="CY7" i="2"/>
  <c r="CX8" i="2"/>
  <c r="CX7" i="2"/>
  <c r="CX5" i="2"/>
  <c r="CY3" i="2"/>
  <c r="CZ15" i="2" l="1"/>
  <c r="CY6" i="2"/>
  <c r="CY15" i="2" s="1"/>
  <c r="CY18" i="2" s="1"/>
  <c r="CW7" i="2"/>
  <c r="CV7" i="2"/>
  <c r="CZ18" i="2" l="1"/>
  <c r="CW5" i="2"/>
  <c r="CW3" i="2" s="1"/>
  <c r="CW8" i="2"/>
  <c r="CW6" i="2" s="1"/>
  <c r="CX3" i="2"/>
  <c r="CX11" i="2"/>
  <c r="CX6" i="2" l="1"/>
  <c r="CW11" i="2"/>
  <c r="CX15" i="2" l="1"/>
  <c r="CX18" i="2" s="1"/>
  <c r="CW15" i="2" l="1"/>
  <c r="CV8" i="2"/>
  <c r="CV6" i="2" s="1"/>
  <c r="CV5" i="2"/>
  <c r="CV11" i="2"/>
  <c r="CV3" i="2" l="1"/>
  <c r="CW18" i="2"/>
  <c r="CU11" i="2"/>
  <c r="CU8" i="2"/>
  <c r="CU7" i="2"/>
  <c r="CU5" i="2"/>
  <c r="CU3" i="2" s="1"/>
  <c r="CT8" i="2"/>
  <c r="CV15" i="2" l="1"/>
  <c r="CU6" i="2"/>
  <c r="CT5" i="2"/>
  <c r="CT7" i="2"/>
  <c r="CT6" i="2" s="1"/>
  <c r="CT11" i="2"/>
  <c r="CV18" i="2" l="1"/>
  <c r="CU15" i="2"/>
  <c r="CT3" i="2"/>
  <c r="CT15" i="2" s="1"/>
  <c r="CT18" i="2" s="1"/>
  <c r="CS11" i="2"/>
  <c r="CS8" i="2"/>
  <c r="CS7" i="2"/>
  <c r="CR7" i="2"/>
  <c r="CR8" i="2"/>
  <c r="CS5" i="2"/>
  <c r="CU18" i="2" l="1"/>
  <c r="CS3" i="2"/>
  <c r="CS6" i="2"/>
  <c r="CR6" i="2"/>
  <c r="CS15" i="2" l="1"/>
  <c r="CQ7" i="2"/>
  <c r="CR5" i="2"/>
  <c r="CR3" i="2" s="1"/>
  <c r="CS18" i="2" l="1"/>
  <c r="CR11" i="2"/>
  <c r="CR15" i="2" l="1"/>
  <c r="CR18" i="2" l="1"/>
  <c r="CQ8" i="2"/>
  <c r="CQ6" i="2" s="1"/>
  <c r="CQ5" i="2"/>
  <c r="CQ11" i="2"/>
  <c r="CQ3" i="2" l="1"/>
  <c r="CQ15" i="2" s="1"/>
  <c r="CP7" i="2"/>
  <c r="CP8" i="2"/>
  <c r="CP11" i="2"/>
  <c r="CP3" i="2"/>
  <c r="CO3" i="2"/>
  <c r="CP6" i="2" l="1"/>
  <c r="CP15" i="2" l="1"/>
  <c r="CP18" i="2" s="1"/>
  <c r="CQ18" i="2"/>
  <c r="CO11" i="2"/>
  <c r="CO8" i="2"/>
  <c r="CO7" i="2"/>
  <c r="CM3" i="2"/>
  <c r="CN3" i="2"/>
  <c r="CM6" i="2"/>
  <c r="CN6" i="2"/>
  <c r="CM11" i="2"/>
  <c r="CN11" i="2"/>
  <c r="CL11" i="2"/>
  <c r="CN15" i="2" l="1"/>
  <c r="CN18" i="2" s="1"/>
  <c r="CO6" i="2"/>
  <c r="CM15" i="2"/>
  <c r="CM18" i="2" s="1"/>
  <c r="V5" i="4"/>
  <c r="V10" i="4"/>
  <c r="V11" i="4"/>
  <c r="V13" i="4"/>
  <c r="V14" i="4"/>
  <c r="V15" i="4"/>
  <c r="CK7" i="2"/>
  <c r="CL8" i="2"/>
  <c r="CL7" i="2"/>
  <c r="CL5" i="2"/>
  <c r="CL3" i="2" s="1"/>
  <c r="CK8" i="2"/>
  <c r="CK6" i="2" s="1"/>
  <c r="CK5" i="2"/>
  <c r="CK3" i="2" s="1"/>
  <c r="CK11" i="2"/>
  <c r="CJ8" i="2"/>
  <c r="CJ7" i="2"/>
  <c r="CJ5" i="2"/>
  <c r="CJ3" i="2" s="1"/>
  <c r="CJ11" i="2"/>
  <c r="CI8" i="2"/>
  <c r="CI7" i="2"/>
  <c r="CI5" i="2"/>
  <c r="CI3" i="2" s="1"/>
  <c r="CI11" i="2"/>
  <c r="CH8" i="2"/>
  <c r="CH7" i="2"/>
  <c r="CH5" i="2"/>
  <c r="CH3" i="2" s="1"/>
  <c r="CH11" i="2"/>
  <c r="CG8" i="2"/>
  <c r="CG7" i="2"/>
  <c r="CG5" i="2"/>
  <c r="CG3" i="2" s="1"/>
  <c r="CF8" i="2"/>
  <c r="CF6" i="2" s="1"/>
  <c r="CF7" i="2"/>
  <c r="CG11" i="2"/>
  <c r="CF5" i="2"/>
  <c r="CF3" i="2" s="1"/>
  <c r="CF11" i="2"/>
  <c r="CE8" i="2"/>
  <c r="CE7" i="2"/>
  <c r="CE5" i="2"/>
  <c r="CE3" i="2" s="1"/>
  <c r="CE11" i="2"/>
  <c r="CD8" i="2"/>
  <c r="CD7" i="2"/>
  <c r="CD5" i="2"/>
  <c r="CD3" i="2" s="1"/>
  <c r="CD11" i="2"/>
  <c r="CC8" i="2"/>
  <c r="CC7" i="2"/>
  <c r="CC5" i="2"/>
  <c r="CC3" i="2" s="1"/>
  <c r="CC11" i="2"/>
  <c r="CB8" i="2"/>
  <c r="CB7" i="2"/>
  <c r="CB5" i="2"/>
  <c r="CB3" i="2" s="1"/>
  <c r="CB11" i="2"/>
  <c r="CA8" i="2"/>
  <c r="CA7" i="2"/>
  <c r="CA5" i="2"/>
  <c r="CA3" i="2" s="1"/>
  <c r="BZ8" i="2"/>
  <c r="BZ6" i="2" s="1"/>
  <c r="U7" i="4" s="1"/>
  <c r="CA11" i="2"/>
  <c r="U5" i="4"/>
  <c r="U10" i="4"/>
  <c r="U11" i="4"/>
  <c r="BZ7" i="2"/>
  <c r="U8" i="4" s="1"/>
  <c r="BZ5" i="2"/>
  <c r="BZ3" i="2" s="1"/>
  <c r="BZ11" i="2"/>
  <c r="U12" i="4" s="1"/>
  <c r="BX8" i="2"/>
  <c r="BX6" i="2" s="1"/>
  <c r="BY7" i="2"/>
  <c r="BY8" i="2"/>
  <c r="BY5" i="2"/>
  <c r="BY3" i="2" s="1"/>
  <c r="BY11" i="2"/>
  <c r="BX7" i="2"/>
  <c r="BX5" i="2"/>
  <c r="BX3" i="2" s="1"/>
  <c r="BX11" i="2"/>
  <c r="U13" i="4"/>
  <c r="U14" i="4"/>
  <c r="U15" i="4"/>
  <c r="BW8" i="2"/>
  <c r="BW7" i="2"/>
  <c r="BW5" i="2"/>
  <c r="BW3" i="2" s="1"/>
  <c r="BW11" i="2"/>
  <c r="BV8" i="2"/>
  <c r="BV7" i="2"/>
  <c r="BV6" i="2" s="1"/>
  <c r="BV5" i="2"/>
  <c r="BV3" i="2" s="1"/>
  <c r="BV11" i="2"/>
  <c r="BU8" i="2"/>
  <c r="BU7" i="2"/>
  <c r="BU5" i="2"/>
  <c r="BU3" i="2" s="1"/>
  <c r="BT8" i="2"/>
  <c r="BU11" i="2"/>
  <c r="BT5" i="2"/>
  <c r="BT3" i="2" s="1"/>
  <c r="BS8" i="2"/>
  <c r="BS11" i="2"/>
  <c r="BT11" i="2"/>
  <c r="BT7" i="2"/>
  <c r="T5" i="4"/>
  <c r="T6" i="4"/>
  <c r="T10" i="4"/>
  <c r="T11" i="4"/>
  <c r="T12" i="4"/>
  <c r="T13" i="4"/>
  <c r="T14" i="4"/>
  <c r="T15" i="4"/>
  <c r="BS7" i="2"/>
  <c r="BS6" i="2" s="1"/>
  <c r="BS5" i="2"/>
  <c r="BS3" i="2" s="1"/>
  <c r="BR8" i="2"/>
  <c r="BR7" i="2"/>
  <c r="BR5" i="2"/>
  <c r="BR3" i="2" s="1"/>
  <c r="BQ8" i="2"/>
  <c r="BQ7" i="2"/>
  <c r="BQ5" i="2"/>
  <c r="BQ3" i="2" s="1"/>
  <c r="BP8" i="2"/>
  <c r="BP7" i="2"/>
  <c r="BP5" i="2"/>
  <c r="BP3" i="2" s="1"/>
  <c r="BO8" i="2"/>
  <c r="BO6" i="2" s="1"/>
  <c r="BO7" i="2"/>
  <c r="BO5" i="2"/>
  <c r="BO3" i="2" s="1"/>
  <c r="BN7" i="2"/>
  <c r="T8" i="4" s="1"/>
  <c r="BN8" i="2"/>
  <c r="T9" i="4" s="1"/>
  <c r="BN3" i="2"/>
  <c r="T4" i="4" s="1"/>
  <c r="BM8" i="2"/>
  <c r="BM7" i="2"/>
  <c r="BM3" i="2"/>
  <c r="BL8" i="2"/>
  <c r="BL7" i="2"/>
  <c r="BK8" i="2"/>
  <c r="BL3" i="2"/>
  <c r="BK7" i="2"/>
  <c r="BK3" i="2"/>
  <c r="BJ3" i="2"/>
  <c r="BJ8" i="2"/>
  <c r="BJ7" i="2"/>
  <c r="K5" i="4"/>
  <c r="K8" i="4"/>
  <c r="K17" i="4"/>
  <c r="K16" i="4"/>
  <c r="K15" i="4"/>
  <c r="K14" i="4"/>
  <c r="K13" i="4"/>
  <c r="K12" i="4"/>
  <c r="K11" i="4"/>
  <c r="K10" i="4"/>
  <c r="K9" i="4"/>
  <c r="K7" i="4"/>
  <c r="K6" i="4"/>
  <c r="K4" i="4"/>
  <c r="J17" i="4"/>
  <c r="J16" i="4"/>
  <c r="J15" i="4"/>
  <c r="J14" i="4"/>
  <c r="J13" i="4"/>
  <c r="J12" i="4"/>
  <c r="J11" i="4"/>
  <c r="J10" i="4"/>
  <c r="J9" i="4"/>
  <c r="J8" i="4"/>
  <c r="J7" i="4"/>
  <c r="J6" i="4"/>
  <c r="J5" i="4"/>
  <c r="J4" i="4"/>
  <c r="I17" i="4"/>
  <c r="I16" i="4"/>
  <c r="I15" i="4"/>
  <c r="I12" i="4"/>
  <c r="I11" i="4"/>
  <c r="I10" i="4"/>
  <c r="I9" i="4"/>
  <c r="I8" i="4"/>
  <c r="I7" i="4"/>
  <c r="I6" i="4"/>
  <c r="I5" i="4"/>
  <c r="I4" i="4"/>
  <c r="H17" i="4"/>
  <c r="H16" i="4"/>
  <c r="H15" i="4"/>
  <c r="H12" i="4"/>
  <c r="H11" i="4"/>
  <c r="H10" i="4"/>
  <c r="H9" i="4"/>
  <c r="H8" i="4"/>
  <c r="H7" i="4"/>
  <c r="H6" i="4"/>
  <c r="H5" i="4"/>
  <c r="H4" i="4"/>
  <c r="G17" i="4"/>
  <c r="G16" i="4"/>
  <c r="G15" i="4"/>
  <c r="G12" i="4"/>
  <c r="G11" i="4"/>
  <c r="G10" i="4"/>
  <c r="G9" i="4"/>
  <c r="G8" i="4"/>
  <c r="G7" i="4"/>
  <c r="G6" i="4"/>
  <c r="G5" i="4"/>
  <c r="G13" i="4"/>
  <c r="G14" i="4"/>
  <c r="G4" i="4"/>
  <c r="I14" i="4"/>
  <c r="I13" i="4"/>
  <c r="H14" i="4"/>
  <c r="H13" i="4"/>
  <c r="E8" i="4"/>
  <c r="F8" i="4"/>
  <c r="F11" i="4"/>
  <c r="F17" i="4"/>
  <c r="F16" i="4"/>
  <c r="F15" i="4"/>
  <c r="F14" i="4"/>
  <c r="F13" i="4"/>
  <c r="F12" i="4"/>
  <c r="F10" i="4"/>
  <c r="F9" i="4"/>
  <c r="F7" i="4"/>
  <c r="F6" i="4"/>
  <c r="F5" i="4"/>
  <c r="F4" i="4"/>
  <c r="E17" i="4"/>
  <c r="E16" i="4"/>
  <c r="E13" i="4"/>
  <c r="E14" i="4"/>
  <c r="E15" i="4"/>
  <c r="E12" i="4"/>
  <c r="E11" i="4"/>
  <c r="E10" i="4"/>
  <c r="E9" i="4"/>
  <c r="E7" i="4"/>
  <c r="E6" i="4"/>
  <c r="E5" i="4"/>
  <c r="E4" i="4"/>
  <c r="D8" i="4"/>
  <c r="D9" i="4"/>
  <c r="D10" i="4"/>
  <c r="D11" i="4"/>
  <c r="D12" i="4"/>
  <c r="D15" i="4"/>
  <c r="D16" i="4"/>
  <c r="D17" i="4"/>
  <c r="D7" i="4"/>
  <c r="D13" i="4"/>
  <c r="D14" i="4"/>
  <c r="D6" i="4"/>
  <c r="D5" i="4"/>
  <c r="D4" i="4"/>
  <c r="L4" i="4"/>
  <c r="L15" i="4"/>
  <c r="BG15" i="2"/>
  <c r="BH15" i="2"/>
  <c r="BI15" i="2"/>
  <c r="BF8" i="2"/>
  <c r="BF7" i="2"/>
  <c r="BF3" i="2"/>
  <c r="BE8" i="2"/>
  <c r="BE7" i="2"/>
  <c r="BE3" i="2"/>
  <c r="S15" i="4"/>
  <c r="S12" i="4"/>
  <c r="S9" i="4"/>
  <c r="S10" i="4"/>
  <c r="S11" i="4"/>
  <c r="S8" i="4"/>
  <c r="S6" i="4"/>
  <c r="S5" i="4"/>
  <c r="BC8" i="2"/>
  <c r="BD8" i="2"/>
  <c r="BD7" i="2"/>
  <c r="BD3" i="2"/>
  <c r="BC7" i="2"/>
  <c r="BC3" i="2"/>
  <c r="BB3" i="2"/>
  <c r="BA8" i="2"/>
  <c r="BA7" i="2"/>
  <c r="BA3" i="2"/>
  <c r="BA11" i="2"/>
  <c r="AZ7" i="2"/>
  <c r="AZ8" i="2"/>
  <c r="AZ3" i="2"/>
  <c r="AZ11" i="2"/>
  <c r="AY8" i="2"/>
  <c r="AY7" i="2"/>
  <c r="AY3" i="2"/>
  <c r="AY11" i="2"/>
  <c r="AX8" i="2"/>
  <c r="AX7" i="2"/>
  <c r="AX3" i="2"/>
  <c r="AX11" i="2"/>
  <c r="AW7" i="2"/>
  <c r="AW8" i="2"/>
  <c r="AW3" i="2"/>
  <c r="AW11" i="2"/>
  <c r="AV8" i="2"/>
  <c r="AV7" i="2"/>
  <c r="AV3" i="2"/>
  <c r="AV11" i="2"/>
  <c r="AT7" i="2"/>
  <c r="AU6" i="2"/>
  <c r="AU3" i="2"/>
  <c r="AT3" i="2"/>
  <c r="AU11" i="2"/>
  <c r="AT8" i="2"/>
  <c r="AS8" i="2"/>
  <c r="AS7" i="2"/>
  <c r="AT11" i="2"/>
  <c r="AR8" i="2"/>
  <c r="AR7" i="2"/>
  <c r="R15" i="4"/>
  <c r="R14" i="4"/>
  <c r="R12" i="4" s="1"/>
  <c r="R8" i="4"/>
  <c r="R9" i="4"/>
  <c r="R10" i="4"/>
  <c r="R11" i="4"/>
  <c r="R5" i="4"/>
  <c r="R6" i="4"/>
  <c r="AI4" i="2"/>
  <c r="AI5" i="2"/>
  <c r="AI7" i="2"/>
  <c r="AI8" i="2"/>
  <c r="AI9" i="2"/>
  <c r="AI10" i="2"/>
  <c r="AI12" i="2"/>
  <c r="AI11" i="2" s="1"/>
  <c r="AJ18" i="2"/>
  <c r="AK18" i="2"/>
  <c r="AS3" i="2"/>
  <c r="AS11" i="2"/>
  <c r="AJ11" i="2"/>
  <c r="AK11" i="2"/>
  <c r="AL11" i="2"/>
  <c r="AM11" i="2"/>
  <c r="AN11" i="2"/>
  <c r="AO11" i="2"/>
  <c r="AP11" i="2"/>
  <c r="AQ11" i="2"/>
  <c r="AR11" i="2"/>
  <c r="AJ6" i="2"/>
  <c r="AK6" i="2"/>
  <c r="AL6" i="2"/>
  <c r="AM6" i="2"/>
  <c r="AN6" i="2"/>
  <c r="AO6" i="2"/>
  <c r="AP6" i="2"/>
  <c r="R7" i="4" s="1"/>
  <c r="AQ6" i="2"/>
  <c r="AJ3" i="2"/>
  <c r="AK3" i="2"/>
  <c r="AL3" i="2"/>
  <c r="AM3" i="2"/>
  <c r="AN3" i="2"/>
  <c r="AO3" i="2"/>
  <c r="AP3" i="2"/>
  <c r="R4" i="4" s="1"/>
  <c r="AQ3" i="2"/>
  <c r="AR3" i="2"/>
  <c r="AH7" i="2"/>
  <c r="AH8" i="2"/>
  <c r="AH3" i="2"/>
  <c r="AH11" i="2"/>
  <c r="AG8" i="2"/>
  <c r="AG7" i="2"/>
  <c r="AF8" i="2"/>
  <c r="AF7" i="2"/>
  <c r="AG3" i="2"/>
  <c r="AG11" i="2"/>
  <c r="S14" i="4"/>
  <c r="F3" i="2"/>
  <c r="O4" i="4" s="1"/>
  <c r="F6" i="2"/>
  <c r="O7" i="4" s="1"/>
  <c r="F11" i="2"/>
  <c r="O12" i="4" s="1"/>
  <c r="O5" i="4"/>
  <c r="O6" i="4"/>
  <c r="O8" i="4"/>
  <c r="O9" i="4"/>
  <c r="O10" i="4"/>
  <c r="O11" i="4"/>
  <c r="O13" i="4"/>
  <c r="O14" i="4"/>
  <c r="O15" i="4"/>
  <c r="AF3" i="2"/>
  <c r="AF11" i="2"/>
  <c r="AE8" i="2"/>
  <c r="AE7" i="2"/>
  <c r="AE3" i="2"/>
  <c r="AE11" i="2"/>
  <c r="G3" i="2"/>
  <c r="G6" i="2"/>
  <c r="G11" i="2"/>
  <c r="S3" i="2"/>
  <c r="S6" i="2"/>
  <c r="S11" i="2"/>
  <c r="AD8" i="2"/>
  <c r="AD7" i="2"/>
  <c r="AD3" i="2"/>
  <c r="AD11" i="2"/>
  <c r="M4" i="4"/>
  <c r="N4" i="4"/>
  <c r="M5" i="4"/>
  <c r="N5" i="4"/>
  <c r="M6" i="4"/>
  <c r="N6" i="4"/>
  <c r="M7" i="4"/>
  <c r="N7" i="4"/>
  <c r="M8" i="4"/>
  <c r="N8" i="4"/>
  <c r="M9" i="4"/>
  <c r="N9" i="4"/>
  <c r="M10" i="4"/>
  <c r="N10" i="4"/>
  <c r="M11" i="4"/>
  <c r="N11" i="4"/>
  <c r="M12" i="4"/>
  <c r="N12" i="4"/>
  <c r="M13" i="4"/>
  <c r="N13" i="4"/>
  <c r="M14" i="4"/>
  <c r="N14" i="4"/>
  <c r="M15" i="4"/>
  <c r="N15" i="4"/>
  <c r="M16" i="4"/>
  <c r="N16" i="4"/>
  <c r="M17" i="4"/>
  <c r="L17" i="4"/>
  <c r="L16" i="4"/>
  <c r="L14" i="4"/>
  <c r="L13" i="4"/>
  <c r="L12" i="4"/>
  <c r="L11" i="4"/>
  <c r="L10" i="4"/>
  <c r="L9" i="4"/>
  <c r="L8" i="4"/>
  <c r="L7" i="4"/>
  <c r="L6" i="4"/>
  <c r="L5" i="4"/>
  <c r="R18" i="4"/>
  <c r="AC3" i="2"/>
  <c r="AB3" i="2"/>
  <c r="AC8" i="2"/>
  <c r="AC7" i="2"/>
  <c r="AC11" i="2"/>
  <c r="P5" i="4"/>
  <c r="P6" i="4"/>
  <c r="R6" i="2"/>
  <c r="P7" i="4" s="1"/>
  <c r="P8" i="4"/>
  <c r="P9" i="4"/>
  <c r="P10" i="4"/>
  <c r="P11" i="4"/>
  <c r="R11" i="2"/>
  <c r="P12" i="4" s="1"/>
  <c r="P13" i="4"/>
  <c r="P14" i="4"/>
  <c r="P15" i="4"/>
  <c r="R3" i="2"/>
  <c r="P4" i="4" s="1"/>
  <c r="AB8" i="2"/>
  <c r="AB7" i="2"/>
  <c r="AB11" i="2"/>
  <c r="AA7" i="2"/>
  <c r="AA6" i="2" s="1"/>
  <c r="AA3" i="2"/>
  <c r="AA11" i="2"/>
  <c r="Z8" i="2"/>
  <c r="Z7" i="2"/>
  <c r="Z3" i="2"/>
  <c r="Z11" i="2"/>
  <c r="Y6" i="2"/>
  <c r="Y3" i="2"/>
  <c r="Y11" i="2"/>
  <c r="X7" i="2"/>
  <c r="X6" i="2" s="1"/>
  <c r="X3" i="2"/>
  <c r="X11" i="2"/>
  <c r="L3" i="2"/>
  <c r="L6" i="2"/>
  <c r="L11" i="2"/>
  <c r="W8" i="2"/>
  <c r="W7" i="2"/>
  <c r="W3" i="2"/>
  <c r="W11" i="2"/>
  <c r="V7" i="2"/>
  <c r="V8" i="2"/>
  <c r="V3" i="2"/>
  <c r="V11" i="2"/>
  <c r="U7" i="2"/>
  <c r="U8" i="2"/>
  <c r="U11" i="2"/>
  <c r="T6" i="2"/>
  <c r="T3" i="2"/>
  <c r="T11" i="2"/>
  <c r="Q3" i="2"/>
  <c r="Q6" i="2"/>
  <c r="Q11" i="2"/>
  <c r="P3" i="2"/>
  <c r="P6" i="2"/>
  <c r="P11" i="2"/>
  <c r="O6" i="2"/>
  <c r="O3" i="2"/>
  <c r="O11" i="2"/>
  <c r="N3" i="2"/>
  <c r="N6" i="2"/>
  <c r="N11" i="2"/>
  <c r="M6" i="2"/>
  <c r="M3" i="2"/>
  <c r="M11" i="2"/>
  <c r="N17" i="4"/>
  <c r="K6" i="2"/>
  <c r="K3" i="2"/>
  <c r="K11" i="2"/>
  <c r="J6" i="2"/>
  <c r="J3" i="2"/>
  <c r="J11" i="2"/>
  <c r="I3" i="2"/>
  <c r="I6" i="2"/>
  <c r="I11" i="2"/>
  <c r="H3" i="2"/>
  <c r="H6" i="2"/>
  <c r="H11" i="2"/>
  <c r="E3" i="2"/>
  <c r="E6" i="2"/>
  <c r="E11" i="2"/>
  <c r="D6" i="2"/>
  <c r="D15" i="2" s="1"/>
  <c r="BB6" i="2"/>
  <c r="V12" i="4"/>
  <c r="V8" i="4"/>
  <c r="CJ6" i="2"/>
  <c r="CB6" i="2"/>
  <c r="CI6" i="2" l="1"/>
  <c r="CC6" i="2"/>
  <c r="BL6" i="2"/>
  <c r="CE6" i="2"/>
  <c r="CE15" i="2" s="1"/>
  <c r="CE18" i="2" s="1"/>
  <c r="CD6" i="2"/>
  <c r="CH6" i="2"/>
  <c r="CH15" i="2" s="1"/>
  <c r="CH18" i="2" s="1"/>
  <c r="BM6" i="2"/>
  <c r="BM15" i="2" s="1"/>
  <c r="BM18" i="2" s="1"/>
  <c r="U9" i="4"/>
  <c r="U6" i="4"/>
  <c r="AF6" i="2"/>
  <c r="V6" i="4"/>
  <c r="BC6" i="2"/>
  <c r="BC15" i="2" s="1"/>
  <c r="BC18" i="2" s="1"/>
  <c r="BJ6" i="2"/>
  <c r="BJ15" i="2" s="1"/>
  <c r="BJ18" i="2" s="1"/>
  <c r="BK6" i="2"/>
  <c r="BK15" i="2" s="1"/>
  <c r="BK18" i="2" s="1"/>
  <c r="BX15" i="2"/>
  <c r="BX18" i="2" s="1"/>
  <c r="BL15" i="2"/>
  <c r="BL18" i="2" s="1"/>
  <c r="G15" i="2"/>
  <c r="G18" i="2" s="1"/>
  <c r="BU6" i="2"/>
  <c r="BU15" i="2" s="1"/>
  <c r="BU18" i="2" s="1"/>
  <c r="CL6" i="2"/>
  <c r="V7" i="4" s="1"/>
  <c r="W7" i="4" s="1"/>
  <c r="X15" i="2"/>
  <c r="X18" i="2" s="1"/>
  <c r="BP6" i="2"/>
  <c r="BP15" i="2" s="1"/>
  <c r="BP18" i="2" s="1"/>
  <c r="BT6" i="2"/>
  <c r="BT15" i="2" s="1"/>
  <c r="BT18" i="2" s="1"/>
  <c r="BY6" i="2"/>
  <c r="BY15" i="2" s="1"/>
  <c r="BY18" i="2" s="1"/>
  <c r="CJ15" i="2"/>
  <c r="CJ18" i="2" s="1"/>
  <c r="AL15" i="2"/>
  <c r="AL18" i="2" s="1"/>
  <c r="AM15" i="2"/>
  <c r="AM18" i="2" s="1"/>
  <c r="AR6" i="2"/>
  <c r="AR15" i="2" s="1"/>
  <c r="AR18" i="2" s="1"/>
  <c r="BQ6" i="2"/>
  <c r="BQ15" i="2" s="1"/>
  <c r="BQ18" i="2" s="1"/>
  <c r="BN6" i="2"/>
  <c r="BN15" i="2" s="1"/>
  <c r="V9" i="4"/>
  <c r="AQ15" i="2"/>
  <c r="AQ18" i="2" s="1"/>
  <c r="AF15" i="2"/>
  <c r="AF18" i="2" s="1"/>
  <c r="AP15" i="2"/>
  <c r="AP18" i="2" s="1"/>
  <c r="R17" i="4" s="1"/>
  <c r="Q15" i="2"/>
  <c r="Q18" i="2" s="1"/>
  <c r="U6" i="2"/>
  <c r="U15" i="2" s="1"/>
  <c r="U18" i="2" s="1"/>
  <c r="W6" i="2"/>
  <c r="W15" i="2" s="1"/>
  <c r="W18" i="2" s="1"/>
  <c r="Z6" i="2"/>
  <c r="Z15" i="2" s="1"/>
  <c r="Z18" i="2" s="1"/>
  <c r="R15" i="2"/>
  <c r="R18" i="2" s="1"/>
  <c r="AN15" i="2"/>
  <c r="AN18" i="2" s="1"/>
  <c r="AT6" i="2"/>
  <c r="AT15" i="2" s="1"/>
  <c r="AT18" i="2" s="1"/>
  <c r="AW6" i="2"/>
  <c r="AW15" i="2" s="1"/>
  <c r="AW18" i="2" s="1"/>
  <c r="F15" i="2"/>
  <c r="O16" i="4" s="1"/>
  <c r="CC15" i="2"/>
  <c r="CC18" i="2" s="1"/>
  <c r="AX6" i="2"/>
  <c r="AX15" i="2" s="1"/>
  <c r="AX18" i="2" s="1"/>
  <c r="BA6" i="2"/>
  <c r="BA15" i="2" s="1"/>
  <c r="BA18" i="2" s="1"/>
  <c r="BR6" i="2"/>
  <c r="BR15" i="2" s="1"/>
  <c r="BR18" i="2" s="1"/>
  <c r="BW6" i="2"/>
  <c r="BW15" i="2" s="1"/>
  <c r="BW18" i="2" s="1"/>
  <c r="V4" i="4"/>
  <c r="E15" i="2"/>
  <c r="E18" i="2" s="1"/>
  <c r="AC6" i="2"/>
  <c r="AC15" i="2" s="1"/>
  <c r="AC18" i="2" s="1"/>
  <c r="AO15" i="2"/>
  <c r="AO18" i="2" s="1"/>
  <c r="BO15" i="2"/>
  <c r="BO18" i="2" s="1"/>
  <c r="BS15" i="2"/>
  <c r="BS18" i="2" s="1"/>
  <c r="CF15" i="2"/>
  <c r="CF18" i="2" s="1"/>
  <c r="AD6" i="2"/>
  <c r="AD15" i="2" s="1"/>
  <c r="AD18" i="2" s="1"/>
  <c r="AE6" i="2"/>
  <c r="AE15" i="2" s="1"/>
  <c r="AE18" i="2" s="1"/>
  <c r="AS6" i="2"/>
  <c r="AS15" i="2" s="1"/>
  <c r="AS18" i="2" s="1"/>
  <c r="AU15" i="2"/>
  <c r="AU18" i="2" s="1"/>
  <c r="AY6" i="2"/>
  <c r="AY15" i="2" s="1"/>
  <c r="AY18" i="2" s="1"/>
  <c r="AZ6" i="2"/>
  <c r="AZ15" i="2" s="1"/>
  <c r="AZ18" i="2" s="1"/>
  <c r="BD6" i="2"/>
  <c r="BD15" i="2" s="1"/>
  <c r="BD18" i="2" s="1"/>
  <c r="BE6" i="2"/>
  <c r="BE15" i="2" s="1"/>
  <c r="BE18" i="2" s="1"/>
  <c r="BF6" i="2"/>
  <c r="BF15" i="2" s="1"/>
  <c r="BF18" i="2" s="1"/>
  <c r="CG6" i="2"/>
  <c r="CG15" i="2" s="1"/>
  <c r="CG18" i="2" s="1"/>
  <c r="CK15" i="2"/>
  <c r="CK18" i="2" s="1"/>
  <c r="CO15" i="2"/>
  <c r="CO18" i="2" s="1"/>
  <c r="BZ15" i="2"/>
  <c r="U4" i="4"/>
  <c r="CI15" i="2"/>
  <c r="CI18" i="2" s="1"/>
  <c r="BB15" i="2"/>
  <c r="BB18" i="2" s="1"/>
  <c r="S17" i="4" s="1"/>
  <c r="I15" i="2"/>
  <c r="I18" i="2" s="1"/>
  <c r="J15" i="2"/>
  <c r="J18" i="2" s="1"/>
  <c r="M15" i="2"/>
  <c r="M18" i="2" s="1"/>
  <c r="O15" i="2"/>
  <c r="O18" i="2" s="1"/>
  <c r="P15" i="2"/>
  <c r="P18" i="2" s="1"/>
  <c r="T15" i="2"/>
  <c r="T18" i="2" s="1"/>
  <c r="V6" i="2"/>
  <c r="V15" i="2" s="1"/>
  <c r="V18" i="2" s="1"/>
  <c r="AB6" i="2"/>
  <c r="AB15" i="2" s="1"/>
  <c r="AB18" i="2" s="1"/>
  <c r="S15" i="2"/>
  <c r="S18" i="2" s="1"/>
  <c r="AG6" i="2"/>
  <c r="AG15" i="2" s="1"/>
  <c r="AG18" i="2" s="1"/>
  <c r="AH6" i="2"/>
  <c r="AH15" i="2" s="1"/>
  <c r="AH18" i="2" s="1"/>
  <c r="AV6" i="2"/>
  <c r="AV15" i="2" s="1"/>
  <c r="AV18" i="2" s="1"/>
  <c r="CA6" i="2"/>
  <c r="CA15" i="2" s="1"/>
  <c r="CA18" i="2" s="1"/>
  <c r="N15" i="2"/>
  <c r="N18" i="2" s="1"/>
  <c r="Y15" i="2"/>
  <c r="Y18" i="2" s="1"/>
  <c r="CD15" i="2"/>
  <c r="CD18" i="2" s="1"/>
  <c r="H15" i="2"/>
  <c r="H18" i="2" s="1"/>
  <c r="K15" i="2"/>
  <c r="K18" i="2" s="1"/>
  <c r="L15" i="2"/>
  <c r="L18" i="2" s="1"/>
  <c r="AA15" i="2"/>
  <c r="AA18" i="2" s="1"/>
  <c r="BV15" i="2"/>
  <c r="BV18" i="2" s="1"/>
  <c r="CB15" i="2"/>
  <c r="CB18" i="2" s="1"/>
  <c r="AI6" i="2"/>
  <c r="AI3" i="2"/>
  <c r="S4" i="4"/>
  <c r="W11" i="4"/>
  <c r="S7" i="4"/>
  <c r="W8" i="4"/>
  <c r="W14" i="4"/>
  <c r="W5" i="4"/>
  <c r="W12" i="4"/>
  <c r="W13" i="4"/>
  <c r="W10" i="4"/>
  <c r="W15" i="4"/>
  <c r="W9" i="4" l="1"/>
  <c r="W6" i="4"/>
  <c r="F18" i="2"/>
  <c r="O17" i="4" s="1"/>
  <c r="CL15" i="2"/>
  <c r="V16" i="4" s="1"/>
  <c r="P16" i="4"/>
  <c r="R16" i="4"/>
  <c r="T16" i="4"/>
  <c r="BN18" i="2"/>
  <c r="T17" i="4" s="1"/>
  <c r="T7" i="4"/>
  <c r="W4" i="4"/>
  <c r="S16" i="4"/>
  <c r="AI15" i="2"/>
  <c r="AI18" i="2" s="1"/>
  <c r="BZ18" i="2"/>
  <c r="U17" i="4" s="1"/>
  <c r="U16" i="4"/>
  <c r="CL18" i="2" l="1"/>
  <c r="V17" i="4" s="1"/>
  <c r="W17" i="4" s="1"/>
  <c r="W16" i="4"/>
</calcChain>
</file>

<file path=xl/sharedStrings.xml><?xml version="1.0" encoding="utf-8"?>
<sst xmlns="http://schemas.openxmlformats.org/spreadsheetml/2006/main" count="210" uniqueCount="201">
  <si>
    <t>ณ 30 มิ.ย. 49</t>
  </si>
  <si>
    <t>ณ 31 ก.ค. 49</t>
  </si>
  <si>
    <t> 1.รวมหนี้รัฐบาลกู้ตรง</t>
  </si>
  <si>
    <t>     หนี้รัฐบาลกู้ตรง-ต่างประเทศ</t>
  </si>
  <si>
    <t>     หนี้รัฐบาลกู้ตรง-ในประเทศ</t>
  </si>
  <si>
    <t xml:space="preserve">     หนี้รัฐวิสาหกิจค้ำประกัน-ต่างประเทศ                     </t>
  </si>
  <si>
    <t>     หนี้รัฐวิสาหกิจค้ำประกัน-ในประเทศ</t>
  </si>
  <si>
    <t>     หนี้รัฐวิสาหกิจไม่ค้ำประกัน-ต่างประเทศ </t>
  </si>
  <si>
    <t>     หนี้รัฐวิสาหกิจไม่ค้ำประกัน-ในประเทศ</t>
  </si>
  <si>
    <t> 3.หนี้ของหน่วยงานภาครัฐอื่น</t>
  </si>
  <si>
    <t>     หนี้ของหน่วยงานภาครัฐอื่นไม่ค้ำประกัน</t>
  </si>
  <si>
    <t> 4.หนี้กองทุน FIDF</t>
  </si>
  <si>
    <t>(1+2+3+4)</t>
  </si>
  <si>
    <t>    หนี้สาธารณะคงค้างรวมต่อ GDP (%)</t>
  </si>
  <si>
    <t>    หนี้คงค้างที่เป็นภาระงบประมาณต่อ GDP (%)</t>
  </si>
  <si>
    <t>ณ 31 ส.ค. 49</t>
  </si>
  <si>
    <t>สถานการณ์ด้านหนี้สาธารณะ</t>
  </si>
  <si>
    <t>ณ 30 ก.ย. 49</t>
  </si>
  <si>
    <t>ณ 31 ต.ค. 49</t>
  </si>
  <si>
    <t>ณ 30 พ.ย. 49</t>
  </si>
  <si>
    <t>ณ 31 ธ.ค. 49</t>
  </si>
  <si>
    <t>ณ 31 ม.ค. 50</t>
  </si>
  <si>
    <t>ณ 28 ก.พ. 50</t>
  </si>
  <si>
    <t>ณ 31 มี.ค. 50</t>
  </si>
  <si>
    <t>ณ 30 เม.ย. 50</t>
  </si>
  <si>
    <t xml:space="preserve">หนี้สาธารณะคงค้าง </t>
  </si>
  <si>
    <t>หน่วย : ล้านบาท</t>
  </si>
  <si>
    <t>30 ก.ย. 42</t>
  </si>
  <si>
    <t>30 ก.ย. 43</t>
  </si>
  <si>
    <t>30 ก.ย. 44</t>
  </si>
  <si>
    <t>30 ก.ย. 45</t>
  </si>
  <si>
    <t>30 ก.ย. 46</t>
  </si>
  <si>
    <t>30 ก.ย. 47</t>
  </si>
  <si>
    <t>30 ก.ย. 48</t>
  </si>
  <si>
    <t>30 ก.ย. 49</t>
  </si>
  <si>
    <t>หนี้ที่รัฐบาลกู้โดยตรง  (1.1+1.2)</t>
  </si>
  <si>
    <t xml:space="preserve">   หนี้ต่างประเทศ</t>
  </si>
  <si>
    <t xml:space="preserve">    หนี้ในประเทศ (1.2.1+1.2.2+1.2.3+1.2.4)</t>
  </si>
  <si>
    <t xml:space="preserve"> หนี้ของรัฐวิสาหกิจที่ไม่เป็นสถาบันการเงิน (2.1+2.2)</t>
  </si>
  <si>
    <t xml:space="preserve">       หนี้ที่รัฐบาลค้ำประกัน (2.1.1+2.1.2)</t>
  </si>
  <si>
    <t>2.1.1</t>
  </si>
  <si>
    <t xml:space="preserve">            หนี้ต่างประเทศ</t>
  </si>
  <si>
    <t>2.1.2</t>
  </si>
  <si>
    <t xml:space="preserve">             หนี้ในประเทศ</t>
  </si>
  <si>
    <t xml:space="preserve">        หนี้ที่รัฐบาลไม่ค้ำประกัน (2.2.1+2.2.2)</t>
  </si>
  <si>
    <t>2.2.1</t>
  </si>
  <si>
    <t xml:space="preserve">              หนี้ต่างประเทศ</t>
  </si>
  <si>
    <t>2.2.2</t>
  </si>
  <si>
    <t xml:space="preserve">               หนี้ในประเทศ</t>
  </si>
  <si>
    <t>หนี้สินของกองทุนเพื่อการฟื้นฟูฯ  (4.1+4.2)</t>
  </si>
  <si>
    <t xml:space="preserve">  รวม (1+2+3+4)</t>
  </si>
  <si>
    <t xml:space="preserve"> สัดส่วนหนี้สาธารณะต่อ GDP (5/7*100)</t>
  </si>
  <si>
    <t>ที่มา : สำนักงานบริหารหนี้สาธารณะ</t>
  </si>
  <si>
    <t>ณ 31 พ.ค. 50</t>
  </si>
  <si>
    <t>ณ 30 มิ.ย. 50</t>
  </si>
  <si>
    <t>ณ 30 ก.ค. 50</t>
  </si>
  <si>
    <t> GDP</t>
  </si>
  <si>
    <t>ณ 31 ส.ค. 50</t>
  </si>
  <si>
    <t>ณ 30 ก.ย. 50</t>
  </si>
  <si>
    <t>ณ 31 ต.ค. 50</t>
  </si>
  <si>
    <t>ณ 30 พ.ย. 50</t>
  </si>
  <si>
    <t>ณ 31 ธ.ค. 50</t>
  </si>
  <si>
    <t>ณ 31 ม.ค. 51</t>
  </si>
  <si>
    <t>** สบน เปลี่ยนวิธีคำนวณหนี้สาธารณะโดยเพิ่มหนี้สถาบันการเงินที่รัฐบาลค้ำประกันเข้ามาด้วย เริ่มเดือน ธค 2550</t>
  </si>
  <si>
    <t>ณ 29 ก.พ.  51</t>
  </si>
  <si>
    <t>ณ 31 มี.ค.  51</t>
  </si>
  <si>
    <t>หนี้สาธารณะคงค้าง</t>
  </si>
  <si>
    <r>
      <t>หน่วย</t>
    </r>
    <r>
      <rPr>
        <sz val="16"/>
        <rFont val="Angsana New"/>
        <family val="1"/>
      </rPr>
      <t xml:space="preserve">: </t>
    </r>
    <r>
      <rPr>
        <sz val="12"/>
        <rFont val="Angsana New"/>
        <family val="1"/>
      </rPr>
      <t>ล้านบาท</t>
    </r>
  </si>
  <si>
    <t>1. รวมหนี้ที่รัฐบาลกู้ตรง</t>
  </si>
  <si>
    <t xml:space="preserve">     หนี้รัฐบาลกู้ตรง-ต่างประเทศ</t>
  </si>
  <si>
    <t xml:space="preserve">     หนี้รัฐบาลกู้ตรง-ในประเทศ</t>
  </si>
  <si>
    <t>2. รวมหนี้ของรัฐวิสาหกิจ</t>
  </si>
  <si>
    <t xml:space="preserve">    หนี้ที่รัฐบาลค้ำประกัน-ต่างประเทศ</t>
  </si>
  <si>
    <t xml:space="preserve">    หนี้ที่รัฐบาลค้ำประกัน-ในประเทศ</t>
  </si>
  <si>
    <t xml:space="preserve">    หนี้ที่รัฐบาลไม่ค้ำประกัน-ต่างประเทศ</t>
  </si>
  <si>
    <t xml:space="preserve">    หนี้ที่รัฐบาลไม่ค้ำประกัน-ในประเทศ</t>
  </si>
  <si>
    <t>3. หนี้ของหน่วยงานภาครัฐอื่น</t>
  </si>
  <si>
    <t xml:space="preserve">    กองทุนหมู่บ้านและชุมชนเมืองแห่งชาติ</t>
  </si>
  <si>
    <t xml:space="preserve">    สถาบันบริหารกองทุนพลังงาน</t>
  </si>
  <si>
    <t>4. หนี้กองทุนเพื่อการฟื้นฟูฯ</t>
  </si>
  <si>
    <t>5. ยอดหนี้สาธารณะคงค้างรวม  (1+2+3+4)</t>
  </si>
  <si>
    <t>6. หนี้สาธารณะคงค้างรวมต่อ GDP (%)</t>
  </si>
  <si>
    <t>7. หนี้คงค้างที่เป็นภาระงบประมาณต่อ GDP (%)</t>
  </si>
  <si>
    <t>ณ 30 เม.ย.  51</t>
  </si>
  <si>
    <t>เปลี่ยนแปลงจากเดือนก่อน</t>
  </si>
  <si>
    <t>ณ 31 พ.ค.  51</t>
  </si>
  <si>
    <t>ณ 30 มิ.ย.  51</t>
  </si>
  <si>
    <t>ณ 31 ก.ค. 51</t>
  </si>
  <si>
    <t>ณ 31 ส.ค. 51</t>
  </si>
  <si>
    <t>ณ 30 ก.ย. 50</t>
  </si>
  <si>
    <t>ณ 30 ก.ย. 51</t>
  </si>
  <si>
    <t>ณ 30 ก.ย. 47</t>
  </si>
  <si>
    <t>ณ 30 ก.ย. 48</t>
  </si>
  <si>
    <t>ณ 30 ก.ย. 49</t>
  </si>
  <si>
    <t>เปรียบเทียบปีงบประมาณ 2551</t>
  </si>
  <si>
    <t>ณ 31 ต.ค. 51</t>
  </si>
  <si>
    <t>ณ 30 พ.ย. 51</t>
  </si>
  <si>
    <t>ณ 31 ธ.ค. 51</t>
  </si>
  <si>
    <t>ณ 31 ม.ค. 52</t>
  </si>
  <si>
    <t>ณ 28 ก.พ. 52</t>
  </si>
  <si>
    <t>ณ 31 มี.ค. 52</t>
  </si>
  <si>
    <t>ณ 30 เม.ย. 52</t>
  </si>
  <si>
    <t>ณ 31 พ.ค. 52</t>
  </si>
  <si>
    <t>ณ 30 มิ.ย. 52</t>
  </si>
  <si>
    <t>ณ 31 ก.ค. 52</t>
  </si>
  <si>
    <t>ณ 31 ส.ค. 52</t>
  </si>
  <si>
    <t>ณ 30 ก.ย. 52</t>
  </si>
  <si>
    <t>ณ 31 ต.ค. 52</t>
  </si>
  <si>
    <t>ณ 30 พ.ย. 52</t>
  </si>
  <si>
    <t>ณ 31 ธ.ค. 52</t>
  </si>
  <si>
    <t>ณ 31 ม.ค. 53</t>
  </si>
  <si>
    <t>ณ 31 มี.ค. 53</t>
  </si>
  <si>
    <t>ณ 28 ก.พ. 53</t>
  </si>
  <si>
    <t>ณ 30 เม.ย. 53</t>
  </si>
  <si>
    <t>ณ 31 พ.ค. 53</t>
  </si>
  <si>
    <t>ณ 30 มิ.ย. 53</t>
  </si>
  <si>
    <t>ณ 31 ก.ค. 53</t>
  </si>
  <si>
    <t>ณ 31 ส.ค. 53</t>
  </si>
  <si>
    <t>ณ 30 ก.ย. 53</t>
  </si>
  <si>
    <t>ณ 30 พ.ย. 55</t>
  </si>
  <si>
    <t>ณ 31 ธ.ค. 53</t>
  </si>
  <si>
    <t>ณ 31 ม.ค. 54</t>
  </si>
  <si>
    <t>ณ 28 ก.พ. 54</t>
  </si>
  <si>
    <t>ณ 31 มี.ค. 54</t>
  </si>
  <si>
    <t>ณ 30 เม.ย. 54</t>
  </si>
  <si>
    <t>1,52,521.00</t>
  </si>
  <si>
    <t>ณ 30 ก.ย. 39</t>
  </si>
  <si>
    <t>ณ 30 ก.ย. 40</t>
  </si>
  <si>
    <t>ณ 30 ก.ย. 41</t>
  </si>
  <si>
    <t>ณ 30 ก.ย. 42</t>
  </si>
  <si>
    <t>ณ 30 ก.ย. 43</t>
  </si>
  <si>
    <t>ณ 30 ก.ย. 44</t>
  </si>
  <si>
    <t>ณ 30 ก.ย. 45</t>
  </si>
  <si>
    <t>ณ 30 ก.ย. 46</t>
  </si>
  <si>
    <t>ณ 31 พ.ค. 54</t>
  </si>
  <si>
    <t>ณ 30 มิ.ย. 54</t>
  </si>
  <si>
    <t>ณ 31 ก.ค. 54</t>
  </si>
  <si>
    <t>ณ 31 ส.ค. 54</t>
  </si>
  <si>
    <t>ณ 30 ก.ย. 54</t>
  </si>
  <si>
    <t>30 ก.ย. 54</t>
  </si>
  <si>
    <t>ณ 31 ต.ค. 53</t>
  </si>
  <si>
    <t>หนี้ของหน่วยงานภาครัฐอื่น (3.1 + 3.2)</t>
  </si>
  <si>
    <t>ณ 31 ต.ค. 54</t>
  </si>
  <si>
    <t>ณ 30 พ.ย. 54</t>
  </si>
  <si>
    <t>ณ 31 ธ.ค. 54</t>
  </si>
  <si>
    <t>ณ 31 ม.ค. 55</t>
  </si>
  <si>
    <t>ณ 29 ก.พ. 55</t>
  </si>
  <si>
    <t>ณ 31 มี.ค. 55</t>
  </si>
  <si>
    <t>ณ 30 เม.ย. 55</t>
  </si>
  <si>
    <t>ณ 31 พ.ค. 55</t>
  </si>
  <si>
    <t>ณ 30 มิ.ย. 55</t>
  </si>
  <si>
    <t>ณ 31 ก.ค. 55</t>
  </si>
  <si>
    <t>ณ 31 ส.ค. 55</t>
  </si>
  <si>
    <t>ณ 30 ก.ย. 55</t>
  </si>
  <si>
    <t>30 ก.ย. 55</t>
  </si>
  <si>
    <t>ณ 31 ต.ค. 55</t>
  </si>
  <si>
    <t>ณ 31 ธ.ค. 55</t>
  </si>
  <si>
    <t>ณ 31 ม.ค. 56</t>
  </si>
  <si>
    <t>ณ28 ก.พ. 56</t>
  </si>
  <si>
    <t>ณ 31 มี.ค. 56</t>
  </si>
  <si>
    <t>ณ 30 เม.ย. 56</t>
  </si>
  <si>
    <t>ณ 31 พ.ค. 56</t>
  </si>
  <si>
    <t>ณ 30 มิย 56</t>
  </si>
  <si>
    <t>ณ 31 กค 56</t>
  </si>
  <si>
    <t>ณ 31 สค 56</t>
  </si>
  <si>
    <t>ณ 30 กย 56</t>
  </si>
  <si>
    <t>ณ 30 ก.ย. 56</t>
  </si>
  <si>
    <t>ณ 31 ต.ค. 56</t>
  </si>
  <si>
    <t>    หนี้ของหน่วยงานภาครัฐอื่นค้ำประกัน</t>
  </si>
  <si>
    <t>ณ 30 พ.ย. 56</t>
  </si>
  <si>
    <t>ณ 31 ธ.ค. 56</t>
  </si>
  <si>
    <t>ณ 31 ม.ค. 57</t>
  </si>
  <si>
    <t>ณ 28 ก.พ. 57</t>
  </si>
  <si>
    <t xml:space="preserve"> 31 มี.ค. 57</t>
  </si>
  <si>
    <t xml:space="preserve"> 30 เม.ย. 57</t>
  </si>
  <si>
    <t xml:space="preserve"> 31 พ.ค. 57</t>
  </si>
  <si>
    <t xml:space="preserve"> 30 มิ.ย. 57</t>
  </si>
  <si>
    <t xml:space="preserve"> 31 ก.ค. 57</t>
  </si>
  <si>
    <t xml:space="preserve"> 31 ส.ค. 57</t>
  </si>
  <si>
    <t xml:space="preserve"> 30 ก.ย. 57</t>
  </si>
  <si>
    <t xml:space="preserve"> 31 ต.ค. 57</t>
  </si>
  <si>
    <t xml:space="preserve"> 30 พ.ย. 57</t>
  </si>
  <si>
    <t xml:space="preserve"> 31 ธ.ค. 57</t>
  </si>
  <si>
    <t xml:space="preserve"> 31 ม.ค. 58</t>
  </si>
  <si>
    <t xml:space="preserve">  GDP</t>
  </si>
  <si>
    <t xml:space="preserve"> 28 ค.พ. 58</t>
  </si>
  <si>
    <t xml:space="preserve">*** สบน เปลี่ยนวิธีคำนวณ GDP โดยใช้ GDP ปีก่อนตามสัดส่วนจำนวนเดือนในปีก่อน รวมกับ GDP ปีปัจจุบันตามสัดส่วนจำนวนเดือนตั้งแต่ต้นปีปฏิทินถึงเดือนปัจจุบัน </t>
  </si>
  <si>
    <t>30 ก.ย. 50</t>
  </si>
  <si>
    <t>30 ก.ย. 51</t>
  </si>
  <si>
    <t>30 ก.ย. 52</t>
  </si>
  <si>
    <t>30 ก.ย. 53</t>
  </si>
  <si>
    <t>30 ก.ย. 56</t>
  </si>
  <si>
    <t>30 ก.ย. 57</t>
  </si>
  <si>
    <t>30 ก.ย.58</t>
  </si>
  <si>
    <t>29-ก.พ.-59</t>
  </si>
  <si>
    <r>
      <t> </t>
    </r>
    <r>
      <rPr>
        <b/>
        <sz val="10"/>
        <rFont val="Arial"/>
        <family val="2"/>
        <charset val="222"/>
      </rPr>
      <t>2.รวมหนี้รัฐวิสาหกิจ</t>
    </r>
  </si>
  <si>
    <r>
      <t xml:space="preserve">      </t>
    </r>
    <r>
      <rPr>
        <sz val="10"/>
        <rFont val="Arial"/>
        <family val="2"/>
        <charset val="222"/>
      </rPr>
      <t>หนี้ของหน่วยงานภาครัฐอื่นค้ำประกัน</t>
    </r>
  </si>
  <si>
    <r>
      <t> 5.</t>
    </r>
    <r>
      <rPr>
        <sz val="10"/>
        <rFont val="Arial"/>
        <family val="2"/>
        <charset val="222"/>
      </rPr>
      <t xml:space="preserve"> </t>
    </r>
    <r>
      <rPr>
        <sz val="10"/>
        <rFont val="Arial"/>
        <family val="2"/>
        <charset val="222"/>
      </rPr>
      <t>ยอดหนี้สาธารณะคงค้างรวม</t>
    </r>
  </si>
  <si>
    <r>
      <t>หมายเหตุ</t>
    </r>
    <r>
      <rPr>
        <sz val="10"/>
        <rFont val="Arial"/>
        <family val="2"/>
        <charset val="222"/>
      </rPr>
      <t xml:space="preserve"> * หน่วยงานภาครัฐอื่น ได้แก่ สำนักงานคณะกรรมการกองทุนหมู่บ้าน  และชุมชนเมืองแห่งชาติ  และสถาบันบริหารกองทุนพลังงาน          </t>
    </r>
  </si>
  <si>
    <r>
      <t>ที่มา</t>
    </r>
    <r>
      <rPr>
        <sz val="10"/>
        <rFont val="Arial"/>
        <family val="2"/>
        <charset val="222"/>
      </rPr>
      <t> : สำนักงานบริหารหนี้สาธารณะ      </t>
    </r>
  </si>
  <si>
    <t>0.0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</si>
</sst>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87" formatCode="_(* #,##0.00_);_(* \(#,##0.00\);_(* &quot;-&quot;??_);_(@_)"/>
    <numFmt numFmtId="188" formatCode="0.0"/>
    <numFmt numFmtId="189" formatCode="_(* #,##0_);_(* \(#,##0\);_(* &quot;-&quot;??_);_(@_)"/>
    <numFmt numFmtId="190" formatCode="_(* #,##0.0_);_(* \(#,##0.0\);_(* &quot;-&quot;??_);_(@_)"/>
    <numFmt numFmtId="191" formatCode="#,##0.0000"/>
    <numFmt numFmtId="192" formatCode="#,##0.00000"/>
    <numFmt numFmtId="194" formatCode="#,##0.0"/>
  </numFmts>
  <fonts count="42" x14ac:knownFonts="1">
    <font>
      <sz val="10"/>
      <name val="Arial"/>
      <charset val="222"/>
    </font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sz val="8"/>
      <name val="Arial"/>
      <family val="2"/>
    </font>
    <font>
      <b/>
      <sz val="18"/>
      <name val="Angsana New"/>
      <family val="1"/>
    </font>
    <font>
      <sz val="14"/>
      <name val="Angsana New"/>
      <family val="1"/>
    </font>
    <font>
      <b/>
      <sz val="12"/>
      <name val="Angsana New"/>
      <family val="1"/>
    </font>
    <font>
      <b/>
      <sz val="14"/>
      <name val="Angsana New"/>
      <family val="1"/>
    </font>
    <font>
      <sz val="14"/>
      <name val="Cordia New"/>
      <family val="2"/>
      <charset val="222"/>
    </font>
    <font>
      <sz val="14"/>
      <name val="Cordia New"/>
      <family val="2"/>
    </font>
    <font>
      <sz val="16"/>
      <name val="Angsana New"/>
      <family val="1"/>
    </font>
    <font>
      <b/>
      <sz val="16"/>
      <name val="Angsana New"/>
      <family val="1"/>
    </font>
    <font>
      <sz val="12"/>
      <name val="Angsana New"/>
      <family val="1"/>
    </font>
    <font>
      <sz val="14"/>
      <name val="TH SarabunIT๙"/>
      <family val="2"/>
    </font>
    <font>
      <b/>
      <sz val="14"/>
      <name val="TH SarabunIT๙"/>
      <family val="2"/>
    </font>
    <font>
      <sz val="11"/>
      <color theme="1"/>
      <name val="Tahoma"/>
      <family val="2"/>
      <charset val="222"/>
      <scheme val="minor"/>
    </font>
    <font>
      <sz val="10"/>
      <name val="Angsana New"/>
      <family val="1"/>
    </font>
    <font>
      <b/>
      <sz val="12"/>
      <name val="Arial"/>
      <family val="2"/>
    </font>
    <font>
      <sz val="10"/>
      <name val="Arial"/>
      <family val="2"/>
    </font>
    <font>
      <b/>
      <sz val="10"/>
      <name val="MS Sans Serif"/>
      <family val="2"/>
      <charset val="222"/>
    </font>
    <font>
      <b/>
      <sz val="10"/>
      <color indexed="8"/>
      <name val="MS Sans Serif"/>
      <family val="2"/>
      <charset val="222"/>
    </font>
    <font>
      <sz val="10"/>
      <name val="MS Sans Serif"/>
      <family val="2"/>
      <charset val="222"/>
    </font>
    <font>
      <b/>
      <sz val="10"/>
      <name val="Arial"/>
      <family val="2"/>
      <charset val="222"/>
    </font>
    <font>
      <sz val="10"/>
      <name val="Arial"/>
      <family val="2"/>
      <charset val="222"/>
    </font>
    <font>
      <sz val="7.5"/>
      <name val="MS Sans Serif"/>
      <family val="2"/>
      <charset val="222"/>
    </font>
    <font>
      <sz val="10"/>
      <name val="MS Sans Serif"/>
      <charset val="222"/>
    </font>
    <font>
      <b/>
      <sz val="18"/>
      <color theme="3"/>
      <name val="Tahoma"/>
      <family val="2"/>
      <charset val="222"/>
      <scheme val="major"/>
    </font>
    <font>
      <b/>
      <sz val="15"/>
      <color theme="3"/>
      <name val="Tahoma"/>
      <family val="2"/>
      <charset val="222"/>
      <scheme val="minor"/>
    </font>
    <font>
      <b/>
      <sz val="13"/>
      <color theme="3"/>
      <name val="Tahoma"/>
      <family val="2"/>
      <charset val="222"/>
      <scheme val="minor"/>
    </font>
    <font>
      <b/>
      <sz val="11"/>
      <color theme="3"/>
      <name val="Tahoma"/>
      <family val="2"/>
      <charset val="222"/>
      <scheme val="minor"/>
    </font>
    <font>
      <sz val="11"/>
      <color rgb="FF006100"/>
      <name val="Tahoma"/>
      <family val="2"/>
      <charset val="222"/>
      <scheme val="minor"/>
    </font>
    <font>
      <sz val="11"/>
      <color rgb="FF9C0006"/>
      <name val="Tahoma"/>
      <family val="2"/>
      <charset val="222"/>
      <scheme val="minor"/>
    </font>
    <font>
      <sz val="11"/>
      <color rgb="FF9C6500"/>
      <name val="Tahoma"/>
      <family val="2"/>
      <charset val="222"/>
      <scheme val="minor"/>
    </font>
    <font>
      <sz val="11"/>
      <color rgb="FF3F3F76"/>
      <name val="Tahoma"/>
      <family val="2"/>
      <charset val="222"/>
      <scheme val="minor"/>
    </font>
    <font>
      <b/>
      <sz val="11"/>
      <color rgb="FF3F3F3F"/>
      <name val="Tahoma"/>
      <family val="2"/>
      <charset val="222"/>
      <scheme val="minor"/>
    </font>
    <font>
      <b/>
      <sz val="11"/>
      <color rgb="FFFA7D00"/>
      <name val="Tahoma"/>
      <family val="2"/>
      <charset val="222"/>
      <scheme val="minor"/>
    </font>
    <font>
      <sz val="11"/>
      <color rgb="FFFA7D00"/>
      <name val="Tahoma"/>
      <family val="2"/>
      <charset val="222"/>
      <scheme val="minor"/>
    </font>
    <font>
      <b/>
      <sz val="11"/>
      <color theme="0"/>
      <name val="Tahoma"/>
      <family val="2"/>
      <charset val="222"/>
      <scheme val="minor"/>
    </font>
    <font>
      <sz val="11"/>
      <color rgb="FFFF0000"/>
      <name val="Tahoma"/>
      <family val="2"/>
      <charset val="222"/>
      <scheme val="minor"/>
    </font>
    <font>
      <i/>
      <sz val="11"/>
      <color rgb="FF7F7F7F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sz val="11"/>
      <color theme="0"/>
      <name val="Tahoma"/>
      <family val="2"/>
      <charset val="222"/>
      <scheme val="minor"/>
    </font>
  </fonts>
  <fills count="4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15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28" fillId="0" borderId="15" applyNumberFormat="0" applyFill="0" applyAlignment="0" applyProtection="0"/>
    <xf numFmtId="0" fontId="29" fillId="0" borderId="16" applyNumberFormat="0" applyFill="0" applyAlignment="0" applyProtection="0"/>
    <xf numFmtId="0" fontId="29" fillId="0" borderId="0" applyNumberFormat="0" applyFill="0" applyBorder="0" applyAlignment="0" applyProtection="0"/>
    <xf numFmtId="0" fontId="30" fillId="15" borderId="0" applyNumberFormat="0" applyBorder="0" applyAlignment="0" applyProtection="0"/>
    <xf numFmtId="0" fontId="31" fillId="16" borderId="0" applyNumberFormat="0" applyBorder="0" applyAlignment="0" applyProtection="0"/>
    <xf numFmtId="0" fontId="32" fillId="17" borderId="0" applyNumberFormat="0" applyBorder="0" applyAlignment="0" applyProtection="0"/>
    <xf numFmtId="0" fontId="33" fillId="18" borderId="17" applyNumberFormat="0" applyAlignment="0" applyProtection="0"/>
    <xf numFmtId="0" fontId="34" fillId="19" borderId="18" applyNumberFormat="0" applyAlignment="0" applyProtection="0"/>
    <xf numFmtId="0" fontId="35" fillId="19" borderId="17" applyNumberFormat="0" applyAlignment="0" applyProtection="0"/>
    <xf numFmtId="0" fontId="36" fillId="0" borderId="19" applyNumberFormat="0" applyFill="0" applyAlignment="0" applyProtection="0"/>
    <xf numFmtId="0" fontId="37" fillId="20" borderId="20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22" applyNumberFormat="0" applyFill="0" applyAlignment="0" applyProtection="0"/>
    <xf numFmtId="0" fontId="4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41" fillId="33" borderId="0" applyNumberFormat="0" applyBorder="0" applyAlignment="0" applyProtection="0"/>
    <xf numFmtId="0" fontId="4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41" fillId="37" borderId="0" applyNumberFormat="0" applyBorder="0" applyAlignment="0" applyProtection="0"/>
    <xf numFmtId="0" fontId="4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41" fillId="41" borderId="0" applyNumberFormat="0" applyBorder="0" applyAlignment="0" applyProtection="0"/>
    <xf numFmtId="0" fontId="4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41" fillId="4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21" borderId="21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161">
    <xf numFmtId="0" fontId="0" fillId="0" borderId="0" xfId="0"/>
    <xf numFmtId="0" fontId="0" fillId="0" borderId="1" xfId="0" applyBorder="1"/>
    <xf numFmtId="43" fontId="5" fillId="0" borderId="0" xfId="2" applyFont="1"/>
    <xf numFmtId="0" fontId="5" fillId="0" borderId="0" xfId="0" applyFont="1"/>
    <xf numFmtId="0" fontId="5" fillId="0" borderId="2" xfId="0" applyFont="1" applyBorder="1"/>
    <xf numFmtId="43" fontId="5" fillId="0" borderId="3" xfId="2" applyFont="1" applyBorder="1"/>
    <xf numFmtId="1" fontId="7" fillId="0" borderId="4" xfId="2" applyNumberFormat="1" applyFont="1" applyBorder="1" applyAlignment="1">
      <alignment horizontal="center"/>
    </xf>
    <xf numFmtId="43" fontId="5" fillId="0" borderId="5" xfId="2" applyFont="1" applyBorder="1"/>
    <xf numFmtId="43" fontId="5" fillId="0" borderId="6" xfId="2" applyFont="1" applyBorder="1"/>
    <xf numFmtId="43" fontId="7" fillId="0" borderId="7" xfId="2" applyFont="1" applyBorder="1" applyAlignment="1">
      <alignment horizontal="center"/>
    </xf>
    <xf numFmtId="190" fontId="5" fillId="0" borderId="1" xfId="2" applyNumberFormat="1" applyFont="1" applyBorder="1" applyAlignment="1">
      <alignment horizontal="center"/>
    </xf>
    <xf numFmtId="43" fontId="5" fillId="0" borderId="1" xfId="2" applyFont="1" applyBorder="1"/>
    <xf numFmtId="187" fontId="5" fillId="0" borderId="1" xfId="2" applyNumberFormat="1" applyFont="1" applyBorder="1"/>
    <xf numFmtId="187" fontId="5" fillId="0" borderId="8" xfId="0" applyNumberFormat="1" applyFont="1" applyBorder="1"/>
    <xf numFmtId="187" fontId="5" fillId="0" borderId="8" xfId="2" applyNumberFormat="1" applyFont="1" applyBorder="1"/>
    <xf numFmtId="43" fontId="5" fillId="0" borderId="1" xfId="2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43" fontId="5" fillId="2" borderId="1" xfId="2" applyFont="1" applyFill="1" applyBorder="1"/>
    <xf numFmtId="0" fontId="5" fillId="0" borderId="1" xfId="0" applyFont="1" applyBorder="1" applyAlignment="1">
      <alignment horizontal="center"/>
    </xf>
    <xf numFmtId="0" fontId="9" fillId="2" borderId="1" xfId="0" applyFont="1" applyFill="1" applyBorder="1" applyAlignment="1">
      <alignment vertical="center"/>
    </xf>
    <xf numFmtId="187" fontId="5" fillId="0" borderId="9" xfId="2" applyNumberFormat="1" applyFont="1" applyBorder="1"/>
    <xf numFmtId="0" fontId="8" fillId="0" borderId="1" xfId="0" applyFont="1" applyBorder="1" applyAlignment="1">
      <alignment vertical="center"/>
    </xf>
    <xf numFmtId="0" fontId="0" fillId="2" borderId="1" xfId="0" applyFill="1" applyBorder="1"/>
    <xf numFmtId="0" fontId="5" fillId="2" borderId="1" xfId="0" applyFont="1" applyFill="1" applyBorder="1"/>
    <xf numFmtId="43" fontId="5" fillId="2" borderId="8" xfId="2" applyFont="1" applyFill="1" applyBorder="1"/>
    <xf numFmtId="189" fontId="7" fillId="0" borderId="1" xfId="2" applyNumberFormat="1" applyFont="1" applyBorder="1" applyAlignment="1">
      <alignment horizontal="center"/>
    </xf>
    <xf numFmtId="43" fontId="7" fillId="2" borderId="1" xfId="2" applyFont="1" applyFill="1" applyBorder="1"/>
    <xf numFmtId="187" fontId="7" fillId="2" borderId="1" xfId="2" applyNumberFormat="1" applyFont="1" applyFill="1" applyBorder="1"/>
    <xf numFmtId="187" fontId="7" fillId="0" borderId="8" xfId="0" applyNumberFormat="1" applyFont="1" applyBorder="1"/>
    <xf numFmtId="43" fontId="7" fillId="0" borderId="1" xfId="2" applyFont="1" applyBorder="1"/>
    <xf numFmtId="2" fontId="5" fillId="0" borderId="0" xfId="0" applyNumberFormat="1" applyFont="1"/>
    <xf numFmtId="1" fontId="7" fillId="0" borderId="2" xfId="2" applyNumberFormat="1" applyFont="1" applyBorder="1" applyAlignment="1">
      <alignment horizontal="center"/>
    </xf>
    <xf numFmtId="43" fontId="7" fillId="0" borderId="5" xfId="2" applyFont="1" applyBorder="1" applyAlignment="1">
      <alignment horizontal="center"/>
    </xf>
    <xf numFmtId="0" fontId="7" fillId="0" borderId="10" xfId="0" applyFont="1" applyBorder="1" applyAlignment="1">
      <alignment vertical="top" wrapText="1"/>
    </xf>
    <xf numFmtId="4" fontId="7" fillId="0" borderId="11" xfId="0" applyNumberFormat="1" applyFont="1" applyBorder="1" applyAlignment="1">
      <alignment horizontal="right" vertical="top" wrapText="1"/>
    </xf>
    <xf numFmtId="0" fontId="5" fillId="0" borderId="11" xfId="0" applyFont="1" applyBorder="1" applyAlignment="1">
      <alignment horizontal="right" wrapText="1"/>
    </xf>
    <xf numFmtId="0" fontId="7" fillId="0" borderId="11" xfId="0" applyFont="1" applyBorder="1" applyAlignment="1">
      <alignment vertical="top" wrapText="1"/>
    </xf>
    <xf numFmtId="4" fontId="5" fillId="0" borderId="1" xfId="0" applyNumberFormat="1" applyFont="1" applyBorder="1"/>
    <xf numFmtId="4" fontId="5" fillId="2" borderId="1" xfId="0" applyNumberFormat="1" applyFont="1" applyFill="1" applyBorder="1" applyAlignment="1">
      <alignment vertical="center" wrapText="1"/>
    </xf>
    <xf numFmtId="4" fontId="7" fillId="0" borderId="1" xfId="0" applyNumberFormat="1" applyFont="1" applyBorder="1"/>
    <xf numFmtId="4" fontId="5" fillId="2" borderId="1" xfId="0" applyNumberFormat="1" applyFont="1" applyFill="1" applyBorder="1" applyAlignment="1">
      <alignment wrapText="1"/>
    </xf>
    <xf numFmtId="187" fontId="5" fillId="0" borderId="7" xfId="2" applyNumberFormat="1" applyFont="1" applyBorder="1"/>
    <xf numFmtId="15" fontId="7" fillId="0" borderId="7" xfId="2" applyNumberFormat="1" applyFont="1" applyBorder="1" applyAlignment="1">
      <alignment horizontal="center"/>
    </xf>
    <xf numFmtId="0" fontId="7" fillId="0" borderId="3" xfId="2" applyNumberFormat="1" applyFont="1" applyBorder="1" applyAlignment="1">
      <alignment horizontal="center"/>
    </xf>
    <xf numFmtId="43" fontId="7" fillId="8" borderId="7" xfId="2" applyFont="1" applyFill="1" applyBorder="1"/>
    <xf numFmtId="187" fontId="7" fillId="8" borderId="7" xfId="2" applyNumberFormat="1" applyFont="1" applyFill="1" applyBorder="1"/>
    <xf numFmtId="187" fontId="7" fillId="8" borderId="5" xfId="2" applyNumberFormat="1" applyFont="1" applyFill="1" applyBorder="1"/>
    <xf numFmtId="4" fontId="7" fillId="8" borderId="1" xfId="0" applyNumberFormat="1" applyFont="1" applyFill="1" applyBorder="1"/>
    <xf numFmtId="43" fontId="5" fillId="9" borderId="1" xfId="2" applyFont="1" applyFill="1" applyBorder="1"/>
    <xf numFmtId="187" fontId="5" fillId="9" borderId="1" xfId="2" applyNumberFormat="1" applyFont="1" applyFill="1" applyBorder="1"/>
    <xf numFmtId="187" fontId="5" fillId="9" borderId="8" xfId="2" applyNumberFormat="1" applyFont="1" applyFill="1" applyBorder="1"/>
    <xf numFmtId="4" fontId="5" fillId="9" borderId="1" xfId="0" applyNumberFormat="1" applyFont="1" applyFill="1" applyBorder="1"/>
    <xf numFmtId="4" fontId="5" fillId="9" borderId="1" xfId="2" applyNumberFormat="1" applyFont="1" applyFill="1" applyBorder="1"/>
    <xf numFmtId="0" fontId="7" fillId="8" borderId="1" xfId="0" applyFont="1" applyFill="1" applyBorder="1" applyAlignment="1">
      <alignment vertical="center"/>
    </xf>
    <xf numFmtId="0" fontId="0" fillId="8" borderId="1" xfId="0" applyFill="1" applyBorder="1"/>
    <xf numFmtId="187" fontId="5" fillId="8" borderId="1" xfId="0" applyNumberFormat="1" applyFont="1" applyFill="1" applyBorder="1"/>
    <xf numFmtId="187" fontId="7" fillId="8" borderId="1" xfId="0" applyNumberFormat="1" applyFont="1" applyFill="1" applyBorder="1"/>
    <xf numFmtId="187" fontId="7" fillId="8" borderId="8" xfId="0" applyNumberFormat="1" applyFont="1" applyFill="1" applyBorder="1"/>
    <xf numFmtId="43" fontId="7" fillId="8" borderId="1" xfId="2" applyFont="1" applyFill="1" applyBorder="1"/>
    <xf numFmtId="187" fontId="7" fillId="8" borderId="1" xfId="2" applyNumberFormat="1" applyFont="1" applyFill="1" applyBorder="1"/>
    <xf numFmtId="187" fontId="7" fillId="8" borderId="8" xfId="2" applyNumberFormat="1" applyFont="1" applyFill="1" applyBorder="1"/>
    <xf numFmtId="43" fontId="7" fillId="10" borderId="1" xfId="2" applyFont="1" applyFill="1" applyBorder="1"/>
    <xf numFmtId="187" fontId="7" fillId="10" borderId="1" xfId="2" applyNumberFormat="1" applyFont="1" applyFill="1" applyBorder="1"/>
    <xf numFmtId="187" fontId="7" fillId="10" borderId="8" xfId="2" applyNumberFormat="1" applyFont="1" applyFill="1" applyBorder="1"/>
    <xf numFmtId="4" fontId="7" fillId="10" borderId="1" xfId="2" applyNumberFormat="1" applyFont="1" applyFill="1" applyBorder="1"/>
    <xf numFmtId="189" fontId="7" fillId="8" borderId="7" xfId="2" applyNumberFormat="1" applyFont="1" applyFill="1" applyBorder="1" applyAlignment="1">
      <alignment horizontal="center"/>
    </xf>
    <xf numFmtId="0" fontId="7" fillId="8" borderId="1" xfId="0" applyFont="1" applyFill="1" applyBorder="1" applyAlignment="1">
      <alignment horizontal="center"/>
    </xf>
    <xf numFmtId="189" fontId="7" fillId="8" borderId="1" xfId="2" applyNumberFormat="1" applyFont="1" applyFill="1" applyBorder="1" applyAlignment="1">
      <alignment horizontal="center"/>
    </xf>
    <xf numFmtId="0" fontId="5" fillId="9" borderId="1" xfId="0" applyFont="1" applyFill="1" applyBorder="1" applyAlignment="1">
      <alignment horizontal="center"/>
    </xf>
    <xf numFmtId="190" fontId="5" fillId="9" borderId="1" xfId="2" applyNumberFormat="1" applyFont="1" applyFill="1" applyBorder="1" applyAlignment="1">
      <alignment horizontal="center"/>
    </xf>
    <xf numFmtId="189" fontId="7" fillId="10" borderId="1" xfId="2" applyNumberFormat="1" applyFont="1" applyFill="1" applyBorder="1" applyAlignment="1">
      <alignment horizontal="center"/>
    </xf>
    <xf numFmtId="0" fontId="13" fillId="0" borderId="10" xfId="0" applyFont="1" applyBorder="1" applyAlignment="1">
      <alignment vertical="top" wrapText="1"/>
    </xf>
    <xf numFmtId="0" fontId="14" fillId="0" borderId="11" xfId="0" applyFont="1" applyBorder="1" applyAlignment="1">
      <alignment horizontal="center" vertical="top" wrapText="1"/>
    </xf>
    <xf numFmtId="0" fontId="14" fillId="0" borderId="10" xfId="0" applyFont="1" applyBorder="1" applyAlignment="1">
      <alignment vertical="top" wrapText="1"/>
    </xf>
    <xf numFmtId="187" fontId="14" fillId="0" borderId="11" xfId="0" applyNumberFormat="1" applyFont="1" applyBorder="1" applyAlignment="1">
      <alignment vertical="top" wrapText="1"/>
    </xf>
    <xf numFmtId="4" fontId="14" fillId="0" borderId="11" xfId="0" applyNumberFormat="1" applyFont="1" applyBorder="1" applyAlignment="1">
      <alignment horizontal="right" vertical="top" wrapText="1"/>
    </xf>
    <xf numFmtId="187" fontId="13" fillId="0" borderId="11" xfId="0" applyNumberFormat="1" applyFont="1" applyBorder="1" applyAlignment="1">
      <alignment vertical="top" wrapText="1"/>
    </xf>
    <xf numFmtId="4" fontId="13" fillId="0" borderId="11" xfId="0" applyNumberFormat="1" applyFont="1" applyBorder="1" applyAlignment="1">
      <alignment horizontal="right" vertical="top" wrapText="1"/>
    </xf>
    <xf numFmtId="0" fontId="13" fillId="0" borderId="11" xfId="0" applyFont="1" applyBorder="1" applyAlignment="1">
      <alignment vertical="top" wrapText="1"/>
    </xf>
    <xf numFmtId="187" fontId="14" fillId="0" borderId="11" xfId="0" applyNumberFormat="1" applyFont="1" applyBorder="1" applyAlignment="1">
      <alignment horizontal="right" vertical="top" wrapText="1"/>
    </xf>
    <xf numFmtId="187" fontId="7" fillId="0" borderId="0" xfId="2" applyNumberFormat="1" applyFont="1"/>
    <xf numFmtId="1" fontId="7" fillId="0" borderId="9" xfId="2" applyNumberFormat="1" applyFont="1" applyBorder="1" applyAlignment="1">
      <alignment horizontal="center"/>
    </xf>
    <xf numFmtId="43" fontId="7" fillId="0" borderId="9" xfId="2" applyFont="1" applyBorder="1" applyAlignment="1">
      <alignment horizontal="center"/>
    </xf>
    <xf numFmtId="4" fontId="5" fillId="0" borderId="7" xfId="0" applyNumberFormat="1" applyFont="1" applyBorder="1"/>
    <xf numFmtId="0" fontId="16" fillId="0" borderId="0" xfId="0" applyFont="1"/>
    <xf numFmtId="15" fontId="7" fillId="0" borderId="9" xfId="2" applyNumberFormat="1" applyFont="1" applyBorder="1" applyAlignment="1">
      <alignment horizontal="center"/>
    </xf>
    <xf numFmtId="0" fontId="17" fillId="0" borderId="0" xfId="0" applyFont="1"/>
    <xf numFmtId="0" fontId="18" fillId="0" borderId="0" xfId="0" applyFont="1"/>
    <xf numFmtId="4" fontId="18" fillId="0" borderId="0" xfId="0" applyNumberFormat="1" applyFont="1"/>
    <xf numFmtId="0" fontId="19" fillId="7" borderId="0" xfId="0" applyFont="1" applyFill="1" applyAlignment="1">
      <alignment wrapText="1"/>
    </xf>
    <xf numFmtId="0" fontId="19" fillId="7" borderId="0" xfId="0" applyFont="1" applyFill="1" applyAlignment="1">
      <alignment horizontal="center" wrapText="1"/>
    </xf>
    <xf numFmtId="15" fontId="19" fillId="7" borderId="0" xfId="0" applyNumberFormat="1" applyFont="1" applyFill="1" applyAlignment="1">
      <alignment horizontal="center" wrapText="1"/>
    </xf>
    <xf numFmtId="0" fontId="19" fillId="3" borderId="0" xfId="0" applyFont="1" applyFill="1" applyAlignment="1">
      <alignment wrapText="1"/>
    </xf>
    <xf numFmtId="4" fontId="20" fillId="3" borderId="0" xfId="0" applyNumberFormat="1" applyFont="1" applyFill="1" applyAlignment="1">
      <alignment wrapText="1"/>
    </xf>
    <xf numFmtId="4" fontId="19" fillId="3" borderId="0" xfId="0" applyNumberFormat="1" applyFont="1" applyFill="1" applyAlignment="1">
      <alignment wrapText="1"/>
    </xf>
    <xf numFmtId="4" fontId="19" fillId="3" borderId="0" xfId="0" applyNumberFormat="1" applyFont="1" applyFill="1" applyAlignment="1">
      <alignment horizontal="right" wrapText="1"/>
    </xf>
    <xf numFmtId="0" fontId="21" fillId="2" borderId="0" xfId="0" applyFont="1" applyFill="1" applyAlignment="1">
      <alignment wrapText="1"/>
    </xf>
    <xf numFmtId="4" fontId="21" fillId="2" borderId="0" xfId="0" applyNumberFormat="1" applyFont="1" applyFill="1" applyAlignment="1">
      <alignment horizontal="center" wrapText="1"/>
    </xf>
    <xf numFmtId="4" fontId="21" fillId="2" borderId="0" xfId="0" applyNumberFormat="1" applyFont="1" applyFill="1" applyAlignment="1">
      <alignment horizontal="right" wrapText="1"/>
    </xf>
    <xf numFmtId="4" fontId="19" fillId="12" borderId="0" xfId="0" applyNumberFormat="1" applyFont="1" applyFill="1" applyAlignment="1">
      <alignment horizontal="right" wrapText="1"/>
    </xf>
    <xf numFmtId="0" fontId="21" fillId="5" borderId="0" xfId="0" applyFont="1" applyFill="1" applyAlignment="1">
      <alignment wrapText="1"/>
    </xf>
    <xf numFmtId="0" fontId="19" fillId="5" borderId="0" xfId="0" applyFont="1" applyFill="1" applyAlignment="1">
      <alignment horizontal="center" wrapText="1"/>
    </xf>
    <xf numFmtId="4" fontId="19" fillId="5" borderId="0" xfId="0" applyNumberFormat="1" applyFont="1" applyFill="1" applyAlignment="1">
      <alignment horizontal="center" wrapText="1"/>
    </xf>
    <xf numFmtId="4" fontId="19" fillId="5" borderId="0" xfId="0" applyNumberFormat="1" applyFont="1" applyFill="1" applyAlignment="1">
      <alignment horizontal="right" wrapText="1"/>
    </xf>
    <xf numFmtId="4" fontId="19" fillId="13" borderId="0" xfId="0" applyNumberFormat="1" applyFont="1" applyFill="1" applyAlignment="1">
      <alignment horizontal="right" wrapText="1"/>
    </xf>
    <xf numFmtId="0" fontId="19" fillId="4" borderId="0" xfId="0" applyFont="1" applyFill="1" applyAlignment="1">
      <alignment wrapText="1"/>
    </xf>
    <xf numFmtId="4" fontId="19" fillId="4" borderId="0" xfId="0" applyNumberFormat="1" applyFont="1" applyFill="1" applyAlignment="1">
      <alignment horizontal="center" wrapText="1"/>
    </xf>
    <xf numFmtId="4" fontId="19" fillId="4" borderId="0" xfId="0" applyNumberFormat="1" applyFont="1" applyFill="1" applyAlignment="1">
      <alignment horizontal="right" wrapText="1"/>
    </xf>
    <xf numFmtId="0" fontId="19" fillId="2" borderId="0" xfId="0" applyFont="1" applyFill="1" applyAlignment="1">
      <alignment horizontal="left" wrapText="1"/>
    </xf>
    <xf numFmtId="0" fontId="21" fillId="2" borderId="0" xfId="0" applyFont="1" applyFill="1" applyAlignment="1">
      <alignment horizontal="left" wrapText="1"/>
    </xf>
    <xf numFmtId="0" fontId="19" fillId="6" borderId="0" xfId="0" applyFont="1" applyFill="1" applyAlignment="1">
      <alignment wrapText="1"/>
    </xf>
    <xf numFmtId="4" fontId="19" fillId="6" borderId="0" xfId="0" applyNumberFormat="1" applyFont="1" applyFill="1" applyAlignment="1">
      <alignment horizontal="center" wrapText="1"/>
    </xf>
    <xf numFmtId="4" fontId="19" fillId="6" borderId="0" xfId="0" applyNumberFormat="1" applyFont="1" applyFill="1" applyAlignment="1">
      <alignment horizontal="right" wrapText="1"/>
    </xf>
    <xf numFmtId="4" fontId="19" fillId="14" borderId="0" xfId="0" applyNumberFormat="1" applyFont="1" applyFill="1" applyAlignment="1">
      <alignment horizontal="right" wrapText="1"/>
    </xf>
    <xf numFmtId="0" fontId="18" fillId="4" borderId="0" xfId="0" applyFont="1" applyFill="1"/>
    <xf numFmtId="4" fontId="19" fillId="4" borderId="0" xfId="0" applyNumberFormat="1" applyFont="1" applyFill="1" applyAlignment="1">
      <alignment wrapText="1"/>
    </xf>
    <xf numFmtId="0" fontId="19" fillId="11" borderId="0" xfId="0" applyFont="1" applyFill="1" applyAlignment="1">
      <alignment wrapText="1"/>
    </xf>
    <xf numFmtId="4" fontId="21" fillId="11" borderId="0" xfId="0" applyNumberFormat="1" applyFont="1" applyFill="1" applyAlignment="1">
      <alignment horizontal="center" wrapText="1"/>
    </xf>
    <xf numFmtId="4" fontId="21" fillId="11" borderId="0" xfId="0" applyNumberFormat="1" applyFont="1" applyFill="1" applyAlignment="1">
      <alignment horizontal="right" wrapText="1"/>
    </xf>
    <xf numFmtId="0" fontId="21" fillId="7" borderId="0" xfId="0" applyFont="1" applyFill="1" applyAlignment="1">
      <alignment wrapText="1"/>
    </xf>
    <xf numFmtId="0" fontId="21" fillId="7" borderId="0" xfId="0" applyFont="1" applyFill="1" applyAlignment="1">
      <alignment horizontal="center" wrapText="1"/>
    </xf>
    <xf numFmtId="2" fontId="21" fillId="7" borderId="0" xfId="3" applyNumberFormat="1" applyFont="1" applyFill="1" applyAlignment="1">
      <alignment horizontal="center" wrapText="1"/>
    </xf>
    <xf numFmtId="2" fontId="21" fillId="7" borderId="0" xfId="3" applyNumberFormat="1" applyFont="1" applyFill="1" applyAlignment="1">
      <alignment horizontal="right" wrapText="1"/>
    </xf>
    <xf numFmtId="0" fontId="21" fillId="3" borderId="0" xfId="0" applyFont="1" applyFill="1" applyAlignment="1">
      <alignment wrapText="1"/>
    </xf>
    <xf numFmtId="0" fontId="24" fillId="3" borderId="0" xfId="0" applyFont="1" applyFill="1" applyAlignment="1">
      <alignment horizontal="center" wrapText="1"/>
    </xf>
    <xf numFmtId="188" fontId="24" fillId="3" borderId="0" xfId="0" applyNumberFormat="1" applyFont="1" applyFill="1" applyAlignment="1">
      <alignment horizontal="center" wrapText="1"/>
    </xf>
    <xf numFmtId="4" fontId="18" fillId="3" borderId="0" xfId="0" applyNumberFormat="1" applyFont="1" applyFill="1"/>
    <xf numFmtId="191" fontId="18" fillId="0" borderId="0" xfId="0" applyNumberFormat="1" applyFont="1"/>
    <xf numFmtId="192" fontId="18" fillId="0" borderId="0" xfId="0" applyNumberFormat="1" applyFont="1"/>
    <xf numFmtId="0" fontId="21" fillId="2" borderId="0" xfId="0" applyFont="1" applyFill="1" applyAlignment="1">
      <alignment horizontal="left" vertical="top" wrapText="1"/>
    </xf>
    <xf numFmtId="0" fontId="19" fillId="2" borderId="0" xfId="0" applyFont="1" applyFill="1" applyAlignment="1">
      <alignment horizontal="left" vertical="top" wrapText="1"/>
    </xf>
    <xf numFmtId="4" fontId="25" fillId="12" borderId="0" xfId="0" applyNumberFormat="1" applyFont="1" applyFill="1" applyAlignment="1">
      <alignment horizontal="right" wrapText="1"/>
    </xf>
    <xf numFmtId="4" fontId="7" fillId="0" borderId="1" xfId="0" applyNumberFormat="1" applyFont="1" applyBorder="1" applyAlignment="1">
      <alignment horizontal="right"/>
    </xf>
    <xf numFmtId="194" fontId="21" fillId="2" borderId="0" xfId="0" applyNumberFormat="1" applyFont="1" applyFill="1" applyAlignment="1">
      <alignment horizontal="right" wrapText="1"/>
    </xf>
    <xf numFmtId="3" fontId="21" fillId="11" borderId="0" xfId="0" applyNumberFormat="1" applyFont="1" applyFill="1" applyAlignment="1">
      <alignment horizontal="right" wrapText="1"/>
    </xf>
    <xf numFmtId="4" fontId="19" fillId="4" borderId="0" xfId="0" applyNumberFormat="1" applyFont="1" applyFill="1" applyAlignment="1">
      <alignment horizontal="right" wrapText="1"/>
    </xf>
    <xf numFmtId="4" fontId="19" fillId="4" borderId="0" xfId="0" applyNumberFormat="1" applyFont="1" applyFill="1" applyAlignment="1">
      <alignment horizontal="right" wrapText="1"/>
    </xf>
    <xf numFmtId="4" fontId="19" fillId="4" borderId="0" xfId="0" applyNumberFormat="1" applyFont="1" applyFill="1" applyAlignment="1">
      <alignment horizontal="right" wrapText="1"/>
    </xf>
    <xf numFmtId="4" fontId="19" fillId="4" borderId="0" xfId="0" applyNumberFormat="1" applyFont="1" applyFill="1" applyAlignment="1">
      <alignment horizontal="right" wrapText="1"/>
    </xf>
    <xf numFmtId="4" fontId="19" fillId="4" borderId="0" xfId="0" applyNumberFormat="1" applyFont="1" applyFill="1" applyAlignment="1">
      <alignment horizontal="right" wrapText="1"/>
    </xf>
    <xf numFmtId="4" fontId="19" fillId="4" borderId="0" xfId="0" applyNumberFormat="1" applyFont="1" applyFill="1" applyAlignment="1">
      <alignment horizontal="right" wrapText="1"/>
    </xf>
    <xf numFmtId="194" fontId="7" fillId="8" borderId="1" xfId="0" applyNumberFormat="1" applyFont="1" applyFill="1" applyBorder="1"/>
    <xf numFmtId="194" fontId="5" fillId="0" borderId="1" xfId="0" applyNumberFormat="1" applyFont="1" applyBorder="1"/>
    <xf numFmtId="3" fontId="7" fillId="8" borderId="1" xfId="0" applyNumberFormat="1" applyFont="1" applyFill="1" applyBorder="1"/>
    <xf numFmtId="3" fontId="5" fillId="0" borderId="1" xfId="0" applyNumberFormat="1" applyFont="1" applyBorder="1"/>
    <xf numFmtId="3" fontId="5" fillId="0" borderId="7" xfId="0" applyNumberFormat="1" applyFont="1" applyBorder="1"/>
    <xf numFmtId="3" fontId="5" fillId="9" borderId="1" xfId="0" applyNumberFormat="1" applyFont="1" applyFill="1" applyBorder="1"/>
    <xf numFmtId="3" fontId="7" fillId="10" borderId="1" xfId="2" applyNumberFormat="1" applyFont="1" applyFill="1" applyBorder="1"/>
    <xf numFmtId="4" fontId="19" fillId="4" borderId="0" xfId="0" applyNumberFormat="1" applyFont="1" applyFill="1" applyAlignment="1">
      <alignment horizontal="right" wrapText="1"/>
    </xf>
    <xf numFmtId="4" fontId="19" fillId="4" borderId="0" xfId="0" applyNumberFormat="1" applyFont="1" applyFill="1" applyAlignment="1">
      <alignment horizontal="right" wrapText="1"/>
    </xf>
    <xf numFmtId="4" fontId="19" fillId="4" borderId="0" xfId="0" applyNumberFormat="1" applyFont="1" applyFill="1" applyAlignment="1">
      <alignment horizontal="right" wrapText="1"/>
    </xf>
    <xf numFmtId="4" fontId="19" fillId="4" borderId="0" xfId="0" applyNumberFormat="1" applyFont="1" applyFill="1" applyAlignment="1">
      <alignment horizontal="right" wrapText="1"/>
    </xf>
    <xf numFmtId="3" fontId="7" fillId="0" borderId="1" xfId="0" applyNumberFormat="1" applyFont="1" applyBorder="1" applyAlignment="1">
      <alignment horizontal="right"/>
    </xf>
    <xf numFmtId="4" fontId="19" fillId="4" borderId="0" xfId="0" applyNumberFormat="1" applyFont="1" applyFill="1" applyAlignment="1">
      <alignment horizontal="center" wrapText="1"/>
    </xf>
    <xf numFmtId="0" fontId="19" fillId="2" borderId="0" xfId="0" applyFont="1" applyFill="1" applyAlignment="1">
      <alignment horizontal="left" vertical="top" wrapText="1"/>
    </xf>
    <xf numFmtId="0" fontId="18" fillId="2" borderId="0" xfId="0" applyFont="1" applyFill="1" applyAlignment="1">
      <alignment vertical="top" wrapText="1"/>
    </xf>
    <xf numFmtId="4" fontId="19" fillId="4" borderId="0" xfId="0" applyNumberFormat="1" applyFont="1" applyFill="1" applyAlignment="1">
      <alignment horizontal="right" wrapText="1"/>
    </xf>
    <xf numFmtId="43" fontId="4" fillId="0" borderId="0" xfId="2" applyFont="1" applyAlignment="1">
      <alignment horizontal="center"/>
    </xf>
    <xf numFmtId="43" fontId="6" fillId="0" borderId="12" xfId="2" applyFont="1" applyBorder="1" applyAlignment="1">
      <alignment horizontal="right"/>
    </xf>
    <xf numFmtId="0" fontId="11" fillId="0" borderId="0" xfId="0" applyFont="1" applyAlignment="1">
      <alignment horizontal="center" vertical="top" wrapText="1"/>
    </xf>
    <xf numFmtId="0" fontId="12" fillId="0" borderId="13" xfId="0" applyFont="1" applyBorder="1" applyAlignment="1">
      <alignment horizontal="right" vertical="top" wrapText="1"/>
    </xf>
  </cellXfs>
  <cellStyles count="49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10" builtinId="27" customBuiltin="1"/>
    <cellStyle name="Calculation" xfId="14" builtinId="22" customBuiltin="1"/>
    <cellStyle name="Check Cell" xfId="16" builtinId="23" customBuiltin="1"/>
    <cellStyle name="Comma" xfId="2" builtinId="3"/>
    <cellStyle name="Comma 2" xfId="48" xr:uid="{00000000-0005-0000-0000-00001C000000}"/>
    <cellStyle name="Comma 3" xfId="45" xr:uid="{00000000-0005-0000-0000-00001D000000}"/>
    <cellStyle name="Explanatory Text" xfId="18" builtinId="53" customBuiltin="1"/>
    <cellStyle name="Good" xfId="9" builtinId="26" customBuiltin="1"/>
    <cellStyle name="Heading 1" xfId="5" builtinId="16" customBuiltin="1"/>
    <cellStyle name="Heading 2" xfId="6" builtinId="17" customBuiltin="1"/>
    <cellStyle name="Heading 3" xfId="7" builtinId="18" customBuiltin="1"/>
    <cellStyle name="Heading 4" xfId="8" builtinId="19" customBuiltin="1"/>
    <cellStyle name="Input" xfId="12" builtinId="20" customBuiltin="1"/>
    <cellStyle name="Linked Cell" xfId="15" builtinId="24" customBuiltin="1"/>
    <cellStyle name="Neutral" xfId="11" builtinId="28" customBuiltin="1"/>
    <cellStyle name="Normal" xfId="0" builtinId="0"/>
    <cellStyle name="Normal 2" xfId="1" xr:uid="{00000000-0005-0000-0000-000028000000}"/>
    <cellStyle name="Normal 2 2" xfId="47" xr:uid="{00000000-0005-0000-0000-000029000000}"/>
    <cellStyle name="Normal 3" xfId="44" xr:uid="{00000000-0005-0000-0000-00002A000000}"/>
    <cellStyle name="Note 2" xfId="46" xr:uid="{00000000-0005-0000-0000-00002B000000}"/>
    <cellStyle name="Output" xfId="13" builtinId="21" customBuiltin="1"/>
    <cellStyle name="Percent" xfId="3" builtinId="5"/>
    <cellStyle name="Title" xfId="4" builtinId="15" customBuiltin="1"/>
    <cellStyle name="Total" xfId="19" builtinId="25" customBuiltin="1"/>
    <cellStyle name="Warning Text" xfId="17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ebmail.mof.go.th/Session/4101-Cd6sV0WCVF4DbNxDETJW/MessagePart/INBOX/217-03-B/Thai_Nov09/Tdebt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619;&#3634;&#3618;&#3592;&#3656;&#3634;&#3618;\&#3619;&#3634;&#3618;&#3592;&#3656;&#3634;&#3618;\&#3648;&#3621;&#3656;&#3617;&#3619;&#3640;&#3657;&#3591;\&#3591;&#3634;&#3609;&#3629;&#3633;&#3614;&#3621;&#3591;&#3648;&#3623;&#3655;&#3610;%20fpo.go.th\2559\&#3648;&#3604;&#3639;&#3629;&#3609;%20&#3605;.&#3588;.-&#3614;.&#3618;.58\Fit%20_107%20&#3627;&#3609;&#3637;&#3657;&#3626;&#3634;&#3608;&#3634;&#3619;&#3603;&#3632;%20&#3648;&#3604;&#3639;&#3629;&#3609;%20&#3605;&#3640;&#3621;&#3634;&#3588;&#3617;%20255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548-2550"/>
      <sheetName val="2551-2552"/>
    </sheetNames>
    <sheetDataSet>
      <sheetData sheetId="0"/>
      <sheetData sheetId="1">
        <row r="10">
          <cell r="O10">
            <v>65114.239999999998</v>
          </cell>
        </row>
        <row r="12">
          <cell r="O12">
            <v>2221827.73</v>
          </cell>
        </row>
        <row r="25">
          <cell r="O25">
            <v>181782.06</v>
          </cell>
        </row>
        <row r="27">
          <cell r="O27">
            <v>392115.61</v>
          </cell>
        </row>
        <row r="29">
          <cell r="O29">
            <v>136505.46</v>
          </cell>
        </row>
        <row r="31">
          <cell r="O31">
            <v>314847.18</v>
          </cell>
        </row>
        <row r="33">
          <cell r="O33">
            <v>9297.4500000000007</v>
          </cell>
        </row>
        <row r="35">
          <cell r="O35">
            <v>173132.27</v>
          </cell>
        </row>
        <row r="40">
          <cell r="O40">
            <v>3682.73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เดือน"/>
      <sheetName val="รายปี"/>
      <sheetName val="Sheet4"/>
    </sheetNames>
    <sheetDataSet>
      <sheetData sheetId="0">
        <row r="3">
          <cell r="BZ3">
            <v>3515010.95</v>
          </cell>
          <cell r="CL3">
            <v>3774819.49</v>
          </cell>
        </row>
        <row r="4">
          <cell r="R4">
            <v>107901.7</v>
          </cell>
          <cell r="BN4">
            <v>46157.8</v>
          </cell>
          <cell r="BZ4">
            <v>52647.68</v>
          </cell>
          <cell r="CL4">
            <v>69836.14</v>
          </cell>
          <cell r="CX4">
            <v>75184.649999999994</v>
          </cell>
          <cell r="DJ4">
            <v>84676.7</v>
          </cell>
        </row>
        <row r="5">
          <cell r="R5">
            <v>1943461.56</v>
          </cell>
          <cell r="BN5">
            <v>3135001.09</v>
          </cell>
          <cell r="BZ5">
            <v>3462363.27</v>
          </cell>
          <cell r="CL5">
            <v>3704983.35</v>
          </cell>
          <cell r="CX5">
            <v>3890270.37</v>
          </cell>
          <cell r="DJ5">
            <v>4072718.08</v>
          </cell>
        </row>
        <row r="7">
          <cell r="BN7">
            <v>177430.28999999998</v>
          </cell>
          <cell r="BZ7">
            <v>165321.19</v>
          </cell>
          <cell r="CL7">
            <v>116942.72</v>
          </cell>
          <cell r="CX7">
            <v>110406.56999999999</v>
          </cell>
          <cell r="DJ7">
            <v>102905.98</v>
          </cell>
        </row>
        <row r="8">
          <cell r="BN8">
            <v>506942.28</v>
          </cell>
          <cell r="BZ8">
            <v>682363.66999999993</v>
          </cell>
          <cell r="CL8">
            <v>874105.3</v>
          </cell>
          <cell r="CX8">
            <v>941998.45</v>
          </cell>
          <cell r="DJ8">
            <v>864510.09</v>
          </cell>
        </row>
        <row r="9">
          <cell r="BN9">
            <v>127547.11</v>
          </cell>
          <cell r="BZ9">
            <v>122702.89</v>
          </cell>
          <cell r="CL9">
            <v>191292.31</v>
          </cell>
          <cell r="CX9">
            <v>172586.48</v>
          </cell>
          <cell r="DJ9">
            <v>172700.39</v>
          </cell>
        </row>
        <row r="10">
          <cell r="BN10">
            <v>424770.85</v>
          </cell>
          <cell r="BZ10">
            <v>446107.42</v>
          </cell>
          <cell r="CL10">
            <v>472565.53</v>
          </cell>
          <cell r="CX10">
            <v>488910.57</v>
          </cell>
          <cell r="DJ10">
            <v>467379.07</v>
          </cell>
        </row>
        <row r="12">
          <cell r="BX12">
            <v>0</v>
          </cell>
          <cell r="CL12">
            <v>0</v>
          </cell>
          <cell r="CX12">
            <v>0</v>
          </cell>
          <cell r="DJ12">
            <v>0</v>
          </cell>
        </row>
        <row r="13">
          <cell r="BZ13">
            <v>5732.21</v>
          </cell>
          <cell r="CL13">
            <v>834.69</v>
          </cell>
          <cell r="CX13">
            <v>11457.02</v>
          </cell>
          <cell r="DJ13">
            <v>18432.88</v>
          </cell>
        </row>
        <row r="14">
          <cell r="BN14">
            <v>30445.18</v>
          </cell>
          <cell r="BX14">
            <v>0</v>
          </cell>
          <cell r="CL14">
            <v>0</v>
          </cell>
          <cell r="CW14">
            <v>0</v>
          </cell>
          <cell r="CX14">
            <v>0</v>
          </cell>
        </row>
        <row r="17">
          <cell r="R17">
            <v>8469060</v>
          </cell>
          <cell r="BN17">
            <v>10523080</v>
          </cell>
          <cell r="BZ17">
            <v>11243980</v>
          </cell>
          <cell r="CL17">
            <v>11938250</v>
          </cell>
          <cell r="CX17">
            <v>12061090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I31"/>
  <sheetViews>
    <sheetView tabSelected="1" topLeftCell="B1" zoomScale="80" zoomScaleNormal="80" workbookViewId="0">
      <pane xSplit="1" ySplit="2" topLeftCell="FF3" activePane="bottomRight" state="frozen"/>
      <selection activeCell="B1" sqref="B1"/>
      <selection pane="topRight" activeCell="C1" sqref="C1"/>
      <selection pane="bottomLeft" activeCell="B3" sqref="B3"/>
      <selection pane="bottomRight" activeCell="FV15" sqref="FV15"/>
    </sheetView>
  </sheetViews>
  <sheetFormatPr defaultRowHeight="12.75" x14ac:dyDescent="0.2"/>
  <cols>
    <col min="1" max="1" width="0" style="87" hidden="1" customWidth="1"/>
    <col min="2" max="2" width="52.5703125" style="87" customWidth="1"/>
    <col min="3" max="88" width="17.140625" style="87" customWidth="1"/>
    <col min="89" max="96" width="16.85546875" style="87" customWidth="1"/>
    <col min="97" max="108" width="18.5703125" style="87" customWidth="1"/>
    <col min="109" max="164" width="17.5703125" style="87" customWidth="1"/>
    <col min="165" max="165" width="20.7109375" style="87" customWidth="1"/>
    <col min="166" max="16384" width="9.140625" style="87"/>
  </cols>
  <sheetData>
    <row r="1" spans="1:165" ht="24.95" customHeight="1" x14ac:dyDescent="0.25">
      <c r="A1" s="86" t="s">
        <v>16</v>
      </c>
      <c r="AO1" s="88"/>
    </row>
    <row r="2" spans="1:165" ht="41.25" customHeight="1" x14ac:dyDescent="0.2">
      <c r="B2" s="89"/>
      <c r="C2" s="90" t="s">
        <v>0</v>
      </c>
      <c r="D2" s="90" t="s">
        <v>1</v>
      </c>
      <c r="E2" s="90" t="s">
        <v>15</v>
      </c>
      <c r="F2" s="90" t="s">
        <v>17</v>
      </c>
      <c r="G2" s="90" t="s">
        <v>18</v>
      </c>
      <c r="H2" s="90" t="s">
        <v>19</v>
      </c>
      <c r="I2" s="90" t="s">
        <v>20</v>
      </c>
      <c r="J2" s="90" t="s">
        <v>21</v>
      </c>
      <c r="K2" s="90" t="s">
        <v>22</v>
      </c>
      <c r="L2" s="90" t="s">
        <v>23</v>
      </c>
      <c r="M2" s="90" t="s">
        <v>24</v>
      </c>
      <c r="N2" s="90" t="s">
        <v>53</v>
      </c>
      <c r="O2" s="90" t="s">
        <v>54</v>
      </c>
      <c r="P2" s="90" t="s">
        <v>55</v>
      </c>
      <c r="Q2" s="90" t="s">
        <v>57</v>
      </c>
      <c r="R2" s="90" t="s">
        <v>58</v>
      </c>
      <c r="S2" s="90" t="s">
        <v>59</v>
      </c>
      <c r="T2" s="90" t="s">
        <v>60</v>
      </c>
      <c r="U2" s="90" t="s">
        <v>61</v>
      </c>
      <c r="V2" s="90" t="s">
        <v>62</v>
      </c>
      <c r="W2" s="90" t="s">
        <v>64</v>
      </c>
      <c r="X2" s="90" t="s">
        <v>65</v>
      </c>
      <c r="Y2" s="90" t="s">
        <v>83</v>
      </c>
      <c r="Z2" s="90" t="s">
        <v>85</v>
      </c>
      <c r="AA2" s="90" t="s">
        <v>86</v>
      </c>
      <c r="AB2" s="90" t="s">
        <v>87</v>
      </c>
      <c r="AC2" s="90" t="s">
        <v>88</v>
      </c>
      <c r="AD2" s="90" t="s">
        <v>90</v>
      </c>
      <c r="AE2" s="90" t="s">
        <v>95</v>
      </c>
      <c r="AF2" s="90" t="s">
        <v>96</v>
      </c>
      <c r="AG2" s="90" t="s">
        <v>97</v>
      </c>
      <c r="AH2" s="90" t="s">
        <v>98</v>
      </c>
      <c r="AI2" s="90" t="s">
        <v>99</v>
      </c>
      <c r="AJ2" s="90" t="s">
        <v>100</v>
      </c>
      <c r="AK2" s="90" t="s">
        <v>101</v>
      </c>
      <c r="AL2" s="90" t="s">
        <v>102</v>
      </c>
      <c r="AM2" s="90" t="s">
        <v>103</v>
      </c>
      <c r="AN2" s="90" t="s">
        <v>104</v>
      </c>
      <c r="AO2" s="90" t="s">
        <v>105</v>
      </c>
      <c r="AP2" s="90" t="s">
        <v>106</v>
      </c>
      <c r="AQ2" s="90" t="s">
        <v>107</v>
      </c>
      <c r="AR2" s="90" t="s">
        <v>108</v>
      </c>
      <c r="AS2" s="90" t="s">
        <v>109</v>
      </c>
      <c r="AT2" s="90" t="s">
        <v>110</v>
      </c>
      <c r="AU2" s="90" t="s">
        <v>112</v>
      </c>
      <c r="AV2" s="90" t="s">
        <v>111</v>
      </c>
      <c r="AW2" s="90" t="s">
        <v>113</v>
      </c>
      <c r="AX2" s="90" t="s">
        <v>114</v>
      </c>
      <c r="AY2" s="90" t="s">
        <v>115</v>
      </c>
      <c r="AZ2" s="90" t="s">
        <v>116</v>
      </c>
      <c r="BA2" s="90" t="s">
        <v>117</v>
      </c>
      <c r="BB2" s="90" t="s">
        <v>118</v>
      </c>
      <c r="BC2" s="90" t="s">
        <v>140</v>
      </c>
      <c r="BD2" s="90" t="s">
        <v>119</v>
      </c>
      <c r="BE2" s="90" t="s">
        <v>120</v>
      </c>
      <c r="BF2" s="90" t="s">
        <v>121</v>
      </c>
      <c r="BG2" s="90" t="s">
        <v>122</v>
      </c>
      <c r="BH2" s="90" t="s">
        <v>123</v>
      </c>
      <c r="BI2" s="90" t="s">
        <v>124</v>
      </c>
      <c r="BJ2" s="90" t="s">
        <v>134</v>
      </c>
      <c r="BK2" s="90" t="s">
        <v>135</v>
      </c>
      <c r="BL2" s="90" t="s">
        <v>136</v>
      </c>
      <c r="BM2" s="90" t="s">
        <v>137</v>
      </c>
      <c r="BN2" s="90" t="s">
        <v>138</v>
      </c>
      <c r="BO2" s="90" t="s">
        <v>142</v>
      </c>
      <c r="BP2" s="90" t="s">
        <v>143</v>
      </c>
      <c r="BQ2" s="90" t="s">
        <v>144</v>
      </c>
      <c r="BR2" s="90" t="s">
        <v>145</v>
      </c>
      <c r="BS2" s="90" t="s">
        <v>146</v>
      </c>
      <c r="BT2" s="90" t="s">
        <v>147</v>
      </c>
      <c r="BU2" s="90" t="s">
        <v>148</v>
      </c>
      <c r="BV2" s="90" t="s">
        <v>149</v>
      </c>
      <c r="BW2" s="90" t="s">
        <v>150</v>
      </c>
      <c r="BX2" s="90" t="s">
        <v>151</v>
      </c>
      <c r="BY2" s="90" t="s">
        <v>152</v>
      </c>
      <c r="BZ2" s="90" t="s">
        <v>153</v>
      </c>
      <c r="CA2" s="90" t="s">
        <v>155</v>
      </c>
      <c r="CB2" s="90" t="s">
        <v>119</v>
      </c>
      <c r="CC2" s="90" t="s">
        <v>156</v>
      </c>
      <c r="CD2" s="90" t="s">
        <v>157</v>
      </c>
      <c r="CE2" s="90" t="s">
        <v>158</v>
      </c>
      <c r="CF2" s="90" t="s">
        <v>159</v>
      </c>
      <c r="CG2" s="90" t="s">
        <v>160</v>
      </c>
      <c r="CH2" s="90" t="s">
        <v>161</v>
      </c>
      <c r="CI2" s="90" t="s">
        <v>162</v>
      </c>
      <c r="CJ2" s="90" t="s">
        <v>163</v>
      </c>
      <c r="CK2" s="90" t="s">
        <v>164</v>
      </c>
      <c r="CL2" s="90" t="s">
        <v>165</v>
      </c>
      <c r="CM2" s="90" t="s">
        <v>167</v>
      </c>
      <c r="CN2" s="90" t="s">
        <v>169</v>
      </c>
      <c r="CO2" s="90" t="s">
        <v>170</v>
      </c>
      <c r="CP2" s="90" t="s">
        <v>171</v>
      </c>
      <c r="CQ2" s="90" t="s">
        <v>172</v>
      </c>
      <c r="CR2" s="90" t="s">
        <v>173</v>
      </c>
      <c r="CS2" s="90" t="s">
        <v>174</v>
      </c>
      <c r="CT2" s="90" t="s">
        <v>175</v>
      </c>
      <c r="CU2" s="90" t="s">
        <v>176</v>
      </c>
      <c r="CV2" s="90" t="s">
        <v>177</v>
      </c>
      <c r="CW2" s="90" t="s">
        <v>178</v>
      </c>
      <c r="CX2" s="90" t="s">
        <v>179</v>
      </c>
      <c r="CY2" s="90" t="s">
        <v>180</v>
      </c>
      <c r="CZ2" s="90" t="s">
        <v>181</v>
      </c>
      <c r="DA2" s="90" t="s">
        <v>182</v>
      </c>
      <c r="DB2" s="90" t="s">
        <v>183</v>
      </c>
      <c r="DC2" s="90" t="s">
        <v>185</v>
      </c>
      <c r="DD2" s="91">
        <v>21275</v>
      </c>
      <c r="DE2" s="91">
        <v>21305</v>
      </c>
      <c r="DF2" s="91">
        <v>21336</v>
      </c>
      <c r="DG2" s="91">
        <v>21366</v>
      </c>
      <c r="DH2" s="91">
        <v>21397</v>
      </c>
      <c r="DI2" s="91">
        <v>21428</v>
      </c>
      <c r="DJ2" s="91">
        <v>21458</v>
      </c>
      <c r="DK2" s="91">
        <v>21489</v>
      </c>
      <c r="DL2" s="91">
        <v>21519</v>
      </c>
      <c r="DM2" s="91">
        <v>21550</v>
      </c>
      <c r="DN2" s="91">
        <v>21581</v>
      </c>
      <c r="DO2" s="91" t="s">
        <v>194</v>
      </c>
      <c r="DP2" s="91">
        <v>21640</v>
      </c>
      <c r="DQ2" s="91">
        <v>21670</v>
      </c>
      <c r="DR2" s="91">
        <v>21701</v>
      </c>
      <c r="DS2" s="91">
        <v>21731</v>
      </c>
      <c r="DT2" s="91">
        <v>21762</v>
      </c>
      <c r="DU2" s="91">
        <v>21793</v>
      </c>
      <c r="DV2" s="91">
        <v>21823</v>
      </c>
      <c r="DW2" s="91">
        <v>21854</v>
      </c>
      <c r="DX2" s="91">
        <v>21884</v>
      </c>
      <c r="DY2" s="91">
        <v>21915</v>
      </c>
      <c r="DZ2" s="91">
        <v>21946</v>
      </c>
      <c r="EA2" s="91">
        <v>21974</v>
      </c>
      <c r="EB2" s="91">
        <v>22006</v>
      </c>
      <c r="EC2" s="91">
        <v>22036</v>
      </c>
      <c r="ED2" s="91">
        <v>22067</v>
      </c>
      <c r="EE2" s="91">
        <v>22097</v>
      </c>
      <c r="EF2" s="91">
        <v>22128</v>
      </c>
      <c r="EG2" s="91">
        <v>22159</v>
      </c>
      <c r="EH2" s="91">
        <v>22189</v>
      </c>
      <c r="EI2" s="91">
        <v>22220</v>
      </c>
      <c r="EJ2" s="91">
        <v>22250</v>
      </c>
      <c r="EK2" s="91">
        <v>22281</v>
      </c>
      <c r="EL2" s="91">
        <v>22312</v>
      </c>
      <c r="EM2" s="91">
        <v>22340</v>
      </c>
      <c r="EN2" s="91">
        <v>22371</v>
      </c>
      <c r="EO2" s="91">
        <v>22401</v>
      </c>
      <c r="EP2" s="91">
        <v>22432</v>
      </c>
      <c r="EQ2" s="91">
        <v>22462</v>
      </c>
      <c r="ER2" s="91">
        <v>22493</v>
      </c>
      <c r="ES2" s="91">
        <v>22524</v>
      </c>
      <c r="ET2" s="91">
        <v>22554</v>
      </c>
      <c r="EU2" s="91">
        <v>22585</v>
      </c>
      <c r="EV2" s="91">
        <v>22615</v>
      </c>
      <c r="EW2" s="91">
        <v>22646</v>
      </c>
      <c r="EX2" s="91">
        <v>22677</v>
      </c>
      <c r="EY2" s="91">
        <v>22705</v>
      </c>
      <c r="EZ2" s="91">
        <v>22736</v>
      </c>
      <c r="FA2" s="91">
        <v>22766</v>
      </c>
      <c r="FB2" s="91">
        <v>22797</v>
      </c>
      <c r="FC2" s="91">
        <v>22827</v>
      </c>
      <c r="FD2" s="91">
        <v>22858</v>
      </c>
      <c r="FE2" s="91">
        <v>22889</v>
      </c>
      <c r="FF2" s="91">
        <v>22919</v>
      </c>
      <c r="FG2" s="91">
        <v>22950</v>
      </c>
      <c r="FH2" s="91">
        <v>22980</v>
      </c>
      <c r="FI2" s="90" t="s">
        <v>84</v>
      </c>
    </row>
    <row r="3" spans="1:165" ht="24.95" customHeight="1" x14ac:dyDescent="0.2">
      <c r="B3" s="92" t="s">
        <v>2</v>
      </c>
      <c r="C3" s="93">
        <v>1937777.33</v>
      </c>
      <c r="D3" s="94">
        <v>1952938.43</v>
      </c>
      <c r="E3" s="94">
        <f t="shared" ref="E3:T3" si="0">+E5+E4</f>
        <v>1956743.48</v>
      </c>
      <c r="F3" s="94">
        <f t="shared" si="0"/>
        <v>1967703.88</v>
      </c>
      <c r="G3" s="94">
        <f t="shared" si="0"/>
        <v>1970204.3399999999</v>
      </c>
      <c r="H3" s="94">
        <f t="shared" si="0"/>
        <v>1960767.75</v>
      </c>
      <c r="I3" s="94">
        <f t="shared" si="0"/>
        <v>1954083.65</v>
      </c>
      <c r="J3" s="94">
        <f t="shared" si="0"/>
        <v>1968749.5499999998</v>
      </c>
      <c r="K3" s="94">
        <f t="shared" si="0"/>
        <v>1992204.99</v>
      </c>
      <c r="L3" s="94">
        <f t="shared" si="0"/>
        <v>2056327.0999999999</v>
      </c>
      <c r="M3" s="94">
        <f t="shared" si="0"/>
        <v>2046131.5299999998</v>
      </c>
      <c r="N3" s="94">
        <f t="shared" si="0"/>
        <v>2065656.68</v>
      </c>
      <c r="O3" s="94">
        <f t="shared" si="0"/>
        <v>2031575.4</v>
      </c>
      <c r="P3" s="94">
        <f t="shared" si="0"/>
        <v>2035057.24</v>
      </c>
      <c r="Q3" s="94">
        <f t="shared" si="0"/>
        <v>2044675.89</v>
      </c>
      <c r="R3" s="94">
        <f t="shared" si="0"/>
        <v>2051363.26</v>
      </c>
      <c r="S3" s="94">
        <f t="shared" si="0"/>
        <v>2042415.33</v>
      </c>
      <c r="T3" s="94">
        <f t="shared" si="0"/>
        <v>2049743.4200000002</v>
      </c>
      <c r="U3" s="94">
        <v>2051607.21</v>
      </c>
      <c r="V3" s="94">
        <f t="shared" ref="V3:AE3" si="1">+V4+V5</f>
        <v>2095908.8900000001</v>
      </c>
      <c r="W3" s="94">
        <f t="shared" si="1"/>
        <v>2107861.98</v>
      </c>
      <c r="X3" s="94">
        <f t="shared" si="1"/>
        <v>2140502.5299999998</v>
      </c>
      <c r="Y3" s="94">
        <f t="shared" si="1"/>
        <v>2178065.52</v>
      </c>
      <c r="Z3" s="94">
        <f t="shared" si="1"/>
        <v>2180813.4500000002</v>
      </c>
      <c r="AA3" s="94">
        <f t="shared" si="1"/>
        <v>2158779.58</v>
      </c>
      <c r="AB3" s="94">
        <f t="shared" si="1"/>
        <v>2127597.88</v>
      </c>
      <c r="AC3" s="94">
        <f t="shared" si="1"/>
        <v>2133491.64</v>
      </c>
      <c r="AD3" s="94">
        <f t="shared" si="1"/>
        <v>2162110.65</v>
      </c>
      <c r="AE3" s="94">
        <f t="shared" si="1"/>
        <v>2130526.56</v>
      </c>
      <c r="AF3" s="94">
        <f>+AF4+AF5</f>
        <v>2127405.48</v>
      </c>
      <c r="AG3" s="94">
        <f>+AG4+AG5</f>
        <v>2134734.27</v>
      </c>
      <c r="AH3" s="94">
        <f>+AH4+AH5</f>
        <v>2208496.5399999996</v>
      </c>
      <c r="AI3" s="94">
        <f>+AI4+AI5</f>
        <v>2286941.9700000002</v>
      </c>
      <c r="AJ3" s="94">
        <f t="shared" ref="AJ3:AS3" si="2">+AJ4+AJ5</f>
        <v>2364782.9400000004</v>
      </c>
      <c r="AK3" s="94">
        <f t="shared" si="2"/>
        <v>2445784.0500000003</v>
      </c>
      <c r="AL3" s="94">
        <f t="shared" si="2"/>
        <v>2478360.7375599998</v>
      </c>
      <c r="AM3" s="94">
        <f t="shared" si="2"/>
        <v>2466914.7936800001</v>
      </c>
      <c r="AN3" s="94">
        <f t="shared" si="2"/>
        <v>2589541.9916500002</v>
      </c>
      <c r="AO3" s="94">
        <f t="shared" si="2"/>
        <v>2609361.9858199996</v>
      </c>
      <c r="AP3" s="94">
        <f t="shared" si="2"/>
        <v>2586513.18566</v>
      </c>
      <c r="AQ3" s="94">
        <f t="shared" si="2"/>
        <v>2584012.3574999999</v>
      </c>
      <c r="AR3" s="94">
        <f t="shared" si="2"/>
        <v>2579596.0316099999</v>
      </c>
      <c r="AS3" s="94">
        <f t="shared" si="2"/>
        <v>2588126.4500000002</v>
      </c>
      <c r="AT3" s="94">
        <f t="shared" ref="AT3:AY3" si="3">+AT4+AT5</f>
        <v>2645017.65</v>
      </c>
      <c r="AU3" s="94">
        <f t="shared" si="3"/>
        <v>2713303.09</v>
      </c>
      <c r="AV3" s="94">
        <f t="shared" si="3"/>
        <v>2762302.71</v>
      </c>
      <c r="AW3" s="94">
        <f t="shared" si="3"/>
        <v>2773935.86</v>
      </c>
      <c r="AX3" s="94">
        <f t="shared" si="3"/>
        <v>2806656.27</v>
      </c>
      <c r="AY3" s="94">
        <f t="shared" si="3"/>
        <v>2864686.73</v>
      </c>
      <c r="AZ3" s="94">
        <f t="shared" ref="AZ3:BE3" si="4">+AZ4+AZ5</f>
        <v>2909606.65</v>
      </c>
      <c r="BA3" s="94">
        <f t="shared" si="4"/>
        <v>2933501.2600000002</v>
      </c>
      <c r="BB3" s="94">
        <f t="shared" si="4"/>
        <v>2907482.31</v>
      </c>
      <c r="BC3" s="94">
        <f t="shared" si="4"/>
        <v>2891655.4</v>
      </c>
      <c r="BD3" s="94">
        <f t="shared" si="4"/>
        <v>2904505.8099999996</v>
      </c>
      <c r="BE3" s="94">
        <f t="shared" si="4"/>
        <v>3002422.91</v>
      </c>
      <c r="BF3" s="94">
        <f>+BF4+BF5</f>
        <v>2984473.43</v>
      </c>
      <c r="BG3" s="94">
        <v>2988172.17</v>
      </c>
      <c r="BH3" s="94">
        <v>2988845.39</v>
      </c>
      <c r="BI3" s="94">
        <v>2995070.58</v>
      </c>
      <c r="BJ3" s="94">
        <f t="shared" ref="BJ3:BO3" si="5">+BJ4+BJ5</f>
        <v>3016739.14</v>
      </c>
      <c r="BK3" s="94">
        <f t="shared" si="5"/>
        <v>3000473.7800000003</v>
      </c>
      <c r="BL3" s="94">
        <f t="shared" si="5"/>
        <v>3016485.07</v>
      </c>
      <c r="BM3" s="94">
        <f t="shared" si="5"/>
        <v>3013320.16</v>
      </c>
      <c r="BN3" s="94">
        <f t="shared" si="5"/>
        <v>3181158.8899999997</v>
      </c>
      <c r="BO3" s="94">
        <f t="shared" si="5"/>
        <v>3092940.6400000006</v>
      </c>
      <c r="BP3" s="94">
        <f t="shared" ref="BP3:CY3" si="6">+BP4+BP5</f>
        <v>3087237.2800000003</v>
      </c>
      <c r="BQ3" s="94">
        <f t="shared" si="6"/>
        <v>3088521.36</v>
      </c>
      <c r="BR3" s="94">
        <f t="shared" si="6"/>
        <v>3117186.7399999998</v>
      </c>
      <c r="BS3" s="94">
        <f t="shared" si="6"/>
        <v>3143585.63</v>
      </c>
      <c r="BT3" s="94">
        <f t="shared" si="6"/>
        <v>3268399.8099999996</v>
      </c>
      <c r="BU3" s="94">
        <f t="shared" si="6"/>
        <v>3412700.63</v>
      </c>
      <c r="BV3" s="94">
        <f t="shared" si="6"/>
        <v>3430151.44</v>
      </c>
      <c r="BW3" s="94">
        <f t="shared" si="6"/>
        <v>3506349.1899999995</v>
      </c>
      <c r="BX3" s="94">
        <f t="shared" si="6"/>
        <v>3570950.38</v>
      </c>
      <c r="BY3" s="94">
        <f t="shared" si="6"/>
        <v>3629352.22</v>
      </c>
      <c r="BZ3" s="94">
        <f t="shared" si="6"/>
        <v>3515010.95</v>
      </c>
      <c r="CA3" s="94">
        <f t="shared" si="6"/>
        <v>3402463.2300000004</v>
      </c>
      <c r="CB3" s="94">
        <f t="shared" si="6"/>
        <v>3459510.78</v>
      </c>
      <c r="CC3" s="94">
        <f t="shared" si="6"/>
        <v>3516639.8499999996</v>
      </c>
      <c r="CD3" s="94">
        <f t="shared" si="6"/>
        <v>3531418.63</v>
      </c>
      <c r="CE3" s="94">
        <f t="shared" si="6"/>
        <v>3555634.6099999994</v>
      </c>
      <c r="CF3" s="94">
        <f t="shared" si="6"/>
        <v>3563398.53</v>
      </c>
      <c r="CG3" s="94">
        <f t="shared" si="6"/>
        <v>3589728.3800000004</v>
      </c>
      <c r="CH3" s="94">
        <f t="shared" si="6"/>
        <v>3609170.92</v>
      </c>
      <c r="CI3" s="94">
        <f t="shared" si="6"/>
        <v>3657756.16</v>
      </c>
      <c r="CJ3" s="94">
        <f t="shared" si="6"/>
        <v>3640650.1899999995</v>
      </c>
      <c r="CK3" s="94">
        <f t="shared" si="6"/>
        <v>3678124</v>
      </c>
      <c r="CL3" s="94">
        <f t="shared" si="6"/>
        <v>3774819.49</v>
      </c>
      <c r="CM3" s="94">
        <f t="shared" si="6"/>
        <v>3769294.05</v>
      </c>
      <c r="CN3" s="94">
        <f t="shared" si="6"/>
        <v>3797482.42</v>
      </c>
      <c r="CO3" s="94">
        <f t="shared" si="6"/>
        <v>3827070.35</v>
      </c>
      <c r="CP3" s="95">
        <f t="shared" si="6"/>
        <v>3838401.4099999997</v>
      </c>
      <c r="CQ3" s="95">
        <f t="shared" si="6"/>
        <v>3905865.68</v>
      </c>
      <c r="CR3" s="95">
        <f t="shared" si="6"/>
        <v>3919398.28</v>
      </c>
      <c r="CS3" s="95">
        <f t="shared" si="6"/>
        <v>3957385.6100000003</v>
      </c>
      <c r="CT3" s="95">
        <f t="shared" si="6"/>
        <v>3907849.1500000004</v>
      </c>
      <c r="CU3" s="95">
        <f t="shared" si="6"/>
        <v>3933234.3</v>
      </c>
      <c r="CV3" s="95">
        <f t="shared" si="6"/>
        <v>3924656.05</v>
      </c>
      <c r="CW3" s="95">
        <f t="shared" si="6"/>
        <v>3924374.9599999995</v>
      </c>
      <c r="CX3" s="95">
        <f t="shared" si="6"/>
        <v>3965455.02</v>
      </c>
      <c r="CY3" s="95">
        <f t="shared" si="6"/>
        <v>3953843.01</v>
      </c>
      <c r="CZ3" s="95">
        <f t="shared" ref="CZ3" si="7">+CZ4+CZ5</f>
        <v>3949561.12</v>
      </c>
      <c r="DA3" s="95">
        <f t="shared" ref="DA3:DP3" si="8">+DA4+DA5</f>
        <v>3954659.2499999995</v>
      </c>
      <c r="DB3" s="95">
        <f t="shared" si="8"/>
        <v>3996768.9700000007</v>
      </c>
      <c r="DC3" s="95">
        <f t="shared" si="8"/>
        <v>4070162.48</v>
      </c>
      <c r="DD3" s="95">
        <f t="shared" si="8"/>
        <v>4094008.59</v>
      </c>
      <c r="DE3" s="95">
        <f t="shared" si="8"/>
        <v>4137314.87</v>
      </c>
      <c r="DF3" s="95">
        <f t="shared" si="8"/>
        <v>4063421.6</v>
      </c>
      <c r="DG3" s="95">
        <f t="shared" si="8"/>
        <v>4070193.59</v>
      </c>
      <c r="DH3" s="95">
        <f t="shared" si="8"/>
        <v>4091378.66</v>
      </c>
      <c r="DI3" s="95">
        <f t="shared" si="8"/>
        <v>4110887.13</v>
      </c>
      <c r="DJ3" s="95">
        <f t="shared" si="8"/>
        <v>4157394.7800000003</v>
      </c>
      <c r="DK3" s="95">
        <f t="shared" si="8"/>
        <v>4255904.8600000003</v>
      </c>
      <c r="DL3" s="95">
        <f t="shared" si="8"/>
        <v>4379011.6400000006</v>
      </c>
      <c r="DM3" s="95">
        <f t="shared" si="8"/>
        <v>4410296.2699999996</v>
      </c>
      <c r="DN3" s="95">
        <f t="shared" si="8"/>
        <v>4387486.67</v>
      </c>
      <c r="DO3" s="95">
        <f t="shared" si="8"/>
        <v>4415351.76</v>
      </c>
      <c r="DP3" s="95">
        <f t="shared" si="8"/>
        <v>4431683.9700000007</v>
      </c>
      <c r="DQ3" s="95">
        <f t="shared" ref="DQ3:FB3" si="9">+DQ4+DQ5</f>
        <v>4474219.1499999994</v>
      </c>
      <c r="DR3" s="95">
        <f t="shared" si="9"/>
        <v>4415020.01</v>
      </c>
      <c r="DS3" s="95">
        <f t="shared" si="9"/>
        <v>4373288.1400000006</v>
      </c>
      <c r="DT3" s="95">
        <f t="shared" si="9"/>
        <v>4403576.8099999996</v>
      </c>
      <c r="DU3" s="95">
        <f t="shared" si="9"/>
        <v>4422488.53</v>
      </c>
      <c r="DV3" s="95">
        <f t="shared" si="9"/>
        <v>4471220.22</v>
      </c>
      <c r="DW3" s="95">
        <f t="shared" si="9"/>
        <v>4491860.05</v>
      </c>
      <c r="DX3" s="95">
        <f t="shared" si="9"/>
        <v>4473558.5199999996</v>
      </c>
      <c r="DY3" s="95">
        <f t="shared" si="9"/>
        <v>4458417.72</v>
      </c>
      <c r="DZ3" s="95">
        <f t="shared" si="9"/>
        <v>4596971.41</v>
      </c>
      <c r="EA3" s="95">
        <f t="shared" si="9"/>
        <v>4637934.9000000004</v>
      </c>
      <c r="EB3" s="95">
        <f t="shared" si="9"/>
        <v>4728655.5999999996</v>
      </c>
      <c r="EC3" s="95">
        <f t="shared" si="9"/>
        <v>4823995.82</v>
      </c>
      <c r="ED3" s="95">
        <f t="shared" si="9"/>
        <v>4912277.6099999994</v>
      </c>
      <c r="EE3" s="95">
        <f t="shared" si="9"/>
        <v>4759957.78</v>
      </c>
      <c r="EF3" s="95">
        <f t="shared" si="9"/>
        <v>4803543.97</v>
      </c>
      <c r="EG3" s="95">
        <f t="shared" si="9"/>
        <v>4861241.2</v>
      </c>
      <c r="EH3" s="95">
        <f t="shared" si="9"/>
        <v>4959164.41</v>
      </c>
      <c r="EI3" s="95">
        <f t="shared" si="9"/>
        <v>4932292.33</v>
      </c>
      <c r="EJ3" s="95">
        <f t="shared" si="9"/>
        <v>4959326.12</v>
      </c>
      <c r="EK3" s="95">
        <f t="shared" si="9"/>
        <v>5027438.4300000006</v>
      </c>
      <c r="EL3" s="95">
        <f t="shared" si="9"/>
        <v>5121384.17</v>
      </c>
      <c r="EM3" s="95">
        <f t="shared" si="9"/>
        <v>5135083.68</v>
      </c>
      <c r="EN3" s="95">
        <f t="shared" si="9"/>
        <v>5144993.7</v>
      </c>
      <c r="EO3" s="95">
        <f t="shared" si="9"/>
        <v>5182896.2</v>
      </c>
      <c r="EP3" s="95">
        <f t="shared" si="9"/>
        <v>5202092.04</v>
      </c>
      <c r="EQ3" s="95">
        <f t="shared" si="9"/>
        <v>5227322.08</v>
      </c>
      <c r="ER3" s="95">
        <f t="shared" si="9"/>
        <v>5251290.17</v>
      </c>
      <c r="ES3" s="95">
        <f t="shared" si="9"/>
        <v>5368617.3899999997</v>
      </c>
      <c r="ET3" s="95">
        <f t="shared" si="9"/>
        <v>5450220.0099999998</v>
      </c>
      <c r="EU3" s="95">
        <f t="shared" si="9"/>
        <v>5458056.4199999999</v>
      </c>
      <c r="EV3" s="95">
        <f t="shared" si="9"/>
        <v>5525947.2800000003</v>
      </c>
      <c r="EW3" s="95">
        <f t="shared" si="9"/>
        <v>5551356.5200000005</v>
      </c>
      <c r="EX3" s="95">
        <f t="shared" si="9"/>
        <v>5565923.0800000001</v>
      </c>
      <c r="EY3" s="95">
        <f t="shared" si="9"/>
        <v>5642720.6799999997</v>
      </c>
      <c r="EZ3" s="95">
        <f t="shared" si="9"/>
        <v>5645640.1899999995</v>
      </c>
      <c r="FA3" s="95">
        <f t="shared" si="9"/>
        <v>5720343.8100000005</v>
      </c>
      <c r="FB3" s="95">
        <f t="shared" si="9"/>
        <v>5753215.8999999994</v>
      </c>
      <c r="FC3" s="95">
        <f>+FC4+FC5</f>
        <v>5656734.5099999998</v>
      </c>
      <c r="FD3" s="95">
        <f>+FD4+FD5</f>
        <v>5683815.5900000008</v>
      </c>
      <c r="FE3" s="95">
        <f>+FE4+FE5</f>
        <v>5683122.29</v>
      </c>
      <c r="FF3" s="95">
        <f>+FF4+FF5</f>
        <v>5664175.96</v>
      </c>
      <c r="FG3" s="95">
        <f>+FG4+FG5</f>
        <v>5666079.6799999997</v>
      </c>
      <c r="FH3" s="95">
        <f>+FH4+FH5</f>
        <v>5724377.8300000001</v>
      </c>
      <c r="FI3" s="95">
        <f>FI4+FI5</f>
        <v>58298.150000000183</v>
      </c>
    </row>
    <row r="4" spans="1:165" ht="24.95" customHeight="1" x14ac:dyDescent="0.2">
      <c r="B4" s="96" t="s">
        <v>3</v>
      </c>
      <c r="C4" s="97">
        <v>199225.28</v>
      </c>
      <c r="D4" s="97">
        <v>199225.28</v>
      </c>
      <c r="E4" s="97">
        <v>193448</v>
      </c>
      <c r="F4" s="97">
        <v>191917.24</v>
      </c>
      <c r="G4" s="97">
        <v>189917.7</v>
      </c>
      <c r="H4" s="97">
        <v>166281.10999999999</v>
      </c>
      <c r="I4" s="97">
        <v>156597.01</v>
      </c>
      <c r="J4" s="97">
        <v>153262.91</v>
      </c>
      <c r="K4" s="97">
        <v>153718.35</v>
      </c>
      <c r="L4" s="97">
        <v>141082.45000000001</v>
      </c>
      <c r="M4" s="97">
        <v>117991.88</v>
      </c>
      <c r="N4" s="97">
        <v>116020.25</v>
      </c>
      <c r="O4" s="97">
        <v>104438.97</v>
      </c>
      <c r="P4" s="97">
        <v>104496.81</v>
      </c>
      <c r="Q4" s="97">
        <v>107565.46</v>
      </c>
      <c r="R4" s="97">
        <v>107901.7</v>
      </c>
      <c r="S4" s="97">
        <v>106844.77</v>
      </c>
      <c r="T4" s="97">
        <v>109231.84</v>
      </c>
      <c r="U4" s="97">
        <v>93595.63</v>
      </c>
      <c r="V4" s="97">
        <v>95397.31</v>
      </c>
      <c r="W4" s="97">
        <v>93081.87</v>
      </c>
      <c r="X4" s="97">
        <v>89838.06</v>
      </c>
      <c r="Y4" s="97">
        <v>87457.600000000006</v>
      </c>
      <c r="Z4" s="97">
        <v>78713.75</v>
      </c>
      <c r="AA4" s="97">
        <v>65679.88</v>
      </c>
      <c r="AB4" s="97">
        <v>64689.51</v>
      </c>
      <c r="AC4" s="97">
        <v>65028.63</v>
      </c>
      <c r="AD4" s="97">
        <v>66986.12</v>
      </c>
      <c r="AE4" s="97">
        <v>71402.03</v>
      </c>
      <c r="AF4" s="97">
        <v>73280.95</v>
      </c>
      <c r="AG4" s="97">
        <v>73695.91</v>
      </c>
      <c r="AH4" s="97">
        <v>75037.009999999995</v>
      </c>
      <c r="AI4" s="97">
        <f>+'[1]2551-2552'!$O$10</f>
        <v>65114.239999999998</v>
      </c>
      <c r="AJ4" s="97">
        <v>64014.2</v>
      </c>
      <c r="AK4" s="97">
        <v>63327.31</v>
      </c>
      <c r="AL4" s="97">
        <v>62300.217559999997</v>
      </c>
      <c r="AM4" s="97">
        <v>61860.273680000006</v>
      </c>
      <c r="AN4" s="97">
        <v>62061.471649999992</v>
      </c>
      <c r="AO4" s="97">
        <v>63052.455819999996</v>
      </c>
      <c r="AP4" s="97">
        <v>62997.731660000005</v>
      </c>
      <c r="AQ4" s="97">
        <v>61522.687500000007</v>
      </c>
      <c r="AR4" s="97">
        <v>63784.971610000001</v>
      </c>
      <c r="AS4" s="97">
        <v>57742.85</v>
      </c>
      <c r="AT4" s="97">
        <v>57216.75</v>
      </c>
      <c r="AU4" s="97">
        <v>57002.19</v>
      </c>
      <c r="AV4" s="97">
        <v>54043.8</v>
      </c>
      <c r="AW4" s="97">
        <v>52791.25</v>
      </c>
      <c r="AX4" s="97">
        <v>54325.58</v>
      </c>
      <c r="AY4" s="97">
        <v>55523.040000000001</v>
      </c>
      <c r="AZ4" s="97">
        <v>56229.5</v>
      </c>
      <c r="BA4" s="97">
        <v>55238.12</v>
      </c>
      <c r="BB4" s="97">
        <v>54187.63</v>
      </c>
      <c r="BC4" s="97">
        <v>54561.279999999999</v>
      </c>
      <c r="BD4" s="97">
        <v>52977.55</v>
      </c>
      <c r="BE4" s="97">
        <v>54377.56</v>
      </c>
      <c r="BF4" s="97">
        <v>55638.080000000002</v>
      </c>
      <c r="BG4" s="97">
        <v>54522.92</v>
      </c>
      <c r="BH4" s="97">
        <v>53311.65</v>
      </c>
      <c r="BI4" s="97">
        <v>52930.29</v>
      </c>
      <c r="BJ4" s="97">
        <v>44388.19</v>
      </c>
      <c r="BK4" s="97">
        <v>44059.29</v>
      </c>
      <c r="BL4" s="97">
        <v>43806.63</v>
      </c>
      <c r="BM4" s="97">
        <v>44492.56</v>
      </c>
      <c r="BN4" s="97">
        <v>46157.8</v>
      </c>
      <c r="BO4" s="97">
        <v>44083.199999999997</v>
      </c>
      <c r="BP4" s="97">
        <v>45071.839999999997</v>
      </c>
      <c r="BQ4" s="97">
        <v>45898.05</v>
      </c>
      <c r="BR4" s="97">
        <v>45848.27</v>
      </c>
      <c r="BS4" s="97">
        <v>41911.910000000003</v>
      </c>
      <c r="BT4" s="97">
        <v>42009.55</v>
      </c>
      <c r="BU4" s="97">
        <v>45330.559999999998</v>
      </c>
      <c r="BV4" s="97">
        <v>47679.23</v>
      </c>
      <c r="BW4" s="97">
        <v>47275.46</v>
      </c>
      <c r="BX4" s="97">
        <v>47740.92</v>
      </c>
      <c r="BY4" s="97">
        <v>50079.33</v>
      </c>
      <c r="BZ4" s="97">
        <v>52647.68</v>
      </c>
      <c r="CA4" s="97">
        <v>51088.33</v>
      </c>
      <c r="CB4" s="97">
        <v>46363.3</v>
      </c>
      <c r="CC4" s="97">
        <v>44923.71</v>
      </c>
      <c r="CD4" s="97">
        <v>45606.67</v>
      </c>
      <c r="CE4" s="97">
        <v>44911.59</v>
      </c>
      <c r="CF4" s="97">
        <v>50627.53</v>
      </c>
      <c r="CG4" s="97">
        <v>52093.68</v>
      </c>
      <c r="CH4" s="97">
        <v>46641.54</v>
      </c>
      <c r="CI4" s="97">
        <v>70691.539999999994</v>
      </c>
      <c r="CJ4" s="97">
        <v>70849.59</v>
      </c>
      <c r="CK4" s="97">
        <v>71142.7</v>
      </c>
      <c r="CL4" s="97">
        <v>69836.14</v>
      </c>
      <c r="CM4" s="97">
        <v>69998.25</v>
      </c>
      <c r="CN4" s="97">
        <v>70658.95</v>
      </c>
      <c r="CO4" s="97">
        <v>70851.179999999993</v>
      </c>
      <c r="CP4" s="98">
        <v>71901.38</v>
      </c>
      <c r="CQ4" s="98">
        <v>72366.69</v>
      </c>
      <c r="CR4" s="98">
        <v>73281.179999999993</v>
      </c>
      <c r="CS4" s="98">
        <v>73200.7</v>
      </c>
      <c r="CT4" s="98">
        <v>75212.59</v>
      </c>
      <c r="CU4" s="98">
        <v>75237.27</v>
      </c>
      <c r="CV4" s="98">
        <v>75541.87</v>
      </c>
      <c r="CW4" s="98">
        <v>75677.149999999994</v>
      </c>
      <c r="CX4" s="98">
        <v>75184.649999999994</v>
      </c>
      <c r="CY4" s="98">
        <v>75502.7</v>
      </c>
      <c r="CZ4" s="98">
        <v>75578.7</v>
      </c>
      <c r="DA4" s="98">
        <v>75749.11</v>
      </c>
      <c r="DB4" s="98">
        <v>76579.990000000005</v>
      </c>
      <c r="DC4" s="98">
        <v>76301.649999999994</v>
      </c>
      <c r="DD4" s="98">
        <v>76904.800000000003</v>
      </c>
      <c r="DE4" s="98">
        <v>77354.09</v>
      </c>
      <c r="DF4" s="98">
        <v>75393.02</v>
      </c>
      <c r="DG4" s="98">
        <v>77173.2</v>
      </c>
      <c r="DH4" s="98">
        <v>80105.62</v>
      </c>
      <c r="DI4" s="98">
        <v>82877.399999999994</v>
      </c>
      <c r="DJ4" s="98">
        <v>84676.7</v>
      </c>
      <c r="DK4" s="98">
        <v>83422.720000000001</v>
      </c>
      <c r="DL4" s="98">
        <v>83476.649999999994</v>
      </c>
      <c r="DM4" s="98">
        <v>81236.009999999995</v>
      </c>
      <c r="DN4" s="98">
        <v>84510.41</v>
      </c>
      <c r="DO4" s="98">
        <v>85870.79</v>
      </c>
      <c r="DP4" s="98">
        <v>89438.36</v>
      </c>
      <c r="DQ4" s="98">
        <v>91028.97</v>
      </c>
      <c r="DR4" s="98">
        <v>91555.81</v>
      </c>
      <c r="DS4" s="98">
        <v>92517.32</v>
      </c>
      <c r="DT4" s="98">
        <v>95654.720000000001</v>
      </c>
      <c r="DU4" s="98">
        <v>97466.76</v>
      </c>
      <c r="DV4" s="98">
        <v>98735.91</v>
      </c>
      <c r="DW4" s="98">
        <v>97669.119999999995</v>
      </c>
      <c r="DX4" s="98">
        <v>96051</v>
      </c>
      <c r="DY4" s="98">
        <v>96283.13</v>
      </c>
      <c r="DZ4" s="98">
        <v>96687.28</v>
      </c>
      <c r="EA4" s="98">
        <v>96643.9</v>
      </c>
      <c r="EB4" s="98">
        <v>96978.8</v>
      </c>
      <c r="EC4" s="98">
        <v>97290.83</v>
      </c>
      <c r="ED4" s="98">
        <v>96952.06</v>
      </c>
      <c r="EE4" s="98">
        <v>97392.48</v>
      </c>
      <c r="EF4" s="98">
        <v>96840.71</v>
      </c>
      <c r="EG4" s="98">
        <v>96990.399999999994</v>
      </c>
      <c r="EH4" s="133">
        <v>96166.17</v>
      </c>
      <c r="EI4" s="98">
        <v>96415.31</v>
      </c>
      <c r="EJ4" s="98">
        <v>96896.71</v>
      </c>
      <c r="EK4" s="98">
        <v>96553.04</v>
      </c>
      <c r="EL4" s="98">
        <v>94576.9</v>
      </c>
      <c r="EM4" s="98">
        <v>94120.960000000006</v>
      </c>
      <c r="EN4" s="98">
        <v>94171.64</v>
      </c>
      <c r="EO4" s="98">
        <v>93434.55</v>
      </c>
      <c r="EP4" s="98">
        <v>94484.479999999996</v>
      </c>
      <c r="EQ4" s="98">
        <v>78808.460000000006</v>
      </c>
      <c r="ER4" s="98">
        <v>80042.289999999994</v>
      </c>
      <c r="ES4" s="98">
        <v>82570.210000000006</v>
      </c>
      <c r="ET4" s="98">
        <v>83593.710000000006</v>
      </c>
      <c r="EU4" s="98">
        <v>85464.9</v>
      </c>
      <c r="EV4" s="98">
        <v>85627.37</v>
      </c>
      <c r="EW4" s="98">
        <v>85317.48</v>
      </c>
      <c r="EX4" s="98">
        <v>83799.7</v>
      </c>
      <c r="EY4" s="98">
        <v>83469.27</v>
      </c>
      <c r="EZ4" s="98">
        <v>83736.210000000006</v>
      </c>
      <c r="FA4" s="98">
        <v>83338.41</v>
      </c>
      <c r="FB4" s="98">
        <v>85223.26</v>
      </c>
      <c r="FC4" s="98">
        <v>84805.58</v>
      </c>
      <c r="FD4" s="98">
        <v>83686.19</v>
      </c>
      <c r="FE4" s="98">
        <v>83955.89</v>
      </c>
      <c r="FF4" s="98">
        <v>84040.72</v>
      </c>
      <c r="FG4" s="98">
        <v>83833.63</v>
      </c>
      <c r="FH4" s="98">
        <v>85534.83</v>
      </c>
      <c r="FI4" s="99">
        <f>FH4-FG4</f>
        <v>1701.1999999999971</v>
      </c>
    </row>
    <row r="5" spans="1:165" ht="24.95" customHeight="1" x14ac:dyDescent="0.2">
      <c r="B5" s="96" t="s">
        <v>4</v>
      </c>
      <c r="C5" s="97">
        <v>1738552.05</v>
      </c>
      <c r="D5" s="97">
        <v>1755752.05</v>
      </c>
      <c r="E5" s="97">
        <v>1763295.48</v>
      </c>
      <c r="F5" s="97">
        <v>1775786.64</v>
      </c>
      <c r="G5" s="97">
        <v>1780286.64</v>
      </c>
      <c r="H5" s="97">
        <v>1794486.64</v>
      </c>
      <c r="I5" s="97">
        <v>1797486.64</v>
      </c>
      <c r="J5" s="97">
        <v>1815486.64</v>
      </c>
      <c r="K5" s="97">
        <v>1838486.64</v>
      </c>
      <c r="L5" s="97">
        <v>1915244.65</v>
      </c>
      <c r="M5" s="97">
        <v>1928139.65</v>
      </c>
      <c r="N5" s="97">
        <v>1949636.43</v>
      </c>
      <c r="O5" s="97">
        <v>1927136.43</v>
      </c>
      <c r="P5" s="97">
        <v>1930560.43</v>
      </c>
      <c r="Q5" s="97">
        <v>1937110.43</v>
      </c>
      <c r="R5" s="97">
        <v>1943461.56</v>
      </c>
      <c r="S5" s="97">
        <v>1935570.56</v>
      </c>
      <c r="T5" s="97">
        <v>1940511.58</v>
      </c>
      <c r="U5" s="97">
        <v>1958011.58</v>
      </c>
      <c r="V5" s="97">
        <v>2000511.58</v>
      </c>
      <c r="W5" s="97">
        <v>2014780.11</v>
      </c>
      <c r="X5" s="97">
        <v>2050664.47</v>
      </c>
      <c r="Y5" s="97">
        <v>2090607.92</v>
      </c>
      <c r="Z5" s="97">
        <v>2102099.7000000002</v>
      </c>
      <c r="AA5" s="97">
        <v>2093099.7</v>
      </c>
      <c r="AB5" s="97">
        <v>2062908.37</v>
      </c>
      <c r="AC5" s="97">
        <v>2068463.01</v>
      </c>
      <c r="AD5" s="97">
        <v>2095124.53</v>
      </c>
      <c r="AE5" s="97">
        <v>2059124.53</v>
      </c>
      <c r="AF5" s="97">
        <v>2054124.53</v>
      </c>
      <c r="AG5" s="97">
        <v>2061038.36</v>
      </c>
      <c r="AH5" s="97">
        <v>2133459.5299999998</v>
      </c>
      <c r="AI5" s="97">
        <f>+'[1]2551-2552'!$O$12</f>
        <v>2221827.73</v>
      </c>
      <c r="AJ5" s="97">
        <v>2300768.7400000002</v>
      </c>
      <c r="AK5" s="97">
        <v>2382456.7400000002</v>
      </c>
      <c r="AL5" s="97">
        <v>2416060.52</v>
      </c>
      <c r="AM5" s="97">
        <v>2405054.52</v>
      </c>
      <c r="AN5" s="97">
        <v>2527480.52</v>
      </c>
      <c r="AO5" s="97">
        <v>2546309.5299999998</v>
      </c>
      <c r="AP5" s="97">
        <v>2523515.4539999999</v>
      </c>
      <c r="AQ5" s="97">
        <v>2522489.67</v>
      </c>
      <c r="AR5" s="97">
        <v>2515811.06</v>
      </c>
      <c r="AS5" s="97">
        <v>2530383.6</v>
      </c>
      <c r="AT5" s="97">
        <v>2587800.9</v>
      </c>
      <c r="AU5" s="97">
        <v>2656300.9</v>
      </c>
      <c r="AV5" s="97">
        <v>2708258.91</v>
      </c>
      <c r="AW5" s="97">
        <v>2721144.61</v>
      </c>
      <c r="AX5" s="97">
        <v>2752330.69</v>
      </c>
      <c r="AY5" s="97">
        <v>2809163.69</v>
      </c>
      <c r="AZ5" s="97">
        <v>2853377.15</v>
      </c>
      <c r="BA5" s="97">
        <v>2878263.14</v>
      </c>
      <c r="BB5" s="97">
        <v>2853294.68</v>
      </c>
      <c r="BC5" s="97">
        <v>2837094.12</v>
      </c>
      <c r="BD5" s="97">
        <v>2851528.26</v>
      </c>
      <c r="BE5" s="97">
        <v>2948045.35</v>
      </c>
      <c r="BF5" s="97">
        <v>2928835.35</v>
      </c>
      <c r="BG5" s="97">
        <v>2933649.25</v>
      </c>
      <c r="BH5" s="97">
        <v>2935533.74</v>
      </c>
      <c r="BI5" s="97">
        <v>2942140.29</v>
      </c>
      <c r="BJ5" s="97">
        <v>2972350.95</v>
      </c>
      <c r="BK5" s="97">
        <v>2956414.49</v>
      </c>
      <c r="BL5" s="97">
        <v>2972678.44</v>
      </c>
      <c r="BM5" s="97">
        <v>2968827.6</v>
      </c>
      <c r="BN5" s="97">
        <v>3135001.09</v>
      </c>
      <c r="BO5" s="97">
        <f>1867756.57+1181100.87</f>
        <v>3048857.4400000004</v>
      </c>
      <c r="BP5" s="97">
        <f>1868064.57+1174100.87</f>
        <v>3042165.4400000004</v>
      </c>
      <c r="BQ5" s="97">
        <f>3088521.36-BQ4</f>
        <v>3042623.31</v>
      </c>
      <c r="BR5" s="97">
        <f>1874032.59+1138305.88+59000</f>
        <v>3071338.4699999997</v>
      </c>
      <c r="BS5" s="97">
        <f>1897917.84+1138305.88+65450</f>
        <v>3101673.7199999997</v>
      </c>
      <c r="BT5" s="97">
        <f>2009864.47+1136075.79+80450</f>
        <v>3226390.26</v>
      </c>
      <c r="BU5" s="97">
        <f>2152278.44+1134641.63+80450</f>
        <v>3367370.07</v>
      </c>
      <c r="BV5" s="97">
        <f>2168048.45+1133973.76+80450</f>
        <v>3382472.21</v>
      </c>
      <c r="BW5" s="97">
        <f>2211797.8+1133475.93+113800</f>
        <v>3459073.7299999995</v>
      </c>
      <c r="BX5" s="97">
        <f>2238098.81+1133310.65+151800</f>
        <v>3523209.46</v>
      </c>
      <c r="BY5" s="97">
        <f>2294341.04+1133131.85+151800</f>
        <v>3579272.89</v>
      </c>
      <c r="BZ5" s="97">
        <f>2329231.42+1133131.85+0</f>
        <v>3462363.27</v>
      </c>
      <c r="CA5" s="97">
        <f>2228504.47+1122870.43+0</f>
        <v>3351374.9000000004</v>
      </c>
      <c r="CB5" s="97">
        <f>2260328.56+1132818.92+20000</f>
        <v>3413147.48</v>
      </c>
      <c r="CC5" s="97">
        <f>2318975.9+1132740.24+20000</f>
        <v>3471716.1399999997</v>
      </c>
      <c r="CD5" s="97">
        <f>2336226.72+1129585.24+20000</f>
        <v>3485811.96</v>
      </c>
      <c r="CE5" s="97">
        <f>2374982.78+1115740.24+20000</f>
        <v>3510723.0199999996</v>
      </c>
      <c r="CF5" s="97">
        <f>2385162.81+1127608.19</f>
        <v>3512771</v>
      </c>
      <c r="CG5" s="97">
        <f>2410926.74+1126707.96</f>
        <v>3537634.7</v>
      </c>
      <c r="CH5" s="97">
        <f>2435821.42+1126707.96</f>
        <v>3562529.38</v>
      </c>
      <c r="CI5" s="97">
        <f>2461082.86+1125981.76</f>
        <v>3587064.62</v>
      </c>
      <c r="CJ5" s="97">
        <f>2465818.84+1103981.76</f>
        <v>3569800.5999999996</v>
      </c>
      <c r="CK5" s="97">
        <f>2495979.54+1111001.76</f>
        <v>3606981.3</v>
      </c>
      <c r="CL5" s="97">
        <f>2596913.1+1108070.25</f>
        <v>3704983.35</v>
      </c>
      <c r="CM5" s="97">
        <v>3699295.8</v>
      </c>
      <c r="CN5" s="97">
        <v>3726823.4699999997</v>
      </c>
      <c r="CO5" s="97">
        <v>3756219.17</v>
      </c>
      <c r="CP5" s="98">
        <v>3766500.03</v>
      </c>
      <c r="CQ5" s="98">
        <f>2677740.92+1106758.07+49000</f>
        <v>3833498.99</v>
      </c>
      <c r="CR5" s="98">
        <f>2688780.32+1099336.78+58000</f>
        <v>3846117.0999999996</v>
      </c>
      <c r="CS5" s="98">
        <f>2727630.81+1098554.1+58000</f>
        <v>3884184.91</v>
      </c>
      <c r="CT5" s="98">
        <f>2741284.49+1091352.07</f>
        <v>3832636.5600000005</v>
      </c>
      <c r="CU5" s="98">
        <f>2737986.34+1094210.69+25800</f>
        <v>3857997.03</v>
      </c>
      <c r="CV5" s="98">
        <f>2754937+1094177.18</f>
        <v>3849114.1799999997</v>
      </c>
      <c r="CW5" s="98">
        <f>2765259.4+1083438.41</f>
        <v>3848697.8099999996</v>
      </c>
      <c r="CX5" s="98">
        <f>2816418.53+1073851.84</f>
        <v>3890270.37</v>
      </c>
      <c r="CY5" s="98">
        <f>2804491.84+1073848.47</f>
        <v>3878340.3099999996</v>
      </c>
      <c r="CZ5" s="98">
        <f>2800161.86+1073820.56</f>
        <v>3873982.42</v>
      </c>
      <c r="DA5" s="98">
        <f>2803080.34+1058819.8+17010</f>
        <v>3878910.1399999997</v>
      </c>
      <c r="DB5" s="98">
        <f>2822185.18+1057017.8+40986</f>
        <v>3920188.9800000004</v>
      </c>
      <c r="DC5" s="98">
        <f>2885857.03+1057017.8+50986</f>
        <v>3993860.83</v>
      </c>
      <c r="DD5" s="98">
        <f>2905085.99+1052017.8+60000</f>
        <v>4017103.79</v>
      </c>
      <c r="DE5" s="98">
        <f>2947942.98+1052017.8+60000</f>
        <v>4059960.7800000003</v>
      </c>
      <c r="DF5" s="98">
        <f>2956460.78+1031567.8</f>
        <v>3988028.58</v>
      </c>
      <c r="DG5" s="98">
        <f>2937705.59+1031535.8+23779</f>
        <v>3993020.3899999997</v>
      </c>
      <c r="DH5" s="98">
        <v>4011273.04</v>
      </c>
      <c r="DI5" s="98">
        <v>4028009.73</v>
      </c>
      <c r="DJ5" s="98">
        <v>4072718.08</v>
      </c>
      <c r="DK5" s="98">
        <v>4172482.14</v>
      </c>
      <c r="DL5" s="98">
        <v>4295534.99</v>
      </c>
      <c r="DM5" s="98">
        <v>4329060.26</v>
      </c>
      <c r="DN5" s="98">
        <v>4302976.26</v>
      </c>
      <c r="DO5" s="98">
        <v>4329480.97</v>
      </c>
      <c r="DP5" s="98">
        <v>4342245.6100000003</v>
      </c>
      <c r="DQ5" s="98">
        <v>4383190.18</v>
      </c>
      <c r="DR5" s="98">
        <v>4323464.2</v>
      </c>
      <c r="DS5" s="98">
        <v>4280770.82</v>
      </c>
      <c r="DT5" s="98">
        <f>3345287.29+962634.8</f>
        <v>4307922.09</v>
      </c>
      <c r="DU5" s="98">
        <f>3374900.74+950121.03</f>
        <v>4325021.7700000005</v>
      </c>
      <c r="DV5" s="98">
        <v>4372484.3099999996</v>
      </c>
      <c r="DW5" s="98">
        <v>4394190.93</v>
      </c>
      <c r="DX5" s="98">
        <v>4377507.5199999996</v>
      </c>
      <c r="DY5" s="98">
        <f>3431845.88+930288.71</f>
        <v>4362134.59</v>
      </c>
      <c r="DZ5" s="98">
        <f>3573948.42+926335.71</f>
        <v>4500284.13</v>
      </c>
      <c r="EA5" s="98">
        <v>4541291</v>
      </c>
      <c r="EB5" s="98">
        <v>4631676.8</v>
      </c>
      <c r="EC5" s="98">
        <v>4726704.99</v>
      </c>
      <c r="ED5" s="98">
        <v>4815325.55</v>
      </c>
      <c r="EE5" s="98">
        <v>4662565.3</v>
      </c>
      <c r="EF5" s="98">
        <v>4706703.26</v>
      </c>
      <c r="EG5" s="98">
        <v>4764250.8</v>
      </c>
      <c r="EH5" s="133">
        <v>4862998.24</v>
      </c>
      <c r="EI5" s="98">
        <v>4835877.0200000005</v>
      </c>
      <c r="EJ5" s="98">
        <v>4862429.41</v>
      </c>
      <c r="EK5" s="98">
        <v>4930885.3900000006</v>
      </c>
      <c r="EL5" s="98">
        <v>5026807.2699999996</v>
      </c>
      <c r="EM5" s="98">
        <v>5040962.72</v>
      </c>
      <c r="EN5" s="98">
        <v>5050822.0600000005</v>
      </c>
      <c r="EO5" s="98">
        <v>5089461.6500000004</v>
      </c>
      <c r="EP5" s="98">
        <v>5107607.5599999996</v>
      </c>
      <c r="EQ5" s="98">
        <v>5148513.62</v>
      </c>
      <c r="ER5" s="98">
        <v>5171247.88</v>
      </c>
      <c r="ES5" s="98">
        <v>5286047.18</v>
      </c>
      <c r="ET5" s="98">
        <v>5366626.3</v>
      </c>
      <c r="EU5" s="98">
        <v>5372591.5199999996</v>
      </c>
      <c r="EV5" s="98">
        <v>5440319.9100000001</v>
      </c>
      <c r="EW5" s="98">
        <v>5466039.04</v>
      </c>
      <c r="EX5" s="98">
        <v>5482123.3799999999</v>
      </c>
      <c r="EY5" s="98">
        <v>5559251.4100000001</v>
      </c>
      <c r="EZ5" s="98">
        <v>5561903.9799999995</v>
      </c>
      <c r="FA5" s="98">
        <v>5637005.4000000004</v>
      </c>
      <c r="FB5" s="98">
        <v>5667992.6399999997</v>
      </c>
      <c r="FC5" s="98">
        <v>5571928.9299999997</v>
      </c>
      <c r="FD5" s="98">
        <v>5600129.4000000004</v>
      </c>
      <c r="FE5" s="98">
        <v>5599166.4000000004</v>
      </c>
      <c r="FF5" s="98">
        <v>5580135.2400000002</v>
      </c>
      <c r="FG5" s="98">
        <v>5582246.0499999998</v>
      </c>
      <c r="FH5" s="98">
        <v>5638843</v>
      </c>
      <c r="FI5" s="99">
        <f>FH5-FG5</f>
        <v>56596.950000000186</v>
      </c>
    </row>
    <row r="6" spans="1:165" ht="24.95" customHeight="1" x14ac:dyDescent="0.2">
      <c r="B6" s="100" t="s">
        <v>195</v>
      </c>
      <c r="C6" s="101">
        <v>915937.28000000003</v>
      </c>
      <c r="D6" s="102">
        <f>+SUM(D7:D10)</f>
        <v>912128.63000000012</v>
      </c>
      <c r="E6" s="102">
        <f t="shared" ref="E6:AE6" si="10">+E7+E8+E9+E10</f>
        <v>905226.44</v>
      </c>
      <c r="F6" s="102">
        <f t="shared" si="10"/>
        <v>911472.82000000007</v>
      </c>
      <c r="G6" s="102">
        <f t="shared" si="10"/>
        <v>907880.67999999993</v>
      </c>
      <c r="H6" s="102">
        <f t="shared" si="10"/>
        <v>903434.57</v>
      </c>
      <c r="I6" s="102">
        <f t="shared" si="10"/>
        <v>914531.66999999993</v>
      </c>
      <c r="J6" s="102">
        <f t="shared" si="10"/>
        <v>904980.09</v>
      </c>
      <c r="K6" s="102">
        <f t="shared" si="10"/>
        <v>902737.29</v>
      </c>
      <c r="L6" s="102">
        <f t="shared" si="10"/>
        <v>888535.87000000011</v>
      </c>
      <c r="M6" s="102">
        <f t="shared" si="10"/>
        <v>887476.26</v>
      </c>
      <c r="N6" s="102">
        <f t="shared" si="10"/>
        <v>883613.10999999987</v>
      </c>
      <c r="O6" s="102">
        <f t="shared" si="10"/>
        <v>892014.49</v>
      </c>
      <c r="P6" s="102">
        <f t="shared" si="10"/>
        <v>900853.14</v>
      </c>
      <c r="Q6" s="102">
        <f t="shared" si="10"/>
        <v>907220.73</v>
      </c>
      <c r="R6" s="102">
        <f t="shared" si="10"/>
        <v>907325.82000000007</v>
      </c>
      <c r="S6" s="102">
        <f t="shared" si="10"/>
        <v>929801.25</v>
      </c>
      <c r="T6" s="102">
        <f t="shared" si="10"/>
        <v>950087.77</v>
      </c>
      <c r="U6" s="102">
        <f t="shared" si="10"/>
        <v>1041892.92</v>
      </c>
      <c r="V6" s="102">
        <f t="shared" si="10"/>
        <v>1038975.8400000001</v>
      </c>
      <c r="W6" s="102">
        <f t="shared" si="10"/>
        <v>1045437.4399999999</v>
      </c>
      <c r="X6" s="102">
        <f t="shared" si="10"/>
        <v>1047809.9099999999</v>
      </c>
      <c r="Y6" s="102">
        <f t="shared" si="10"/>
        <v>1042008.6100000001</v>
      </c>
      <c r="Z6" s="102">
        <f t="shared" si="10"/>
        <v>1041076.8600000001</v>
      </c>
      <c r="AA6" s="102">
        <f t="shared" si="10"/>
        <v>1053288.8299999998</v>
      </c>
      <c r="AB6" s="102">
        <f t="shared" si="10"/>
        <v>1047271.79</v>
      </c>
      <c r="AC6" s="102">
        <f t="shared" si="10"/>
        <v>1074238.79</v>
      </c>
      <c r="AD6" s="102">
        <f t="shared" si="10"/>
        <v>1090886</v>
      </c>
      <c r="AE6" s="102">
        <f t="shared" si="10"/>
        <v>1131589.06</v>
      </c>
      <c r="AF6" s="102">
        <f>+AF7+AF8+AF9+AF10</f>
        <v>1148060.24</v>
      </c>
      <c r="AG6" s="102">
        <f>+AG7+AG8+AG9+AG10</f>
        <v>1191201.72</v>
      </c>
      <c r="AH6" s="102">
        <f>+AH7+AH8+AH9+AH10</f>
        <v>1198918.18</v>
      </c>
      <c r="AI6" s="102">
        <f>+AI7+AI8+AI9+AI10</f>
        <v>1207680.03</v>
      </c>
      <c r="AJ6" s="102">
        <f t="shared" ref="AJ6:AS6" si="11">+AJ7+AJ8+AJ9+AJ10</f>
        <v>1229168.83</v>
      </c>
      <c r="AK6" s="102">
        <f t="shared" si="11"/>
        <v>1241318.96</v>
      </c>
      <c r="AL6" s="102">
        <f t="shared" si="11"/>
        <v>1246777.52</v>
      </c>
      <c r="AM6" s="102">
        <f t="shared" si="11"/>
        <v>1258881.3299999998</v>
      </c>
      <c r="AN6" s="102">
        <f t="shared" si="11"/>
        <v>1295945.22</v>
      </c>
      <c r="AO6" s="102">
        <f t="shared" si="11"/>
        <v>1311907.6200000001</v>
      </c>
      <c r="AP6" s="102">
        <f t="shared" si="11"/>
        <v>1317371.79</v>
      </c>
      <c r="AQ6" s="102">
        <f t="shared" si="11"/>
        <v>1312939.33</v>
      </c>
      <c r="AR6" s="102">
        <f t="shared" si="11"/>
        <v>1307560.6199999999</v>
      </c>
      <c r="AS6" s="102">
        <f t="shared" si="11"/>
        <v>1296717.02</v>
      </c>
      <c r="AT6" s="102">
        <f t="shared" ref="AT6:AY6" si="12">+AT7+AT8+AT9+AT10</f>
        <v>1288768.28</v>
      </c>
      <c r="AU6" s="102">
        <f t="shared" si="12"/>
        <v>1292208.48</v>
      </c>
      <c r="AV6" s="102">
        <f t="shared" si="12"/>
        <v>1292294.1200000001</v>
      </c>
      <c r="AW6" s="102">
        <f t="shared" si="12"/>
        <v>1272934.3899999999</v>
      </c>
      <c r="AX6" s="102">
        <f t="shared" si="12"/>
        <v>1275964.54</v>
      </c>
      <c r="AY6" s="102">
        <f t="shared" si="12"/>
        <v>1275808.75</v>
      </c>
      <c r="AZ6" s="102">
        <f t="shared" ref="AZ6:BE6" si="13">+AZ7+AZ8+AZ9+AZ10</f>
        <v>1280417.4099999999</v>
      </c>
      <c r="BA6" s="102">
        <f t="shared" si="13"/>
        <v>1271589.0899999999</v>
      </c>
      <c r="BB6" s="102">
        <f t="shared" si="13"/>
        <v>1261162</v>
      </c>
      <c r="BC6" s="102">
        <f t="shared" si="13"/>
        <v>1247727.73</v>
      </c>
      <c r="BD6" s="102">
        <f t="shared" si="13"/>
        <v>1231205.01</v>
      </c>
      <c r="BE6" s="102">
        <f t="shared" si="13"/>
        <v>1249097.7200000002</v>
      </c>
      <c r="BF6" s="102">
        <f>+BF7+BF8+BF9+BF10</f>
        <v>1247940.05</v>
      </c>
      <c r="BG6" s="102">
        <v>1238655.1299999999</v>
      </c>
      <c r="BH6" s="102">
        <v>1226212.3999999999</v>
      </c>
      <c r="BI6" s="102">
        <v>1222273.1599999999</v>
      </c>
      <c r="BJ6" s="102">
        <f t="shared" ref="BJ6:BO6" si="14">+BJ7+BJ8+BJ9+BJ10</f>
        <v>1231943.48</v>
      </c>
      <c r="BK6" s="102">
        <f t="shared" si="14"/>
        <v>1232593.8500000001</v>
      </c>
      <c r="BL6" s="102">
        <f t="shared" si="14"/>
        <v>1233015.24</v>
      </c>
      <c r="BM6" s="102">
        <f t="shared" si="14"/>
        <v>1227725.51</v>
      </c>
      <c r="BN6" s="102">
        <f t="shared" si="14"/>
        <v>1236690.53</v>
      </c>
      <c r="BO6" s="102">
        <f t="shared" si="14"/>
        <v>1213317.4300000002</v>
      </c>
      <c r="BP6" s="102">
        <f t="shared" ref="BP6:CY6" si="15">+BP7+BP8+BP9+BP10</f>
        <v>1216294.8299999998</v>
      </c>
      <c r="BQ6" s="102">
        <f t="shared" si="15"/>
        <v>1209375.72</v>
      </c>
      <c r="BR6" s="102">
        <f t="shared" si="15"/>
        <v>1245260.69</v>
      </c>
      <c r="BS6" s="102">
        <f t="shared" si="15"/>
        <v>1202273.01</v>
      </c>
      <c r="BT6" s="102">
        <f t="shared" si="15"/>
        <v>1198472.54</v>
      </c>
      <c r="BU6" s="102">
        <f t="shared" si="15"/>
        <v>1196345.3900000001</v>
      </c>
      <c r="BV6" s="102">
        <f t="shared" si="15"/>
        <v>1229128.1000000001</v>
      </c>
      <c r="BW6" s="102">
        <f t="shared" si="15"/>
        <v>1275185.2600000002</v>
      </c>
      <c r="BX6" s="102">
        <f t="shared" si="15"/>
        <v>1329577.0899999999</v>
      </c>
      <c r="BY6" s="102">
        <f t="shared" si="15"/>
        <v>1401045.77</v>
      </c>
      <c r="BZ6" s="102">
        <f t="shared" si="15"/>
        <v>1416495.17</v>
      </c>
      <c r="CA6" s="102">
        <f t="shared" si="15"/>
        <v>1417630.3800000001</v>
      </c>
      <c r="CB6" s="102">
        <f t="shared" si="15"/>
        <v>1442523.7</v>
      </c>
      <c r="CC6" s="102">
        <f t="shared" si="15"/>
        <v>1437383.8099999998</v>
      </c>
      <c r="CD6" s="102">
        <f t="shared" si="15"/>
        <v>1501968.85</v>
      </c>
      <c r="CE6" s="102">
        <f t="shared" si="15"/>
        <v>1510288.42</v>
      </c>
      <c r="CF6" s="102">
        <f t="shared" si="15"/>
        <v>1562954.55</v>
      </c>
      <c r="CG6" s="102">
        <f t="shared" si="15"/>
        <v>1561641.8599999999</v>
      </c>
      <c r="CH6" s="102">
        <f t="shared" si="15"/>
        <v>1567050.3900000001</v>
      </c>
      <c r="CI6" s="102">
        <f t="shared" si="15"/>
        <v>1566396.4400000002</v>
      </c>
      <c r="CJ6" s="102">
        <f t="shared" si="15"/>
        <v>1584369.11</v>
      </c>
      <c r="CK6" s="102">
        <f t="shared" si="15"/>
        <v>1623694.1</v>
      </c>
      <c r="CL6" s="102">
        <f t="shared" si="15"/>
        <v>1654905.86</v>
      </c>
      <c r="CM6" s="102">
        <f t="shared" si="15"/>
        <v>1603461.03</v>
      </c>
      <c r="CN6" s="102">
        <f t="shared" si="15"/>
        <v>1595122.92</v>
      </c>
      <c r="CO6" s="102">
        <f t="shared" si="15"/>
        <v>1621870.74</v>
      </c>
      <c r="CP6" s="103">
        <f t="shared" si="15"/>
        <v>1626961.97</v>
      </c>
      <c r="CQ6" s="103">
        <f t="shared" si="15"/>
        <v>1632796.09</v>
      </c>
      <c r="CR6" s="103">
        <f>+CR7+CR8+CR9+CR10</f>
        <v>1624128.57</v>
      </c>
      <c r="CS6" s="103">
        <f t="shared" si="15"/>
        <v>1620593.04</v>
      </c>
      <c r="CT6" s="103">
        <f t="shared" si="15"/>
        <v>1621512.83</v>
      </c>
      <c r="CU6" s="103">
        <f t="shared" si="15"/>
        <v>1718534.4799999997</v>
      </c>
      <c r="CV6" s="103">
        <f t="shared" si="15"/>
        <v>1710847.6</v>
      </c>
      <c r="CW6" s="103">
        <f t="shared" si="15"/>
        <v>1710219.1300000004</v>
      </c>
      <c r="CX6" s="103">
        <f t="shared" si="15"/>
        <v>1713902.07</v>
      </c>
      <c r="CY6" s="103">
        <f t="shared" si="15"/>
        <v>1676313.3599999999</v>
      </c>
      <c r="CZ6" s="103">
        <f t="shared" ref="CZ6:DQ6" si="16">+CZ7+CZ8+CZ9+CZ10</f>
        <v>1667540.9700000002</v>
      </c>
      <c r="DA6" s="103">
        <f t="shared" si="16"/>
        <v>1661344</v>
      </c>
      <c r="DB6" s="103">
        <f t="shared" si="16"/>
        <v>1654365.81</v>
      </c>
      <c r="DC6" s="103">
        <f t="shared" si="16"/>
        <v>1640844.3699999999</v>
      </c>
      <c r="DD6" s="103">
        <f t="shared" si="16"/>
        <v>1628313.9900000002</v>
      </c>
      <c r="DE6" s="103">
        <f t="shared" si="16"/>
        <v>1631365.25</v>
      </c>
      <c r="DF6" s="103">
        <f t="shared" si="16"/>
        <v>1617454.0299999998</v>
      </c>
      <c r="DG6" s="103">
        <f t="shared" si="16"/>
        <v>1608258.93</v>
      </c>
      <c r="DH6" s="103">
        <f t="shared" si="16"/>
        <v>1605019.3</v>
      </c>
      <c r="DI6" s="103">
        <f t="shared" si="16"/>
        <v>1602834.5</v>
      </c>
      <c r="DJ6" s="103">
        <f t="shared" si="16"/>
        <v>1607495.53</v>
      </c>
      <c r="DK6" s="103">
        <f t="shared" si="16"/>
        <v>1593088.8000000003</v>
      </c>
      <c r="DL6" s="103">
        <f t="shared" si="16"/>
        <v>1579196.6400000001</v>
      </c>
      <c r="DM6" s="103">
        <f t="shared" si="16"/>
        <v>1577316.81</v>
      </c>
      <c r="DN6" s="103">
        <f t="shared" si="16"/>
        <v>1575748.21</v>
      </c>
      <c r="DO6" s="103">
        <f t="shared" si="16"/>
        <v>1573005.31</v>
      </c>
      <c r="DP6" s="103">
        <f t="shared" si="16"/>
        <v>1565434.52</v>
      </c>
      <c r="DQ6" s="103">
        <f t="shared" si="16"/>
        <v>1563068</v>
      </c>
      <c r="DR6" s="103">
        <f t="shared" ref="DR6:FB6" si="17">+DR7+DR8+DR9+DR10</f>
        <v>1550385.8599999999</v>
      </c>
      <c r="DS6" s="103">
        <f t="shared" si="17"/>
        <v>1539458.32</v>
      </c>
      <c r="DT6" s="103">
        <f t="shared" si="17"/>
        <v>1531605.1099999999</v>
      </c>
      <c r="DU6" s="103">
        <f t="shared" si="17"/>
        <v>1503565.91</v>
      </c>
      <c r="DV6" s="103">
        <f t="shared" si="17"/>
        <v>1494848.6199999999</v>
      </c>
      <c r="DW6" s="103">
        <f t="shared" si="17"/>
        <v>1472018.3699999999</v>
      </c>
      <c r="DX6" s="103">
        <f t="shared" si="17"/>
        <v>1450214.8699999999</v>
      </c>
      <c r="DY6" s="103">
        <f t="shared" si="17"/>
        <v>1443798.5</v>
      </c>
      <c r="DZ6" s="103">
        <f t="shared" si="17"/>
        <v>1443166.0999999999</v>
      </c>
      <c r="EA6" s="103">
        <f t="shared" si="17"/>
        <v>1432943.88</v>
      </c>
      <c r="EB6" s="103">
        <f t="shared" si="17"/>
        <v>1418465.5</v>
      </c>
      <c r="EC6" s="103">
        <f t="shared" si="17"/>
        <v>1425491.4</v>
      </c>
      <c r="ED6" s="103">
        <f t="shared" si="17"/>
        <v>1417985.1600000001</v>
      </c>
      <c r="EE6" s="103">
        <f t="shared" si="17"/>
        <v>1409054.6800000002</v>
      </c>
      <c r="EF6" s="103">
        <f t="shared" si="17"/>
        <v>1405929.99</v>
      </c>
      <c r="EG6" s="103">
        <f t="shared" si="17"/>
        <v>1398965.8</v>
      </c>
      <c r="EH6" s="103">
        <f t="shared" si="17"/>
        <v>1396537.35</v>
      </c>
      <c r="EI6" s="103">
        <f t="shared" si="17"/>
        <v>1361895.4100000001</v>
      </c>
      <c r="EJ6" s="103">
        <f t="shared" si="17"/>
        <v>1354447.46</v>
      </c>
      <c r="EK6" s="103">
        <f t="shared" si="17"/>
        <v>1333326.43</v>
      </c>
      <c r="EL6" s="103">
        <f t="shared" si="17"/>
        <v>1310342</v>
      </c>
      <c r="EM6" s="103">
        <f t="shared" si="17"/>
        <v>1319362.3899999999</v>
      </c>
      <c r="EN6" s="103">
        <f t="shared" si="17"/>
        <v>1299643.1900000002</v>
      </c>
      <c r="EO6" s="103">
        <f t="shared" si="17"/>
        <v>1294550.1500000001</v>
      </c>
      <c r="EP6" s="103">
        <f t="shared" si="17"/>
        <v>1286840.3500000001</v>
      </c>
      <c r="EQ6" s="103">
        <f t="shared" si="17"/>
        <v>1295349.54</v>
      </c>
      <c r="ER6" s="103">
        <f t="shared" si="17"/>
        <v>1297819.56</v>
      </c>
      <c r="ES6" s="103">
        <f t="shared" si="17"/>
        <v>1295453.24</v>
      </c>
      <c r="ET6" s="103">
        <f t="shared" si="17"/>
        <v>1321764.6700000002</v>
      </c>
      <c r="EU6" s="103">
        <f t="shared" si="17"/>
        <v>1296188.52</v>
      </c>
      <c r="EV6" s="103">
        <f t="shared" si="17"/>
        <v>1274340.93</v>
      </c>
      <c r="EW6" s="103">
        <f t="shared" si="17"/>
        <v>1274421.55</v>
      </c>
      <c r="EX6" s="103">
        <f t="shared" si="17"/>
        <v>1259480.6000000001</v>
      </c>
      <c r="EY6" s="103">
        <f t="shared" si="17"/>
        <v>1251791.43</v>
      </c>
      <c r="EZ6" s="103">
        <f t="shared" si="17"/>
        <v>1254705.48</v>
      </c>
      <c r="FA6" s="103">
        <f t="shared" si="17"/>
        <v>1230870.1800000002</v>
      </c>
      <c r="FB6" s="103">
        <f t="shared" si="17"/>
        <v>1216874.04</v>
      </c>
      <c r="FC6" s="103">
        <f>+FC7+FC8+FC9+FC10</f>
        <v>1217174.01</v>
      </c>
      <c r="FD6" s="103">
        <f>+FD7+FD8+FD9+FD10</f>
        <v>1224181.5799999998</v>
      </c>
      <c r="FE6" s="103">
        <f>+FE7+FE8+FE9+FE10</f>
        <v>1223099.1099999999</v>
      </c>
      <c r="FF6" s="103">
        <f>+FF7+FF8+FF9+FF10</f>
        <v>1228518.8500000001</v>
      </c>
      <c r="FG6" s="103">
        <f>+FG7+FG8+FG9+FG10</f>
        <v>1204978.6400000001</v>
      </c>
      <c r="FH6" s="103">
        <f>+FH7+FH8+FH9+FH10</f>
        <v>1211958.9099999999</v>
      </c>
      <c r="FI6" s="104">
        <f>FI7+FI8+FI9+FI10</f>
        <v>6980.269999999975</v>
      </c>
    </row>
    <row r="7" spans="1:165" ht="24.95" customHeight="1" x14ac:dyDescent="0.2">
      <c r="B7" s="96" t="s">
        <v>5</v>
      </c>
      <c r="C7" s="97">
        <v>218182.8</v>
      </c>
      <c r="D7" s="97">
        <v>211624.66</v>
      </c>
      <c r="E7" s="97">
        <v>200751.07</v>
      </c>
      <c r="F7" s="97">
        <v>195097.47</v>
      </c>
      <c r="G7" s="97">
        <v>191218.28</v>
      </c>
      <c r="H7" s="97">
        <v>189191.03</v>
      </c>
      <c r="I7" s="97">
        <v>184855.87</v>
      </c>
      <c r="J7" s="97">
        <v>179334.49</v>
      </c>
      <c r="K7" s="97">
        <v>181087.35999999999</v>
      </c>
      <c r="L7" s="97">
        <v>177925.05</v>
      </c>
      <c r="M7" s="97">
        <v>174851.83</v>
      </c>
      <c r="N7" s="97">
        <v>170761.82</v>
      </c>
      <c r="O7" s="97">
        <v>167861.63</v>
      </c>
      <c r="P7" s="97">
        <v>169062.81</v>
      </c>
      <c r="Q7" s="97">
        <v>174993.65</v>
      </c>
      <c r="R7" s="97">
        <v>171123.7</v>
      </c>
      <c r="S7" s="97">
        <v>170038.79</v>
      </c>
      <c r="T7" s="97">
        <v>175140.6</v>
      </c>
      <c r="U7" s="97">
        <f>169830.6+9467.9</f>
        <v>179298.5</v>
      </c>
      <c r="V7" s="97">
        <f>175008.69+9500.81</f>
        <v>184509.5</v>
      </c>
      <c r="W7" s="97">
        <f>171441.15+9209.91</f>
        <v>180651.06</v>
      </c>
      <c r="X7" s="97">
        <f>174842.98+9199.3</f>
        <v>184042.28</v>
      </c>
      <c r="Y7" s="97">
        <v>178302.43</v>
      </c>
      <c r="Z7" s="97">
        <f>170131.67+9074.09</f>
        <v>179205.76000000001</v>
      </c>
      <c r="AA7" s="97">
        <f>174902.19+9346.5</f>
        <v>184248.69</v>
      </c>
      <c r="AB7" s="97">
        <f>169376.58+9135.25</f>
        <v>178511.83</v>
      </c>
      <c r="AC7" s="97">
        <f>170014.63+9062.37</f>
        <v>179077</v>
      </c>
      <c r="AD7" s="97">
        <f>174945.65+9014.02</f>
        <v>183959.66999999998</v>
      </c>
      <c r="AE7" s="97">
        <f>179087.44+9759.24</f>
        <v>188846.68</v>
      </c>
      <c r="AF7" s="97">
        <f>183982.55+9535.13</f>
        <v>193517.68</v>
      </c>
      <c r="AG7" s="97">
        <f>191150.59+9806.52</f>
        <v>200957.11</v>
      </c>
      <c r="AH7" s="97">
        <f>192303.82+9599.16</f>
        <v>201902.98</v>
      </c>
      <c r="AI7" s="97">
        <f>+'[1]2551-2552'!$O$25+'[1]2551-2552'!$O$33</f>
        <v>191079.51</v>
      </c>
      <c r="AJ7" s="97">
        <v>185318.39999999999</v>
      </c>
      <c r="AK7" s="97">
        <v>184344.95999999999</v>
      </c>
      <c r="AL7" s="97">
        <v>181016.62</v>
      </c>
      <c r="AM7" s="97">
        <v>179783.83</v>
      </c>
      <c r="AN7" s="97">
        <v>180023.74</v>
      </c>
      <c r="AO7" s="97">
        <v>184055.63</v>
      </c>
      <c r="AP7" s="97">
        <v>184021.11</v>
      </c>
      <c r="AQ7" s="97">
        <v>180535.08</v>
      </c>
      <c r="AR7" s="97">
        <f>179194.11+8540.74</f>
        <v>187734.84999999998</v>
      </c>
      <c r="AS7" s="97">
        <f>170058.22+8179.43</f>
        <v>178237.65</v>
      </c>
      <c r="AT7" s="97">
        <f>171696.89+8086.15</f>
        <v>179783.04000000001</v>
      </c>
      <c r="AU7" s="97">
        <v>179605.88</v>
      </c>
      <c r="AV7" s="97">
        <f>160757.29+7544.63</f>
        <v>168301.92</v>
      </c>
      <c r="AW7" s="97">
        <f>158031.12+7265.1</f>
        <v>165296.22</v>
      </c>
      <c r="AX7" s="97">
        <f>162606.29+7291.91</f>
        <v>169898.2</v>
      </c>
      <c r="AY7" s="97">
        <f>166377.14+7360.9</f>
        <v>173738.04</v>
      </c>
      <c r="AZ7" s="97">
        <f>168471.88+7403.36</f>
        <v>175875.24</v>
      </c>
      <c r="BA7" s="97">
        <f>166763.3+7140.21</f>
        <v>173903.50999999998</v>
      </c>
      <c r="BB7" s="97">
        <v>168194.86</v>
      </c>
      <c r="BC7" s="97">
        <f>164767.73+6899.3</f>
        <v>171667.03</v>
      </c>
      <c r="BD7" s="97">
        <f>158736.14+6676.34</f>
        <v>165412.48000000001</v>
      </c>
      <c r="BE7" s="97">
        <f>163981.1+6774.08</f>
        <v>170755.18</v>
      </c>
      <c r="BF7" s="97">
        <f>167471.64+6894.41</f>
        <v>174366.05000000002</v>
      </c>
      <c r="BG7" s="97">
        <v>171999.32</v>
      </c>
      <c r="BH7" s="97">
        <v>166129.09</v>
      </c>
      <c r="BI7" s="97">
        <v>166359.39000000001</v>
      </c>
      <c r="BJ7" s="97">
        <f>162608.44+6465.58</f>
        <v>169074.02</v>
      </c>
      <c r="BK7" s="97">
        <f>163220.92+6563.73</f>
        <v>169784.65000000002</v>
      </c>
      <c r="BL7" s="97">
        <f>163132.3+6364.57</f>
        <v>169496.87</v>
      </c>
      <c r="BM7" s="97">
        <f>167005.4+6412.44</f>
        <v>173417.84</v>
      </c>
      <c r="BN7" s="97">
        <f>171110.33+6319.96</f>
        <v>177430.28999999998</v>
      </c>
      <c r="BO7" s="97">
        <f>165117.29+6189.03</f>
        <v>171306.32</v>
      </c>
      <c r="BP7" s="97">
        <f>168119.82+6204.15</f>
        <v>174323.97</v>
      </c>
      <c r="BQ7" s="97">
        <f>170643.61+6251.09</f>
        <v>176894.69999999998</v>
      </c>
      <c r="BR7" s="97">
        <f>171038.51+6157.23</f>
        <v>177195.74000000002</v>
      </c>
      <c r="BS7" s="97">
        <f>156287.75+5733.1</f>
        <v>162020.85</v>
      </c>
      <c r="BT7" s="97">
        <f>154907.03+5536.8</f>
        <v>160443.82999999999</v>
      </c>
      <c r="BU7" s="97">
        <f>157444.01+5581.19</f>
        <v>163025.20000000001</v>
      </c>
      <c r="BV7" s="97">
        <f>166007.07+5722.07</f>
        <v>171729.14</v>
      </c>
      <c r="BW7" s="97">
        <f>164281.01+5678.82</f>
        <v>169959.83000000002</v>
      </c>
      <c r="BX7" s="97">
        <f>164118.14+5570.14</f>
        <v>169688.28000000003</v>
      </c>
      <c r="BY7" s="97">
        <f>162985.16+5468.95</f>
        <v>168454.11000000002</v>
      </c>
      <c r="BZ7" s="97">
        <f>160111.84+5209.35</f>
        <v>165321.19</v>
      </c>
      <c r="CA7" s="97">
        <f>155515.23+5114.32</f>
        <v>160629.55000000002</v>
      </c>
      <c r="CB7" s="97">
        <f>150711.03+4981.36</f>
        <v>155692.38999999998</v>
      </c>
      <c r="CC7" s="97">
        <f>143322.75+4838.1</f>
        <v>148160.85</v>
      </c>
      <c r="CD7" s="97">
        <f>133530.86+4560.77</f>
        <v>138091.62999999998</v>
      </c>
      <c r="CE7" s="97">
        <f>131683.45+4421.87</f>
        <v>136105.32</v>
      </c>
      <c r="CF7" s="97">
        <f>125705.94+4079.53</f>
        <v>129785.47</v>
      </c>
      <c r="CG7" s="97">
        <f>112875.22+4023.98</f>
        <v>116899.2</v>
      </c>
      <c r="CH7" s="97">
        <f>107431.11+4028.81</f>
        <v>111459.92</v>
      </c>
      <c r="CI7" s="97">
        <f>112105.38+4183.16</f>
        <v>116288.54000000001</v>
      </c>
      <c r="CJ7" s="97">
        <f>112771.62+3880.43</f>
        <v>116652.04999999999</v>
      </c>
      <c r="CK7" s="97">
        <f>114853.27+3834.25</f>
        <v>118687.52</v>
      </c>
      <c r="CL7" s="97">
        <f>113263.51+3679.21</f>
        <v>116942.72</v>
      </c>
      <c r="CM7" s="97">
        <v>116150.02</v>
      </c>
      <c r="CN7" s="97">
        <v>115734.81999999999</v>
      </c>
      <c r="CO7" s="97">
        <f>112507.92+3378.2</f>
        <v>115886.12</v>
      </c>
      <c r="CP7" s="98">
        <f>114029.9+3302.32</f>
        <v>117332.22</v>
      </c>
      <c r="CQ7" s="98">
        <f>114975+3265.51</f>
        <v>118240.51</v>
      </c>
      <c r="CR7" s="98">
        <f>113524.27+3197.29</f>
        <v>116721.56</v>
      </c>
      <c r="CS7" s="98">
        <f>113194.66+3194.81</f>
        <v>116389.47</v>
      </c>
      <c r="CT7" s="98">
        <f>114453+3160.88</f>
        <v>117613.88</v>
      </c>
      <c r="CU7" s="98">
        <f>113299.97+3128.72</f>
        <v>116428.69</v>
      </c>
      <c r="CV7" s="98">
        <f>110873.9+3038.69</f>
        <v>113912.59</v>
      </c>
      <c r="CW7" s="98">
        <f>109878.22+3005.05</f>
        <v>112883.27</v>
      </c>
      <c r="CX7" s="98">
        <f>107511.78+2894.79</f>
        <v>110406.56999999999</v>
      </c>
      <c r="CY7" s="98">
        <f>107257.59+2896.16</f>
        <v>110153.75</v>
      </c>
      <c r="CZ7" s="98">
        <f>104528.84+2857.45</f>
        <v>107386.29</v>
      </c>
      <c r="DA7" s="98">
        <f>103265.91+2831.91</f>
        <v>106097.82</v>
      </c>
      <c r="DB7" s="98">
        <f>102686.61+2738.98</f>
        <v>105425.59</v>
      </c>
      <c r="DC7" s="98">
        <f>101670.54+2702.21</f>
        <v>104372.75</v>
      </c>
      <c r="DD7" s="98">
        <f>100508.86+2588.31</f>
        <v>103097.17</v>
      </c>
      <c r="DE7" s="98">
        <f>100928.08+2597.04</f>
        <v>103525.12</v>
      </c>
      <c r="DF7" s="98">
        <f>99926.44+2564.29</f>
        <v>102490.73</v>
      </c>
      <c r="DG7" s="98">
        <f>99634.99+2544.57</f>
        <v>102179.56000000001</v>
      </c>
      <c r="DH7" s="98">
        <v>102039.96</v>
      </c>
      <c r="DI7" s="98">
        <v>103286.59</v>
      </c>
      <c r="DJ7" s="98">
        <v>102905.98</v>
      </c>
      <c r="DK7" s="98">
        <v>101457.67</v>
      </c>
      <c r="DL7" s="98">
        <v>99396.3</v>
      </c>
      <c r="DM7" s="98">
        <v>99633.4</v>
      </c>
      <c r="DN7" s="98">
        <v>98652.56</v>
      </c>
      <c r="DO7" s="98">
        <v>100133.01</v>
      </c>
      <c r="DP7" s="98">
        <v>98709.6</v>
      </c>
      <c r="DQ7" s="98">
        <v>99540.27</v>
      </c>
      <c r="DR7" s="98">
        <v>98663.25</v>
      </c>
      <c r="DS7" s="98">
        <v>99027.739999999991</v>
      </c>
      <c r="DT7" s="98">
        <f>96429.98+901.05</f>
        <v>97331.03</v>
      </c>
      <c r="DU7" s="98">
        <f>96185.92+870.21</f>
        <v>97056.13</v>
      </c>
      <c r="DV7" s="98">
        <v>96578.2</v>
      </c>
      <c r="DW7" s="98">
        <v>95272.6</v>
      </c>
      <c r="DX7" s="98">
        <v>92980.59</v>
      </c>
      <c r="DY7" s="98">
        <f>90642.04+763.91</f>
        <v>91405.95</v>
      </c>
      <c r="DZ7" s="98">
        <f>89989.59+676.38</f>
        <v>90665.97</v>
      </c>
      <c r="EA7" s="98">
        <v>90326.13</v>
      </c>
      <c r="EB7" s="98">
        <v>88892.1</v>
      </c>
      <c r="EC7" s="98">
        <v>88917.97</v>
      </c>
      <c r="ED7" s="98">
        <v>88021.13</v>
      </c>
      <c r="EE7" s="98">
        <v>87127.59</v>
      </c>
      <c r="EF7" s="98">
        <v>85939.29</v>
      </c>
      <c r="EG7" s="98">
        <v>85411.5</v>
      </c>
      <c r="EH7" s="98">
        <v>83770.909999999989</v>
      </c>
      <c r="EI7" s="98">
        <v>83094.78</v>
      </c>
      <c r="EJ7" s="98">
        <v>82396.88</v>
      </c>
      <c r="EK7" s="98">
        <v>81746.489999999991</v>
      </c>
      <c r="EL7" s="98">
        <v>80670.44</v>
      </c>
      <c r="EM7" s="98">
        <v>80644.95</v>
      </c>
      <c r="EN7" s="98">
        <v>79491.990000000005</v>
      </c>
      <c r="EO7" s="98">
        <v>76176.69</v>
      </c>
      <c r="EP7" s="98">
        <v>76119.02</v>
      </c>
      <c r="EQ7" s="98">
        <v>75738.210000000006</v>
      </c>
      <c r="ER7" s="98">
        <v>74852.62</v>
      </c>
      <c r="ES7" s="98">
        <v>74220.13</v>
      </c>
      <c r="ET7" s="98">
        <v>72299.22</v>
      </c>
      <c r="EU7" s="98">
        <v>72582.14</v>
      </c>
      <c r="EV7" s="98">
        <v>71787.450000000012</v>
      </c>
      <c r="EW7" s="98">
        <v>71501.37</v>
      </c>
      <c r="EX7" s="98">
        <v>70126.880000000005</v>
      </c>
      <c r="EY7" s="98">
        <v>69686.759999999995</v>
      </c>
      <c r="EZ7" s="98">
        <v>68810.95</v>
      </c>
      <c r="FA7" s="98">
        <v>51223.17</v>
      </c>
      <c r="FB7" s="98">
        <v>51239.94</v>
      </c>
      <c r="FC7" s="98">
        <v>50662.94</v>
      </c>
      <c r="FD7" s="98">
        <v>49724.34</v>
      </c>
      <c r="FE7" s="98">
        <v>49955.21</v>
      </c>
      <c r="FF7" s="98">
        <v>48539.71</v>
      </c>
      <c r="FG7" s="98">
        <v>48133.18</v>
      </c>
      <c r="FH7" s="98">
        <v>48081.880000000005</v>
      </c>
      <c r="FI7" s="99">
        <f>FH7-FG7</f>
        <v>-51.299999999995634</v>
      </c>
    </row>
    <row r="8" spans="1:165" ht="24.95" customHeight="1" x14ac:dyDescent="0.2">
      <c r="B8" s="96" t="s">
        <v>6</v>
      </c>
      <c r="C8" s="97">
        <v>314614.59999999998</v>
      </c>
      <c r="D8" s="97">
        <v>314343.34999999998</v>
      </c>
      <c r="E8" s="97">
        <v>316748.56</v>
      </c>
      <c r="F8" s="97">
        <v>327178.42</v>
      </c>
      <c r="G8" s="97">
        <v>324886.73</v>
      </c>
      <c r="H8" s="97">
        <v>318282.07</v>
      </c>
      <c r="I8" s="97">
        <v>318719.52</v>
      </c>
      <c r="J8" s="97">
        <v>318759.96999999997</v>
      </c>
      <c r="K8" s="97">
        <v>314454.63</v>
      </c>
      <c r="L8" s="97">
        <v>314304.69</v>
      </c>
      <c r="M8" s="97">
        <v>314243.40999999997</v>
      </c>
      <c r="N8" s="97">
        <v>315371.78999999998</v>
      </c>
      <c r="O8" s="97">
        <v>327192.45</v>
      </c>
      <c r="P8" s="97">
        <v>329312.17</v>
      </c>
      <c r="Q8" s="97">
        <v>329113.09999999998</v>
      </c>
      <c r="R8" s="97">
        <v>335657.42</v>
      </c>
      <c r="S8" s="97">
        <v>355653.46</v>
      </c>
      <c r="T8" s="97">
        <v>370389.5</v>
      </c>
      <c r="U8" s="97">
        <f>370143.13+93153</f>
        <v>463296.13</v>
      </c>
      <c r="V8" s="97">
        <f>370370.04+88178.33</f>
        <v>458548.37</v>
      </c>
      <c r="W8" s="97">
        <f>380879.09+90391.74</f>
        <v>471270.83</v>
      </c>
      <c r="X8" s="97">
        <v>471511.79</v>
      </c>
      <c r="Y8" s="97">
        <v>482485.31</v>
      </c>
      <c r="Z8" s="97">
        <f>400666.51+82422.29</f>
        <v>483088.8</v>
      </c>
      <c r="AA8" s="97">
        <v>487469.66</v>
      </c>
      <c r="AB8" s="97">
        <f>398306.55+83950</f>
        <v>482256.55</v>
      </c>
      <c r="AC8" s="97">
        <f>396090.09+88332.75</f>
        <v>484422.84</v>
      </c>
      <c r="AD8" s="97">
        <f>397694.28+93332.27</f>
        <v>491026.55000000005</v>
      </c>
      <c r="AE8" s="97">
        <f>400489.59+90332.27</f>
        <v>490821.86000000004</v>
      </c>
      <c r="AF8" s="97">
        <f>397374.44+110402.27</f>
        <v>507776.71</v>
      </c>
      <c r="AG8" s="97">
        <f>395619.24+134132.27</f>
        <v>529751.51</v>
      </c>
      <c r="AH8" s="97">
        <f>392166.79+160132.27</f>
        <v>552299.05999999994</v>
      </c>
      <c r="AI8" s="97">
        <f>+'[1]2551-2552'!$O$27+'[1]2551-2552'!$O$35</f>
        <v>565247.88</v>
      </c>
      <c r="AJ8" s="97">
        <v>576856.44999999995</v>
      </c>
      <c r="AK8" s="97">
        <v>580233.36</v>
      </c>
      <c r="AL8" s="97">
        <v>583726.49</v>
      </c>
      <c r="AM8" s="97">
        <v>584285.73</v>
      </c>
      <c r="AN8" s="97">
        <v>581553.36</v>
      </c>
      <c r="AO8" s="97">
        <v>580870.12</v>
      </c>
      <c r="AP8" s="97">
        <v>584244.21</v>
      </c>
      <c r="AQ8" s="97">
        <v>581913.21</v>
      </c>
      <c r="AR8" s="97">
        <f>375281.63+192894.47</f>
        <v>568176.1</v>
      </c>
      <c r="AS8" s="97">
        <f>372011.15+190254.47</f>
        <v>562265.62</v>
      </c>
      <c r="AT8" s="97">
        <f>370532.58+182074.47</f>
        <v>552607.05000000005</v>
      </c>
      <c r="AU8" s="97">
        <v>553378.34</v>
      </c>
      <c r="AV8" s="97">
        <f>376303.54+181024.47</f>
        <v>557328.01</v>
      </c>
      <c r="AW8" s="97">
        <f>373783.88+181894.47</f>
        <v>555678.35</v>
      </c>
      <c r="AX8" s="97">
        <f>376983.41+171106.47</f>
        <v>548089.88</v>
      </c>
      <c r="AY8" s="97">
        <f>372969.43+173106.47</f>
        <v>546075.9</v>
      </c>
      <c r="AZ8" s="97">
        <f>371150.66+174190.45</f>
        <v>545341.11</v>
      </c>
      <c r="BA8" s="97">
        <f>372768.78+174190.45</f>
        <v>546959.23</v>
      </c>
      <c r="BB8" s="97">
        <v>543670.78</v>
      </c>
      <c r="BC8" s="97">
        <f>367668.35+168452.59</f>
        <v>536120.93999999994</v>
      </c>
      <c r="BD8" s="97">
        <f>364782.33+164408.1</f>
        <v>529190.43000000005</v>
      </c>
      <c r="BE8" s="97">
        <f>356216.08+161318.1</f>
        <v>517534.18000000005</v>
      </c>
      <c r="BF8" s="97">
        <f>356462.56+155182</f>
        <v>511644.56</v>
      </c>
      <c r="BG8" s="97">
        <v>507363.56</v>
      </c>
      <c r="BH8" s="97">
        <v>502900.7</v>
      </c>
      <c r="BI8" s="97">
        <v>500346.3</v>
      </c>
      <c r="BJ8" s="97">
        <f>354521.16+151742</f>
        <v>506263.16</v>
      </c>
      <c r="BK8" s="97">
        <f>353906.67+151742</f>
        <v>505648.67</v>
      </c>
      <c r="BL8" s="97">
        <f>360515.72+151742</f>
        <v>512257.72</v>
      </c>
      <c r="BM8" s="97">
        <f>356764.21+149212</f>
        <v>505976.21</v>
      </c>
      <c r="BN8" s="97">
        <f>356320.28+150622</f>
        <v>506942.28</v>
      </c>
      <c r="BO8" s="97">
        <f>352722.01+148272</f>
        <v>500994.01</v>
      </c>
      <c r="BP8" s="97">
        <f>350205.22+148658</f>
        <v>498863.22</v>
      </c>
      <c r="BQ8" s="97">
        <f>350044.45+142113</f>
        <v>492157.45</v>
      </c>
      <c r="BR8" s="97">
        <f>349160.44+161113</f>
        <v>510273.44</v>
      </c>
      <c r="BS8" s="97">
        <f>323336.72+157480</f>
        <v>480816.72</v>
      </c>
      <c r="BT8" s="97">
        <f>320641.75+157008</f>
        <v>477649.75</v>
      </c>
      <c r="BU8" s="97">
        <f>320736.84+153008</f>
        <v>473744.84</v>
      </c>
      <c r="BV8" s="97">
        <f>323370.94+189508</f>
        <v>512878.94</v>
      </c>
      <c r="BW8" s="97">
        <f>318937.06+240758</f>
        <v>559695.06000000006</v>
      </c>
      <c r="BX8" s="97">
        <f>323632.13+301758</f>
        <v>625390.13</v>
      </c>
      <c r="BY8" s="97">
        <f>326829.43+346518</f>
        <v>673347.42999999993</v>
      </c>
      <c r="BZ8" s="97">
        <f>335365.67+346998</f>
        <v>682363.66999999993</v>
      </c>
      <c r="CA8" s="97">
        <f>323775.34+360147</f>
        <v>683922.34000000008</v>
      </c>
      <c r="CB8" s="97">
        <f>321686.52+359815</f>
        <v>681501.52</v>
      </c>
      <c r="CC8" s="97">
        <f>322070.42+359726</f>
        <v>681796.41999999993</v>
      </c>
      <c r="CD8" s="97">
        <f>322008.79+433904.8</f>
        <v>755913.59</v>
      </c>
      <c r="CE8" s="97">
        <f>327215.88+433452.5</f>
        <v>760668.38</v>
      </c>
      <c r="CF8" s="97">
        <f>329521.35+489572.7</f>
        <v>819094.05</v>
      </c>
      <c r="CG8" s="97">
        <f>330843.77+497437.6</f>
        <v>828281.37</v>
      </c>
      <c r="CH8" s="97">
        <f>332379.38+497334.5</f>
        <v>829713.88</v>
      </c>
      <c r="CI8" s="97">
        <f>331629.38+486038.9</f>
        <v>817668.28</v>
      </c>
      <c r="CJ8" s="97">
        <f>331195.77+487953.7</f>
        <v>819149.47</v>
      </c>
      <c r="CK8" s="97">
        <f>332135.34+520305.1</f>
        <v>852440.44</v>
      </c>
      <c r="CL8" s="97">
        <f>335852.5+538252.8</f>
        <v>874105.3</v>
      </c>
      <c r="CM8" s="97">
        <v>843837.99</v>
      </c>
      <c r="CN8" s="97">
        <v>828434.32000000007</v>
      </c>
      <c r="CO8" s="97">
        <f>324936.05+533524.7</f>
        <v>858460.75</v>
      </c>
      <c r="CP8" s="98">
        <f>533157.2+326005.22</f>
        <v>859162.41999999993</v>
      </c>
      <c r="CQ8" s="98">
        <f>323355.22+530157.2</f>
        <v>853512.41999999993</v>
      </c>
      <c r="CR8" s="98">
        <f>314809.22+529032.8</f>
        <v>843842.02</v>
      </c>
      <c r="CS8" s="98">
        <f>314851.22+529015.5</f>
        <v>843866.72</v>
      </c>
      <c r="CT8" s="98">
        <f>316828.94+528798.1</f>
        <v>845627.04</v>
      </c>
      <c r="CU8" s="98">
        <f>314753.66+617732.5</f>
        <v>932486.15999999992</v>
      </c>
      <c r="CV8" s="98">
        <f>317781.06+617401.4</f>
        <v>935182.46</v>
      </c>
      <c r="CW8" s="98">
        <f>328321.06+612376.8</f>
        <v>940697.8600000001</v>
      </c>
      <c r="CX8" s="98">
        <f>318385.05+623613.4</f>
        <v>941998.45</v>
      </c>
      <c r="CY8" s="98">
        <f>318246.53+589423.44</f>
        <v>907669.97</v>
      </c>
      <c r="CZ8" s="98">
        <f>317658.83+586813.44</f>
        <v>904472.27</v>
      </c>
      <c r="DA8" s="98">
        <f>317881.75+584711.44</f>
        <v>902593.19</v>
      </c>
      <c r="DB8" s="98">
        <f>318817.46+582884.74</f>
        <v>901702.2</v>
      </c>
      <c r="DC8" s="98">
        <f>324801.69+577395.71</f>
        <v>902197.39999999991</v>
      </c>
      <c r="DD8" s="98">
        <f>324044.04+574174.71</f>
        <v>898218.75</v>
      </c>
      <c r="DE8" s="98">
        <f>321148.79+570388.71</f>
        <v>891537.5</v>
      </c>
      <c r="DF8" s="98">
        <f>323702.94+565799.7</f>
        <v>889502.6399999999</v>
      </c>
      <c r="DG8" s="98">
        <f>322895.92+559434.7</f>
        <v>882330.61999999988</v>
      </c>
      <c r="DH8" s="98">
        <v>878343.53</v>
      </c>
      <c r="DI8" s="98">
        <v>872420.81</v>
      </c>
      <c r="DJ8" s="98">
        <v>864510.09</v>
      </c>
      <c r="DK8" s="98">
        <v>860491.55</v>
      </c>
      <c r="DL8" s="98">
        <v>854720.7</v>
      </c>
      <c r="DM8" s="98">
        <v>852229.34</v>
      </c>
      <c r="DN8" s="98">
        <v>852254.34</v>
      </c>
      <c r="DO8" s="98">
        <v>848676.34</v>
      </c>
      <c r="DP8" s="98">
        <v>843348.64</v>
      </c>
      <c r="DQ8" s="98">
        <v>842729.64</v>
      </c>
      <c r="DR8" s="98">
        <v>841491.64</v>
      </c>
      <c r="DS8" s="98">
        <v>840453.36</v>
      </c>
      <c r="DT8" s="98">
        <f>325066.95+513877.41</f>
        <v>838944.36</v>
      </c>
      <c r="DU8" s="98">
        <f>326141.86+506763.41</f>
        <v>832905.27</v>
      </c>
      <c r="DV8" s="98">
        <v>827069.91</v>
      </c>
      <c r="DW8" s="98">
        <v>814821.46</v>
      </c>
      <c r="DX8" s="98">
        <v>797451.73</v>
      </c>
      <c r="DY8" s="98">
        <f>328358.32+465483.41</f>
        <v>793841.73</v>
      </c>
      <c r="DZ8" s="98">
        <f>333409.73+463009.41</f>
        <v>796419.1399999999</v>
      </c>
      <c r="EA8" s="98">
        <v>794207.16</v>
      </c>
      <c r="EB8" s="98">
        <v>786109.1</v>
      </c>
      <c r="EC8" s="98">
        <v>781586.35</v>
      </c>
      <c r="ED8" s="98">
        <v>774427.51</v>
      </c>
      <c r="EE8" s="98">
        <v>768979.17</v>
      </c>
      <c r="EF8" s="98">
        <v>765752.73</v>
      </c>
      <c r="EG8" s="98">
        <v>761588.8</v>
      </c>
      <c r="EH8" s="98">
        <v>760690.04</v>
      </c>
      <c r="EI8" s="98">
        <v>733850.52</v>
      </c>
      <c r="EJ8" s="98">
        <v>731517.94</v>
      </c>
      <c r="EK8" s="98">
        <v>727994.47</v>
      </c>
      <c r="EL8" s="98">
        <v>720840.48</v>
      </c>
      <c r="EM8" s="98">
        <v>720195.57000000007</v>
      </c>
      <c r="EN8" s="98">
        <v>714641.57000000007</v>
      </c>
      <c r="EO8" s="98">
        <v>714802.42</v>
      </c>
      <c r="EP8" s="98">
        <v>714310.45</v>
      </c>
      <c r="EQ8" s="98">
        <v>713989.85000000009</v>
      </c>
      <c r="ER8" s="98">
        <v>713576.44</v>
      </c>
      <c r="ES8" s="98">
        <v>712850</v>
      </c>
      <c r="ET8" s="98">
        <v>708920.08000000007</v>
      </c>
      <c r="EU8" s="98">
        <v>683347.52</v>
      </c>
      <c r="EV8" s="98">
        <v>681518.44</v>
      </c>
      <c r="EW8" s="98">
        <v>680393.95</v>
      </c>
      <c r="EX8" s="98">
        <v>676020.69</v>
      </c>
      <c r="EY8" s="98">
        <v>673457.33</v>
      </c>
      <c r="EZ8" s="98">
        <v>672827.38</v>
      </c>
      <c r="FA8" s="98">
        <v>672050.71</v>
      </c>
      <c r="FB8" s="98">
        <v>674994.38</v>
      </c>
      <c r="FC8" s="98">
        <v>681522.62</v>
      </c>
      <c r="FD8" s="98">
        <v>684778.72</v>
      </c>
      <c r="FE8" s="98">
        <v>683205.24</v>
      </c>
      <c r="FF8" s="98">
        <v>686585.22</v>
      </c>
      <c r="FG8" s="98">
        <v>684454.49</v>
      </c>
      <c r="FH8" s="98">
        <v>683865.19</v>
      </c>
      <c r="FI8" s="99">
        <f t="shared" ref="FI8:FI10" si="18">FH8-FG8</f>
        <v>-589.30000000004657</v>
      </c>
    </row>
    <row r="9" spans="1:165" ht="24.95" customHeight="1" x14ac:dyDescent="0.2">
      <c r="B9" s="96" t="s">
        <v>7</v>
      </c>
      <c r="C9" s="97">
        <v>124000.12</v>
      </c>
      <c r="D9" s="97">
        <v>122229.56</v>
      </c>
      <c r="E9" s="97">
        <v>120657.48</v>
      </c>
      <c r="F9" s="97">
        <v>119084.67</v>
      </c>
      <c r="G9" s="97">
        <v>108689.7</v>
      </c>
      <c r="H9" s="97">
        <v>117064</v>
      </c>
      <c r="I9" s="97">
        <v>133112.48000000001</v>
      </c>
      <c r="J9" s="97">
        <v>130142.76</v>
      </c>
      <c r="K9" s="97">
        <v>129889.61</v>
      </c>
      <c r="L9" s="97">
        <v>128201.54</v>
      </c>
      <c r="M9" s="97">
        <v>131097.21</v>
      </c>
      <c r="N9" s="97">
        <v>128991.07</v>
      </c>
      <c r="O9" s="97">
        <v>127660.88</v>
      </c>
      <c r="P9" s="97">
        <v>135654.29</v>
      </c>
      <c r="Q9" s="97">
        <v>136171.47</v>
      </c>
      <c r="R9" s="97">
        <v>134295.99</v>
      </c>
      <c r="S9" s="97">
        <v>137572.01</v>
      </c>
      <c r="T9" s="97">
        <v>138523.51999999999</v>
      </c>
      <c r="U9" s="97">
        <v>136184.04</v>
      </c>
      <c r="V9" s="97">
        <v>134602.19</v>
      </c>
      <c r="W9" s="97">
        <v>131017.85</v>
      </c>
      <c r="X9" s="97">
        <v>131864.34</v>
      </c>
      <c r="Y9" s="97">
        <v>130284.67</v>
      </c>
      <c r="Z9" s="97">
        <v>132051.98000000001</v>
      </c>
      <c r="AA9" s="97">
        <v>136608.07</v>
      </c>
      <c r="AB9" s="97">
        <v>134519.35999999999</v>
      </c>
      <c r="AC9" s="97">
        <v>132980.65</v>
      </c>
      <c r="AD9" s="97">
        <v>136497.34</v>
      </c>
      <c r="AE9" s="97">
        <v>149205.88</v>
      </c>
      <c r="AF9" s="97">
        <v>137700.47</v>
      </c>
      <c r="AG9" s="97">
        <v>140880.71</v>
      </c>
      <c r="AH9" s="97">
        <v>135603.04999999999</v>
      </c>
      <c r="AI9" s="97">
        <f>+'[1]2551-2552'!$O$29</f>
        <v>136505.46</v>
      </c>
      <c r="AJ9" s="97">
        <v>135608.43</v>
      </c>
      <c r="AK9" s="97">
        <v>134155.79</v>
      </c>
      <c r="AL9" s="97">
        <v>137907.24</v>
      </c>
      <c r="AM9" s="97">
        <v>136330.07999999999</v>
      </c>
      <c r="AN9" s="97">
        <v>137441.54</v>
      </c>
      <c r="AO9" s="97">
        <v>138062.48000000001</v>
      </c>
      <c r="AP9" s="97">
        <v>137357.84</v>
      </c>
      <c r="AQ9" s="97">
        <v>137105.53</v>
      </c>
      <c r="AR9" s="97">
        <v>137596.97</v>
      </c>
      <c r="AS9" s="97">
        <v>141585.01</v>
      </c>
      <c r="AT9" s="97">
        <v>138593.46</v>
      </c>
      <c r="AU9" s="97">
        <v>142941.82999999999</v>
      </c>
      <c r="AV9" s="97">
        <v>149957.46</v>
      </c>
      <c r="AW9" s="97">
        <v>140521.12</v>
      </c>
      <c r="AX9" s="97">
        <v>146127</v>
      </c>
      <c r="AY9" s="97">
        <v>144986.29</v>
      </c>
      <c r="AZ9" s="97">
        <v>147291.01</v>
      </c>
      <c r="BA9" s="97">
        <v>141157.69</v>
      </c>
      <c r="BB9" s="97">
        <v>140141.73000000001</v>
      </c>
      <c r="BC9" s="97">
        <v>139157.49</v>
      </c>
      <c r="BD9" s="97">
        <v>132777.53</v>
      </c>
      <c r="BE9" s="97">
        <v>132675.88</v>
      </c>
      <c r="BF9" s="97">
        <v>134700.29</v>
      </c>
      <c r="BG9" s="97">
        <v>132356.13</v>
      </c>
      <c r="BH9" s="97">
        <v>130891.14</v>
      </c>
      <c r="BI9" s="97">
        <v>130457.44</v>
      </c>
      <c r="BJ9" s="97">
        <v>128818.49</v>
      </c>
      <c r="BK9" s="97">
        <v>130435.85</v>
      </c>
      <c r="BL9" s="97">
        <v>125318.29</v>
      </c>
      <c r="BM9" s="97">
        <v>126452.84</v>
      </c>
      <c r="BN9" s="97">
        <v>127547.11</v>
      </c>
      <c r="BO9" s="97">
        <v>125659.62</v>
      </c>
      <c r="BP9" s="97">
        <v>126288.08</v>
      </c>
      <c r="BQ9" s="97">
        <v>123254.46</v>
      </c>
      <c r="BR9" s="97">
        <v>120749.52</v>
      </c>
      <c r="BS9" s="97">
        <v>119273.93</v>
      </c>
      <c r="BT9" s="97">
        <v>120002.41</v>
      </c>
      <c r="BU9" s="97">
        <v>118799.75</v>
      </c>
      <c r="BV9" s="97">
        <v>118616.23</v>
      </c>
      <c r="BW9" s="97">
        <v>117963.1</v>
      </c>
      <c r="BX9" s="97">
        <v>115642.33</v>
      </c>
      <c r="BY9" s="97">
        <v>114798.55</v>
      </c>
      <c r="BZ9" s="97">
        <v>122702.89</v>
      </c>
      <c r="CA9" s="97">
        <v>123295.25</v>
      </c>
      <c r="CB9" s="97">
        <v>160515.48000000001</v>
      </c>
      <c r="CC9" s="97">
        <v>165178.74</v>
      </c>
      <c r="CD9" s="97">
        <v>163385.04</v>
      </c>
      <c r="CE9" s="97">
        <v>160762.35</v>
      </c>
      <c r="CF9" s="97">
        <v>161645.57999999999</v>
      </c>
      <c r="CG9" s="97">
        <v>163794.57</v>
      </c>
      <c r="CH9" s="97">
        <v>165828.63</v>
      </c>
      <c r="CI9" s="97">
        <v>170537.78</v>
      </c>
      <c r="CJ9" s="97">
        <v>186777.62</v>
      </c>
      <c r="CK9" s="97">
        <v>185944.26</v>
      </c>
      <c r="CL9" s="97">
        <v>191292.31</v>
      </c>
      <c r="CM9" s="97">
        <v>185871.01</v>
      </c>
      <c r="CN9" s="97">
        <v>183830.82</v>
      </c>
      <c r="CO9" s="97">
        <v>182481.57</v>
      </c>
      <c r="CP9" s="98">
        <v>186481.25</v>
      </c>
      <c r="CQ9" s="98">
        <v>194773.08</v>
      </c>
      <c r="CR9" s="98">
        <v>193415.56</v>
      </c>
      <c r="CS9" s="98">
        <v>192461.26</v>
      </c>
      <c r="CT9" s="98">
        <v>191764.85</v>
      </c>
      <c r="CU9" s="98">
        <v>190406.19</v>
      </c>
      <c r="CV9" s="98">
        <v>181730.96</v>
      </c>
      <c r="CW9" s="98">
        <v>175235.86</v>
      </c>
      <c r="CX9" s="98">
        <v>172586.48</v>
      </c>
      <c r="CY9" s="98">
        <v>172905.26</v>
      </c>
      <c r="CZ9" s="98">
        <v>171784.64</v>
      </c>
      <c r="DA9" s="98">
        <v>167575.04999999999</v>
      </c>
      <c r="DB9" s="98">
        <v>167626.38</v>
      </c>
      <c r="DC9" s="98">
        <v>164219.67000000001</v>
      </c>
      <c r="DD9" s="98">
        <v>161713.95000000001</v>
      </c>
      <c r="DE9" s="98">
        <v>164135.9</v>
      </c>
      <c r="DF9" s="98">
        <v>156102.64000000001</v>
      </c>
      <c r="DG9" s="98">
        <v>161352.01</v>
      </c>
      <c r="DH9" s="98">
        <v>162855.63</v>
      </c>
      <c r="DI9" s="98">
        <v>166418.89000000001</v>
      </c>
      <c r="DJ9" s="98">
        <v>172700.39</v>
      </c>
      <c r="DK9" s="98">
        <v>167832.98</v>
      </c>
      <c r="DL9" s="98">
        <v>167469.07999999999</v>
      </c>
      <c r="DM9" s="98">
        <v>169195.67</v>
      </c>
      <c r="DN9" s="98">
        <v>167186.45000000001</v>
      </c>
      <c r="DO9" s="98">
        <v>167249.71</v>
      </c>
      <c r="DP9" s="98">
        <v>165643.29</v>
      </c>
      <c r="DQ9" s="98">
        <v>156967.32</v>
      </c>
      <c r="DR9" s="98">
        <v>158322.76</v>
      </c>
      <c r="DS9" s="98">
        <v>155308.47</v>
      </c>
      <c r="DT9" s="98">
        <v>153040.85999999999</v>
      </c>
      <c r="DU9" s="98">
        <v>151679</v>
      </c>
      <c r="DV9" s="98">
        <v>151124.09</v>
      </c>
      <c r="DW9" s="98">
        <v>150266.59</v>
      </c>
      <c r="DX9" s="98">
        <v>142506.32</v>
      </c>
      <c r="DY9" s="98">
        <v>141536.37</v>
      </c>
      <c r="DZ9" s="98">
        <v>135695.21</v>
      </c>
      <c r="EA9" s="98">
        <v>133465.94</v>
      </c>
      <c r="EB9" s="98">
        <v>128386.5</v>
      </c>
      <c r="EC9" s="98">
        <v>133234.32999999999</v>
      </c>
      <c r="ED9" s="98">
        <v>131779.99</v>
      </c>
      <c r="EE9" s="98">
        <v>125240.56</v>
      </c>
      <c r="EF9" s="98">
        <v>123257.05</v>
      </c>
      <c r="EG9" s="98">
        <v>122672.5</v>
      </c>
      <c r="EH9" s="98">
        <v>121603.55</v>
      </c>
      <c r="EI9" s="98">
        <v>119803.16</v>
      </c>
      <c r="EJ9" s="98">
        <v>117724.15</v>
      </c>
      <c r="EK9" s="98">
        <v>117114.33</v>
      </c>
      <c r="EL9" s="98">
        <v>101650.92</v>
      </c>
      <c r="EM9" s="98">
        <v>100900.33</v>
      </c>
      <c r="EN9" s="98">
        <v>96001.55</v>
      </c>
      <c r="EO9" s="98">
        <v>96771.07</v>
      </c>
      <c r="EP9" s="98">
        <v>100160.87</v>
      </c>
      <c r="EQ9" s="98">
        <v>101844.41</v>
      </c>
      <c r="ER9" s="98">
        <v>101822.65</v>
      </c>
      <c r="ES9" s="98">
        <v>99232.02</v>
      </c>
      <c r="ET9" s="98">
        <v>106028.67</v>
      </c>
      <c r="EU9" s="98">
        <v>105500.99</v>
      </c>
      <c r="EV9" s="98">
        <v>101867.73</v>
      </c>
      <c r="EW9" s="98">
        <v>97969.279999999999</v>
      </c>
      <c r="EX9" s="98">
        <v>92307.89</v>
      </c>
      <c r="EY9" s="98">
        <v>89895.66</v>
      </c>
      <c r="EZ9" s="98">
        <v>95730.87</v>
      </c>
      <c r="FA9" s="98">
        <v>93034.93</v>
      </c>
      <c r="FB9" s="98">
        <v>90103.37</v>
      </c>
      <c r="FC9" s="98">
        <v>85003.1</v>
      </c>
      <c r="FD9" s="98">
        <v>89485.98</v>
      </c>
      <c r="FE9" s="98">
        <v>86571.49</v>
      </c>
      <c r="FF9" s="98">
        <v>84863.67</v>
      </c>
      <c r="FG9" s="98">
        <v>63919.72</v>
      </c>
      <c r="FH9" s="98">
        <v>62129.82</v>
      </c>
      <c r="FI9" s="99">
        <f t="shared" si="18"/>
        <v>-1789.9000000000015</v>
      </c>
    </row>
    <row r="10" spans="1:165" ht="24.95" customHeight="1" x14ac:dyDescent="0.2">
      <c r="B10" s="96" t="s">
        <v>8</v>
      </c>
      <c r="C10" s="97">
        <v>259139.76</v>
      </c>
      <c r="D10" s="97">
        <v>263931.06</v>
      </c>
      <c r="E10" s="97">
        <v>267069.33</v>
      </c>
      <c r="F10" s="97">
        <v>270112.26</v>
      </c>
      <c r="G10" s="97">
        <v>283085.96999999997</v>
      </c>
      <c r="H10" s="97">
        <v>278897.46999999997</v>
      </c>
      <c r="I10" s="97">
        <v>277843.8</v>
      </c>
      <c r="J10" s="97">
        <v>276742.87</v>
      </c>
      <c r="K10" s="97">
        <v>277305.69</v>
      </c>
      <c r="L10" s="97">
        <v>268104.59000000003</v>
      </c>
      <c r="M10" s="97">
        <v>267283.81</v>
      </c>
      <c r="N10" s="97">
        <v>268488.43</v>
      </c>
      <c r="O10" s="97">
        <v>269299.53000000003</v>
      </c>
      <c r="P10" s="97">
        <v>266823.87</v>
      </c>
      <c r="Q10" s="97">
        <v>266942.51</v>
      </c>
      <c r="R10" s="97">
        <v>266248.71000000002</v>
      </c>
      <c r="S10" s="97">
        <v>266536.99</v>
      </c>
      <c r="T10" s="97">
        <v>266034.15000000002</v>
      </c>
      <c r="U10" s="97">
        <v>263114.25</v>
      </c>
      <c r="V10" s="97">
        <v>261315.78</v>
      </c>
      <c r="W10" s="97">
        <v>262497.7</v>
      </c>
      <c r="X10" s="97">
        <v>260391.5</v>
      </c>
      <c r="Y10" s="97">
        <v>250936.2</v>
      </c>
      <c r="Z10" s="97">
        <v>246730.32</v>
      </c>
      <c r="AA10" s="97">
        <v>244962.41</v>
      </c>
      <c r="AB10" s="97">
        <v>251984.05</v>
      </c>
      <c r="AC10" s="97">
        <v>277758.3</v>
      </c>
      <c r="AD10" s="97">
        <v>279402.44</v>
      </c>
      <c r="AE10" s="97">
        <v>302714.64</v>
      </c>
      <c r="AF10" s="97">
        <v>309065.38</v>
      </c>
      <c r="AG10" s="97">
        <v>319612.39</v>
      </c>
      <c r="AH10" s="97">
        <v>309113.09000000003</v>
      </c>
      <c r="AI10" s="97">
        <f>+'[1]2551-2552'!$O$31</f>
        <v>314847.18</v>
      </c>
      <c r="AJ10" s="97">
        <v>331385.55</v>
      </c>
      <c r="AK10" s="97">
        <v>342584.85</v>
      </c>
      <c r="AL10" s="97">
        <v>344127.17</v>
      </c>
      <c r="AM10" s="97">
        <v>358481.69</v>
      </c>
      <c r="AN10" s="97">
        <v>396926.58</v>
      </c>
      <c r="AO10" s="97">
        <v>408919.39</v>
      </c>
      <c r="AP10" s="97">
        <v>411748.63</v>
      </c>
      <c r="AQ10" s="97">
        <v>413385.51</v>
      </c>
      <c r="AR10" s="97">
        <v>414052.7</v>
      </c>
      <c r="AS10" s="97">
        <v>414628.74</v>
      </c>
      <c r="AT10" s="97">
        <v>417784.73</v>
      </c>
      <c r="AU10" s="97">
        <v>416282.43</v>
      </c>
      <c r="AV10" s="97">
        <v>416706.73</v>
      </c>
      <c r="AW10" s="97">
        <v>411438.7</v>
      </c>
      <c r="AX10" s="97">
        <v>411849.46</v>
      </c>
      <c r="AY10" s="97">
        <v>411008.52</v>
      </c>
      <c r="AZ10" s="97">
        <v>411910.05</v>
      </c>
      <c r="BA10" s="97">
        <v>409568.66</v>
      </c>
      <c r="BB10" s="97">
        <v>409154.63</v>
      </c>
      <c r="BC10" s="97">
        <v>400782.27</v>
      </c>
      <c r="BD10" s="97">
        <v>403824.57</v>
      </c>
      <c r="BE10" s="97">
        <v>428132.48</v>
      </c>
      <c r="BF10" s="97">
        <v>427229.15</v>
      </c>
      <c r="BG10" s="97">
        <v>426936.12</v>
      </c>
      <c r="BH10" s="97">
        <v>426291.47</v>
      </c>
      <c r="BI10" s="97">
        <v>425110.03</v>
      </c>
      <c r="BJ10" s="97">
        <v>427787.81</v>
      </c>
      <c r="BK10" s="97">
        <v>426724.68</v>
      </c>
      <c r="BL10" s="97">
        <v>425942.36</v>
      </c>
      <c r="BM10" s="97">
        <v>421878.62</v>
      </c>
      <c r="BN10" s="97">
        <v>424770.85</v>
      </c>
      <c r="BO10" s="97">
        <v>415357.48</v>
      </c>
      <c r="BP10" s="97">
        <v>416819.56</v>
      </c>
      <c r="BQ10" s="97">
        <v>417069.11</v>
      </c>
      <c r="BR10" s="97">
        <v>437041.99</v>
      </c>
      <c r="BS10" s="97">
        <v>440161.51</v>
      </c>
      <c r="BT10" s="97">
        <v>440376.55</v>
      </c>
      <c r="BU10" s="97">
        <v>440775.6</v>
      </c>
      <c r="BV10" s="97">
        <v>425903.79</v>
      </c>
      <c r="BW10" s="97">
        <v>427567.27</v>
      </c>
      <c r="BX10" s="97">
        <v>418856.35</v>
      </c>
      <c r="BY10" s="97">
        <v>444445.68</v>
      </c>
      <c r="BZ10" s="97">
        <v>446107.42</v>
      </c>
      <c r="CA10" s="97">
        <v>449783.24</v>
      </c>
      <c r="CB10" s="97">
        <v>444814.31</v>
      </c>
      <c r="CC10" s="97">
        <v>442247.8</v>
      </c>
      <c r="CD10" s="97">
        <v>444578.59</v>
      </c>
      <c r="CE10" s="97">
        <v>452752.37</v>
      </c>
      <c r="CF10" s="97">
        <v>452429.45</v>
      </c>
      <c r="CG10" s="97">
        <v>452666.72</v>
      </c>
      <c r="CH10" s="97">
        <v>460047.96</v>
      </c>
      <c r="CI10" s="97">
        <v>461901.84</v>
      </c>
      <c r="CJ10" s="97">
        <v>461789.97</v>
      </c>
      <c r="CK10" s="97">
        <v>466621.88</v>
      </c>
      <c r="CL10" s="97">
        <v>472565.53</v>
      </c>
      <c r="CM10" s="97">
        <v>457602.01</v>
      </c>
      <c r="CN10" s="97">
        <v>467122.96</v>
      </c>
      <c r="CO10" s="97">
        <v>465042.3</v>
      </c>
      <c r="CP10" s="98">
        <v>463986.08</v>
      </c>
      <c r="CQ10" s="98">
        <v>466270.08</v>
      </c>
      <c r="CR10" s="98">
        <v>470149.43</v>
      </c>
      <c r="CS10" s="98">
        <v>467875.59</v>
      </c>
      <c r="CT10" s="98">
        <v>466507.06</v>
      </c>
      <c r="CU10" s="98">
        <v>479213.44</v>
      </c>
      <c r="CV10" s="98">
        <v>480021.59</v>
      </c>
      <c r="CW10" s="98">
        <v>481402.14</v>
      </c>
      <c r="CX10" s="98">
        <v>488910.57</v>
      </c>
      <c r="CY10" s="98">
        <v>485584.38</v>
      </c>
      <c r="CZ10" s="98">
        <v>483897.77</v>
      </c>
      <c r="DA10" s="98">
        <v>485077.94</v>
      </c>
      <c r="DB10" s="98">
        <v>479611.64</v>
      </c>
      <c r="DC10" s="98">
        <v>470054.55</v>
      </c>
      <c r="DD10" s="98">
        <v>465284.12</v>
      </c>
      <c r="DE10" s="98">
        <v>472166.73</v>
      </c>
      <c r="DF10" s="98">
        <v>469358.02</v>
      </c>
      <c r="DG10" s="98">
        <v>462396.74</v>
      </c>
      <c r="DH10" s="98">
        <v>461780.18</v>
      </c>
      <c r="DI10" s="98">
        <v>460708.21</v>
      </c>
      <c r="DJ10" s="98">
        <v>467379.07</v>
      </c>
      <c r="DK10" s="98">
        <v>463306.6</v>
      </c>
      <c r="DL10" s="98">
        <v>457610.56</v>
      </c>
      <c r="DM10" s="98">
        <v>456258.4</v>
      </c>
      <c r="DN10" s="98">
        <v>457654.86</v>
      </c>
      <c r="DO10" s="98">
        <v>456946.25</v>
      </c>
      <c r="DP10" s="98">
        <v>457732.99</v>
      </c>
      <c r="DQ10" s="98">
        <v>463830.77</v>
      </c>
      <c r="DR10" s="98">
        <v>451908.21</v>
      </c>
      <c r="DS10" s="98">
        <v>444668.75</v>
      </c>
      <c r="DT10" s="98">
        <v>442288.86</v>
      </c>
      <c r="DU10" s="98">
        <v>421925.51</v>
      </c>
      <c r="DV10" s="98">
        <v>420076.42</v>
      </c>
      <c r="DW10" s="98">
        <v>411657.72</v>
      </c>
      <c r="DX10" s="98">
        <v>417276.23</v>
      </c>
      <c r="DY10" s="98">
        <v>417014.45</v>
      </c>
      <c r="DZ10" s="98">
        <v>420385.78</v>
      </c>
      <c r="EA10" s="98">
        <v>414944.65</v>
      </c>
      <c r="EB10" s="98">
        <v>415077.8</v>
      </c>
      <c r="EC10" s="98">
        <v>421752.75</v>
      </c>
      <c r="ED10" s="98">
        <v>423756.53</v>
      </c>
      <c r="EE10" s="98">
        <v>427707.36</v>
      </c>
      <c r="EF10" s="98">
        <v>430980.92</v>
      </c>
      <c r="EG10" s="98">
        <v>429293</v>
      </c>
      <c r="EH10" s="98">
        <v>430472.85</v>
      </c>
      <c r="EI10" s="98">
        <v>425146.95</v>
      </c>
      <c r="EJ10" s="98">
        <v>422808.49</v>
      </c>
      <c r="EK10" s="98">
        <v>406471.14</v>
      </c>
      <c r="EL10" s="98">
        <v>407180.16</v>
      </c>
      <c r="EM10" s="98">
        <v>417621.54</v>
      </c>
      <c r="EN10" s="98">
        <v>409508.08</v>
      </c>
      <c r="EO10" s="98">
        <v>406799.97</v>
      </c>
      <c r="EP10" s="98">
        <v>396250.01</v>
      </c>
      <c r="EQ10" s="98">
        <v>403777.07</v>
      </c>
      <c r="ER10" s="98">
        <v>407567.85</v>
      </c>
      <c r="ES10" s="98">
        <v>409151.09</v>
      </c>
      <c r="ET10" s="98">
        <v>434516.7</v>
      </c>
      <c r="EU10" s="98">
        <v>434757.87</v>
      </c>
      <c r="EV10" s="98">
        <v>419167.31</v>
      </c>
      <c r="EW10" s="98">
        <v>424556.95</v>
      </c>
      <c r="EX10" s="98">
        <v>421025.14</v>
      </c>
      <c r="EY10" s="98">
        <v>418751.68</v>
      </c>
      <c r="EZ10" s="98">
        <v>417336.28</v>
      </c>
      <c r="FA10" s="98">
        <v>414561.37</v>
      </c>
      <c r="FB10" s="98">
        <v>400536.35</v>
      </c>
      <c r="FC10" s="98">
        <v>399985.35</v>
      </c>
      <c r="FD10" s="98">
        <v>400192.54</v>
      </c>
      <c r="FE10" s="98">
        <v>403367.17</v>
      </c>
      <c r="FF10" s="98">
        <v>408530.25</v>
      </c>
      <c r="FG10" s="98">
        <v>408471.25</v>
      </c>
      <c r="FH10" s="98">
        <v>417882.02</v>
      </c>
      <c r="FI10" s="99">
        <f t="shared" si="18"/>
        <v>9410.7700000000186</v>
      </c>
    </row>
    <row r="11" spans="1:165" ht="24.95" customHeight="1" x14ac:dyDescent="0.2">
      <c r="B11" s="105" t="s">
        <v>9</v>
      </c>
      <c r="C11" s="106">
        <v>86793.54</v>
      </c>
      <c r="D11" s="106">
        <v>85331.83</v>
      </c>
      <c r="E11" s="106">
        <f t="shared" ref="E11:AE11" si="19">+E12+E13</f>
        <v>82741.399999999994</v>
      </c>
      <c r="F11" s="106">
        <f t="shared" si="19"/>
        <v>80458.8</v>
      </c>
      <c r="G11" s="106">
        <f t="shared" si="19"/>
        <v>69715.97</v>
      </c>
      <c r="H11" s="106">
        <f t="shared" si="19"/>
        <v>64415.070000000007</v>
      </c>
      <c r="I11" s="106">
        <f t="shared" si="19"/>
        <v>61467.18</v>
      </c>
      <c r="J11" s="106">
        <f t="shared" si="19"/>
        <v>52204.76</v>
      </c>
      <c r="K11" s="106">
        <f t="shared" si="19"/>
        <v>49215.68</v>
      </c>
      <c r="L11" s="106">
        <f t="shared" si="19"/>
        <v>45715.68</v>
      </c>
      <c r="M11" s="106">
        <f t="shared" si="19"/>
        <v>45715.68</v>
      </c>
      <c r="N11" s="106">
        <f t="shared" si="19"/>
        <v>45715.68</v>
      </c>
      <c r="O11" s="106">
        <f t="shared" si="19"/>
        <v>45715.68</v>
      </c>
      <c r="P11" s="106">
        <f t="shared" si="19"/>
        <v>40436.97</v>
      </c>
      <c r="Q11" s="106">
        <f t="shared" si="19"/>
        <v>35593.279999999999</v>
      </c>
      <c r="R11" s="106">
        <f t="shared" si="19"/>
        <v>35593.279999999999</v>
      </c>
      <c r="S11" s="106">
        <f t="shared" si="19"/>
        <v>26793.279999999999</v>
      </c>
      <c r="T11" s="106">
        <f t="shared" si="19"/>
        <v>26793.279999999999</v>
      </c>
      <c r="U11" s="106">
        <f t="shared" si="19"/>
        <v>26793.279999999999</v>
      </c>
      <c r="V11" s="106">
        <f t="shared" si="19"/>
        <v>20969.43</v>
      </c>
      <c r="W11" s="106">
        <f t="shared" si="19"/>
        <v>20969.43</v>
      </c>
      <c r="X11" s="106">
        <f t="shared" si="19"/>
        <v>20969.43</v>
      </c>
      <c r="Y11" s="106">
        <f t="shared" si="19"/>
        <v>20969.43</v>
      </c>
      <c r="Z11" s="106">
        <f t="shared" si="19"/>
        <v>20969.43</v>
      </c>
      <c r="AA11" s="106">
        <f t="shared" si="19"/>
        <v>20969.43</v>
      </c>
      <c r="AB11" s="106">
        <f t="shared" si="19"/>
        <v>16802.14</v>
      </c>
      <c r="AC11" s="106">
        <f t="shared" si="19"/>
        <v>17116.14</v>
      </c>
      <c r="AD11" s="106">
        <f t="shared" si="19"/>
        <v>17116.14</v>
      </c>
      <c r="AE11" s="106">
        <f t="shared" si="19"/>
        <v>8316.14</v>
      </c>
      <c r="AF11" s="106">
        <f>+AF12+AF13</f>
        <v>8316.14</v>
      </c>
      <c r="AG11" s="106">
        <f>+AG12+AG13</f>
        <v>8494.1</v>
      </c>
      <c r="AH11" s="106">
        <f>+AH12+AH13</f>
        <v>3682.73</v>
      </c>
      <c r="AI11" s="106">
        <f>+AI12+AI13</f>
        <v>3682.73</v>
      </c>
      <c r="AJ11" s="106">
        <f t="shared" ref="AJ11:AS11" si="20">+AJ12+AJ13</f>
        <v>3682.73</v>
      </c>
      <c r="AK11" s="106">
        <f t="shared" si="20"/>
        <v>3682.73</v>
      </c>
      <c r="AL11" s="106">
        <f t="shared" si="20"/>
        <v>3754.73</v>
      </c>
      <c r="AM11" s="106">
        <f t="shared" si="20"/>
        <v>3754.73</v>
      </c>
      <c r="AN11" s="106">
        <f t="shared" si="20"/>
        <v>0</v>
      </c>
      <c r="AO11" s="106">
        <f t="shared" si="20"/>
        <v>0</v>
      </c>
      <c r="AP11" s="106">
        <f t="shared" si="20"/>
        <v>0</v>
      </c>
      <c r="AQ11" s="106">
        <f t="shared" si="20"/>
        <v>0</v>
      </c>
      <c r="AR11" s="106">
        <f t="shared" si="20"/>
        <v>0</v>
      </c>
      <c r="AS11" s="106">
        <f t="shared" si="20"/>
        <v>0</v>
      </c>
      <c r="AT11" s="106">
        <f t="shared" ref="AT11:AY11" si="21">+AT12+AT13</f>
        <v>0</v>
      </c>
      <c r="AU11" s="106">
        <f t="shared" si="21"/>
        <v>0</v>
      </c>
      <c r="AV11" s="106">
        <f t="shared" si="21"/>
        <v>0</v>
      </c>
      <c r="AW11" s="106">
        <f t="shared" si="21"/>
        <v>0</v>
      </c>
      <c r="AX11" s="106">
        <f t="shared" si="21"/>
        <v>0</v>
      </c>
      <c r="AY11" s="106">
        <f t="shared" si="21"/>
        <v>0</v>
      </c>
      <c r="AZ11" s="106">
        <f>+AZ12+AZ13</f>
        <v>0</v>
      </c>
      <c r="BA11" s="106">
        <f>+BA12+BA13</f>
        <v>0</v>
      </c>
      <c r="BB11" s="106">
        <v>0</v>
      </c>
      <c r="BC11" s="106">
        <v>0</v>
      </c>
      <c r="BD11" s="106">
        <v>0</v>
      </c>
      <c r="BE11" s="106">
        <v>0</v>
      </c>
      <c r="BF11" s="106">
        <v>0</v>
      </c>
      <c r="BG11" s="106">
        <v>0</v>
      </c>
      <c r="BH11" s="106">
        <v>0</v>
      </c>
      <c r="BI11" s="106">
        <v>0</v>
      </c>
      <c r="BJ11" s="106">
        <v>0</v>
      </c>
      <c r="BK11" s="106">
        <v>0</v>
      </c>
      <c r="BL11" s="106">
        <v>0</v>
      </c>
      <c r="BM11" s="106">
        <v>0</v>
      </c>
      <c r="BN11" s="106">
        <v>0</v>
      </c>
      <c r="BO11" s="106">
        <v>0</v>
      </c>
      <c r="BP11" s="106">
        <v>0</v>
      </c>
      <c r="BQ11" s="106">
        <v>0</v>
      </c>
      <c r="BR11" s="106">
        <v>0</v>
      </c>
      <c r="BS11" s="106">
        <f t="shared" ref="BS11:BX11" si="22">+BS12+BS13</f>
        <v>5303</v>
      </c>
      <c r="BT11" s="106">
        <f t="shared" si="22"/>
        <v>6180</v>
      </c>
      <c r="BU11" s="106">
        <f t="shared" si="22"/>
        <v>7080</v>
      </c>
      <c r="BV11" s="106">
        <f t="shared" si="22"/>
        <v>8820</v>
      </c>
      <c r="BW11" s="106">
        <f t="shared" si="22"/>
        <v>10000</v>
      </c>
      <c r="BX11" s="106">
        <f t="shared" si="22"/>
        <v>7464.85</v>
      </c>
      <c r="BY11" s="106">
        <f t="shared" ref="BY11:CK11" si="23">+BY12+BY13</f>
        <v>6560.82</v>
      </c>
      <c r="BZ11" s="106">
        <f t="shared" si="23"/>
        <v>5732.21</v>
      </c>
      <c r="CA11" s="106">
        <f t="shared" si="23"/>
        <v>7232.21</v>
      </c>
      <c r="CB11" s="106">
        <f t="shared" si="23"/>
        <v>7263.95</v>
      </c>
      <c r="CC11" s="106">
        <f t="shared" si="23"/>
        <v>7263.95</v>
      </c>
      <c r="CD11" s="106">
        <f t="shared" si="23"/>
        <v>6953.53</v>
      </c>
      <c r="CE11" s="106">
        <f t="shared" si="23"/>
        <v>8053.53</v>
      </c>
      <c r="CF11" s="106">
        <f t="shared" si="23"/>
        <v>5561.91</v>
      </c>
      <c r="CG11" s="106">
        <f t="shared" si="23"/>
        <v>3383.37</v>
      </c>
      <c r="CH11" s="106">
        <f t="shared" si="23"/>
        <v>813.37</v>
      </c>
      <c r="CI11" s="106">
        <f t="shared" si="23"/>
        <v>813.37</v>
      </c>
      <c r="CJ11" s="106">
        <f t="shared" si="23"/>
        <v>834.34</v>
      </c>
      <c r="CK11" s="106">
        <f t="shared" si="23"/>
        <v>834.69</v>
      </c>
      <c r="CL11" s="106">
        <f>+CL12+CL13</f>
        <v>834.69</v>
      </c>
      <c r="CM11" s="106">
        <f t="shared" ref="CM11:CW11" si="24">+CM12+CM13</f>
        <v>834.69</v>
      </c>
      <c r="CN11" s="106">
        <f t="shared" si="24"/>
        <v>834.69</v>
      </c>
      <c r="CO11" s="106">
        <f t="shared" si="24"/>
        <v>834.69</v>
      </c>
      <c r="CP11" s="107">
        <f t="shared" si="24"/>
        <v>834.69</v>
      </c>
      <c r="CQ11" s="107">
        <f t="shared" si="24"/>
        <v>7854.72</v>
      </c>
      <c r="CR11" s="107">
        <f t="shared" si="24"/>
        <v>6914.21</v>
      </c>
      <c r="CS11" s="107">
        <f t="shared" si="24"/>
        <v>5849.79</v>
      </c>
      <c r="CT11" s="107">
        <f t="shared" si="24"/>
        <v>3652.17</v>
      </c>
      <c r="CU11" s="107">
        <f t="shared" si="24"/>
        <v>3652.17</v>
      </c>
      <c r="CV11" s="107">
        <f t="shared" si="24"/>
        <v>17825.75</v>
      </c>
      <c r="CW11" s="107">
        <f t="shared" si="24"/>
        <v>15369.96</v>
      </c>
      <c r="CX11" s="107">
        <f t="shared" ref="CX11:DK11" si="25">+CX12+CX13</f>
        <v>11457.02</v>
      </c>
      <c r="CY11" s="107">
        <f t="shared" si="25"/>
        <v>10448.200000000001</v>
      </c>
      <c r="CZ11" s="107">
        <f t="shared" si="25"/>
        <v>8957.7999999999993</v>
      </c>
      <c r="DA11" s="107">
        <f t="shared" si="25"/>
        <v>7970.58</v>
      </c>
      <c r="DB11" s="107">
        <f t="shared" si="25"/>
        <v>6924.58</v>
      </c>
      <c r="DC11" s="107">
        <f t="shared" si="25"/>
        <v>9418.7199999999993</v>
      </c>
      <c r="DD11" s="107">
        <f t="shared" si="25"/>
        <v>8196.65</v>
      </c>
      <c r="DE11" s="107">
        <f t="shared" si="25"/>
        <v>7030.41</v>
      </c>
      <c r="DF11" s="107">
        <f t="shared" si="25"/>
        <v>6131.99</v>
      </c>
      <c r="DG11" s="107">
        <f t="shared" si="25"/>
        <v>6038.24</v>
      </c>
      <c r="DH11" s="107">
        <f t="shared" si="25"/>
        <v>22074.99</v>
      </c>
      <c r="DI11" s="107">
        <f t="shared" si="25"/>
        <v>22922.45</v>
      </c>
      <c r="DJ11" s="107">
        <f t="shared" si="25"/>
        <v>18432.88</v>
      </c>
      <c r="DK11" s="107">
        <f t="shared" si="25"/>
        <v>18379.02</v>
      </c>
      <c r="DL11" s="107">
        <f t="shared" ref="DL11:DQ11" si="26">+DL12+DL13</f>
        <v>17558.07</v>
      </c>
      <c r="DM11" s="107">
        <f t="shared" si="26"/>
        <v>17430.88</v>
      </c>
      <c r="DN11" s="107">
        <f t="shared" si="26"/>
        <v>17425.79</v>
      </c>
      <c r="DO11" s="107">
        <f t="shared" si="26"/>
        <v>17430.099999999999</v>
      </c>
      <c r="DP11" s="107">
        <f t="shared" si="26"/>
        <v>16531.37</v>
      </c>
      <c r="DQ11" s="107">
        <f t="shared" si="26"/>
        <v>12284.67</v>
      </c>
      <c r="DR11" s="107">
        <f t="shared" ref="DR11:FH11" si="27">+DR12+DR13</f>
        <v>11947.45</v>
      </c>
      <c r="DS11" s="107">
        <f t="shared" si="27"/>
        <v>11309.07</v>
      </c>
      <c r="DT11" s="107">
        <f t="shared" si="27"/>
        <v>24472.17</v>
      </c>
      <c r="DU11" s="107">
        <f t="shared" si="27"/>
        <v>23276.2</v>
      </c>
      <c r="DV11" s="107">
        <f t="shared" si="27"/>
        <v>22317.69</v>
      </c>
      <c r="DW11" s="107">
        <f t="shared" si="27"/>
        <v>21306.68</v>
      </c>
      <c r="DX11" s="107">
        <f t="shared" si="27"/>
        <v>20463.41</v>
      </c>
      <c r="DY11" s="107">
        <f t="shared" si="27"/>
        <v>19505.91</v>
      </c>
      <c r="DZ11" s="107">
        <f t="shared" si="27"/>
        <v>19507.099999999999</v>
      </c>
      <c r="EA11" s="107">
        <f t="shared" si="27"/>
        <v>19351.89</v>
      </c>
      <c r="EB11" s="107">
        <f t="shared" si="27"/>
        <v>19428.2</v>
      </c>
      <c r="EC11" s="107">
        <f t="shared" si="27"/>
        <v>18433.7</v>
      </c>
      <c r="ED11" s="107">
        <f t="shared" si="27"/>
        <v>17561.61</v>
      </c>
      <c r="EE11" s="107">
        <f t="shared" si="27"/>
        <v>16484.54</v>
      </c>
      <c r="EF11" s="107">
        <f t="shared" si="27"/>
        <v>15514.79</v>
      </c>
      <c r="EG11" s="107">
        <f t="shared" si="27"/>
        <v>14643.5</v>
      </c>
      <c r="EH11" s="107">
        <f t="shared" si="27"/>
        <v>13629.55</v>
      </c>
      <c r="EI11" s="107">
        <f t="shared" si="27"/>
        <v>12636.69</v>
      </c>
      <c r="EJ11" s="107">
        <f t="shared" si="27"/>
        <v>11695.11</v>
      </c>
      <c r="EK11" s="107">
        <f t="shared" si="27"/>
        <v>10651.26</v>
      </c>
      <c r="EL11" s="107">
        <f t="shared" si="27"/>
        <v>9631.69</v>
      </c>
      <c r="EM11" s="107">
        <f t="shared" si="27"/>
        <v>9245.77</v>
      </c>
      <c r="EN11" s="107">
        <f t="shared" si="27"/>
        <v>9194.81</v>
      </c>
      <c r="EO11" s="107">
        <f t="shared" si="27"/>
        <v>9265.1299999999992</v>
      </c>
      <c r="EP11" s="107">
        <f t="shared" si="27"/>
        <v>8756.18</v>
      </c>
      <c r="EQ11" s="107">
        <f t="shared" si="27"/>
        <v>8838.01</v>
      </c>
      <c r="ER11" s="107">
        <f t="shared" si="27"/>
        <v>8818.67</v>
      </c>
      <c r="ES11" s="107">
        <f t="shared" si="27"/>
        <v>8819.2999999999993</v>
      </c>
      <c r="ET11" s="107">
        <f t="shared" si="27"/>
        <v>8968.5400000000009</v>
      </c>
      <c r="EU11" s="107">
        <f t="shared" si="27"/>
        <v>8505.49</v>
      </c>
      <c r="EV11" s="107">
        <f t="shared" si="27"/>
        <v>8465.42</v>
      </c>
      <c r="EW11" s="107">
        <f t="shared" si="27"/>
        <v>7867.86</v>
      </c>
      <c r="EX11" s="135">
        <f t="shared" si="27"/>
        <v>7286.29</v>
      </c>
      <c r="EY11" s="135">
        <f t="shared" si="27"/>
        <v>7182.49</v>
      </c>
      <c r="EZ11" s="136">
        <f t="shared" si="27"/>
        <v>8397.9599999999991</v>
      </c>
      <c r="FA11" s="137">
        <f t="shared" si="27"/>
        <v>9411.48</v>
      </c>
      <c r="FB11" s="138">
        <f t="shared" si="27"/>
        <v>9411.23</v>
      </c>
      <c r="FC11" s="139">
        <f t="shared" si="27"/>
        <v>9280.61</v>
      </c>
      <c r="FD11" s="140">
        <f t="shared" si="27"/>
        <v>9415.69</v>
      </c>
      <c r="FE11" s="148">
        <f t="shared" si="27"/>
        <v>9300.83</v>
      </c>
      <c r="FF11" s="149">
        <f t="shared" si="27"/>
        <v>9106.74</v>
      </c>
      <c r="FG11" s="150">
        <f t="shared" si="27"/>
        <v>9007.82</v>
      </c>
      <c r="FH11" s="151">
        <f t="shared" si="27"/>
        <v>9011.68</v>
      </c>
      <c r="FI11" s="107">
        <f>FI12+FI13</f>
        <v>3.8600000000005821</v>
      </c>
    </row>
    <row r="12" spans="1:165" ht="24.95" customHeight="1" x14ac:dyDescent="0.2">
      <c r="B12" s="108" t="s">
        <v>196</v>
      </c>
      <c r="C12" s="97">
        <v>30968.54</v>
      </c>
      <c r="D12" s="97">
        <v>29326.83</v>
      </c>
      <c r="E12" s="97">
        <v>29326.83</v>
      </c>
      <c r="F12" s="97">
        <v>29357.13</v>
      </c>
      <c r="G12" s="97">
        <v>29357.13</v>
      </c>
      <c r="H12" s="97">
        <v>29369.13</v>
      </c>
      <c r="I12" s="97">
        <v>29369.13</v>
      </c>
      <c r="J12" s="97">
        <v>23271.99</v>
      </c>
      <c r="K12" s="97">
        <v>23271.99</v>
      </c>
      <c r="L12" s="97">
        <v>23271.99</v>
      </c>
      <c r="M12" s="97">
        <v>23271.99</v>
      </c>
      <c r="N12" s="97">
        <v>23271.99</v>
      </c>
      <c r="O12" s="97">
        <v>23271.99</v>
      </c>
      <c r="P12" s="97">
        <v>17993.28</v>
      </c>
      <c r="Q12" s="97">
        <v>17993.28</v>
      </c>
      <c r="R12" s="97">
        <v>17993.28</v>
      </c>
      <c r="S12" s="97">
        <v>17993.28</v>
      </c>
      <c r="T12" s="97">
        <v>17993.28</v>
      </c>
      <c r="U12" s="97">
        <v>17993.28</v>
      </c>
      <c r="V12" s="97">
        <v>12169.43</v>
      </c>
      <c r="W12" s="97">
        <v>12169.43</v>
      </c>
      <c r="X12" s="97">
        <v>12169.43</v>
      </c>
      <c r="Y12" s="97">
        <v>12169.43</v>
      </c>
      <c r="Z12" s="97">
        <v>12169.43</v>
      </c>
      <c r="AA12" s="97">
        <v>12169.43</v>
      </c>
      <c r="AB12" s="97">
        <v>8002.14</v>
      </c>
      <c r="AC12" s="97">
        <v>8316.14</v>
      </c>
      <c r="AD12" s="97">
        <v>8316.14</v>
      </c>
      <c r="AE12" s="97">
        <v>8316.14</v>
      </c>
      <c r="AF12" s="97">
        <v>8316.14</v>
      </c>
      <c r="AG12" s="97">
        <v>8494.1</v>
      </c>
      <c r="AH12" s="97">
        <v>3682.73</v>
      </c>
      <c r="AI12" s="97">
        <f>+'[1]2551-2552'!$O$40</f>
        <v>3682.73</v>
      </c>
      <c r="AJ12" s="97">
        <v>3682.73</v>
      </c>
      <c r="AK12" s="97">
        <v>3682.73</v>
      </c>
      <c r="AL12" s="97">
        <v>3754.73</v>
      </c>
      <c r="AM12" s="97">
        <v>3754.73</v>
      </c>
      <c r="AN12" s="97">
        <v>0</v>
      </c>
      <c r="AO12" s="97">
        <v>0</v>
      </c>
      <c r="AP12" s="97">
        <v>0</v>
      </c>
      <c r="AQ12" s="97">
        <v>0</v>
      </c>
      <c r="AR12" s="97">
        <v>0</v>
      </c>
      <c r="AS12" s="97">
        <v>0</v>
      </c>
      <c r="AT12" s="97">
        <v>0</v>
      </c>
      <c r="AU12" s="97">
        <v>0</v>
      </c>
      <c r="AV12" s="97">
        <v>0</v>
      </c>
      <c r="AW12" s="97">
        <v>0</v>
      </c>
      <c r="AX12" s="97">
        <v>0</v>
      </c>
      <c r="AY12" s="97">
        <v>0</v>
      </c>
      <c r="AZ12" s="97">
        <v>0</v>
      </c>
      <c r="BA12" s="97">
        <v>0</v>
      </c>
      <c r="BB12" s="97">
        <v>0</v>
      </c>
      <c r="BC12" s="97">
        <v>0</v>
      </c>
      <c r="BD12" s="97">
        <v>0</v>
      </c>
      <c r="BE12" s="97">
        <v>0</v>
      </c>
      <c r="BF12" s="97">
        <v>0</v>
      </c>
      <c r="BG12" s="97">
        <v>0</v>
      </c>
      <c r="BH12" s="97">
        <v>0</v>
      </c>
      <c r="BI12" s="97">
        <v>0</v>
      </c>
      <c r="BJ12" s="97">
        <v>0</v>
      </c>
      <c r="BK12" s="97">
        <v>0</v>
      </c>
      <c r="BL12" s="97">
        <v>0</v>
      </c>
      <c r="BM12" s="97">
        <v>0</v>
      </c>
      <c r="BN12" s="97">
        <v>0</v>
      </c>
      <c r="BO12" s="97">
        <v>0</v>
      </c>
      <c r="BP12" s="97">
        <v>0</v>
      </c>
      <c r="BQ12" s="97">
        <v>0</v>
      </c>
      <c r="BR12" s="97">
        <v>0</v>
      </c>
      <c r="BS12" s="97">
        <v>0</v>
      </c>
      <c r="BT12" s="97">
        <v>0</v>
      </c>
      <c r="BU12" s="97">
        <v>0</v>
      </c>
      <c r="BV12" s="97">
        <v>0</v>
      </c>
      <c r="BW12" s="97">
        <v>0</v>
      </c>
      <c r="BX12" s="97">
        <v>0</v>
      </c>
      <c r="BY12" s="97">
        <v>0</v>
      </c>
      <c r="BZ12" s="97">
        <v>0</v>
      </c>
      <c r="CA12" s="97">
        <v>0</v>
      </c>
      <c r="CB12" s="97">
        <v>0</v>
      </c>
      <c r="CC12" s="97">
        <v>0</v>
      </c>
      <c r="CD12" s="97">
        <v>0</v>
      </c>
      <c r="CE12" s="97">
        <v>0</v>
      </c>
      <c r="CF12" s="97">
        <v>0</v>
      </c>
      <c r="CG12" s="97">
        <v>0</v>
      </c>
      <c r="CH12" s="97">
        <v>0</v>
      </c>
      <c r="CI12" s="97">
        <v>0</v>
      </c>
      <c r="CJ12" s="97">
        <v>0</v>
      </c>
      <c r="CK12" s="97">
        <v>0</v>
      </c>
      <c r="CL12" s="97">
        <v>0</v>
      </c>
      <c r="CM12" s="97">
        <v>0</v>
      </c>
      <c r="CN12" s="97">
        <v>0</v>
      </c>
      <c r="CO12" s="97">
        <v>0</v>
      </c>
      <c r="CP12" s="98">
        <v>0</v>
      </c>
      <c r="CQ12" s="98">
        <v>0</v>
      </c>
      <c r="CR12" s="98">
        <v>0</v>
      </c>
      <c r="CS12" s="98">
        <v>0</v>
      </c>
      <c r="CT12" s="98">
        <v>0</v>
      </c>
      <c r="CU12" s="98">
        <v>0</v>
      </c>
      <c r="CV12" s="98">
        <v>0</v>
      </c>
      <c r="CW12" s="98">
        <v>0</v>
      </c>
      <c r="CX12" s="98">
        <v>0</v>
      </c>
      <c r="CY12" s="98">
        <v>0</v>
      </c>
      <c r="CZ12" s="98">
        <v>0</v>
      </c>
      <c r="DA12" s="98">
        <v>0</v>
      </c>
      <c r="DB12" s="98">
        <v>0</v>
      </c>
      <c r="DC12" s="98">
        <v>0</v>
      </c>
      <c r="DD12" s="98">
        <v>0</v>
      </c>
      <c r="DE12" s="98">
        <v>0</v>
      </c>
      <c r="DF12" s="98">
        <v>0</v>
      </c>
      <c r="DG12" s="98">
        <v>0</v>
      </c>
      <c r="DH12" s="98">
        <v>0</v>
      </c>
      <c r="DI12" s="98">
        <v>0</v>
      </c>
      <c r="DJ12" s="98">
        <v>0</v>
      </c>
      <c r="DK12" s="98">
        <v>0</v>
      </c>
      <c r="DL12" s="98">
        <v>0</v>
      </c>
      <c r="DM12" s="98">
        <v>0</v>
      </c>
      <c r="DN12" s="98">
        <v>0</v>
      </c>
      <c r="DO12" s="98">
        <v>0</v>
      </c>
      <c r="DP12" s="98">
        <v>0</v>
      </c>
      <c r="DQ12" s="98">
        <v>0</v>
      </c>
      <c r="DR12" s="98">
        <v>0</v>
      </c>
      <c r="DS12" s="98">
        <v>0</v>
      </c>
      <c r="DT12" s="98">
        <v>0</v>
      </c>
      <c r="DU12" s="98">
        <v>0</v>
      </c>
      <c r="DV12" s="98">
        <v>0</v>
      </c>
      <c r="DW12" s="98">
        <v>0</v>
      </c>
      <c r="DX12" s="98">
        <v>0</v>
      </c>
      <c r="DY12" s="98">
        <v>0</v>
      </c>
      <c r="DZ12" s="98">
        <v>0</v>
      </c>
      <c r="EA12" s="98">
        <v>0</v>
      </c>
      <c r="EB12" s="98">
        <v>0</v>
      </c>
      <c r="EC12" s="98">
        <v>0</v>
      </c>
      <c r="ED12" s="98">
        <v>0</v>
      </c>
      <c r="EE12" s="98">
        <v>0</v>
      </c>
      <c r="EF12" s="98">
        <v>0</v>
      </c>
      <c r="EG12" s="98">
        <v>0</v>
      </c>
      <c r="EH12" s="98">
        <v>0</v>
      </c>
      <c r="EI12" s="98">
        <v>0</v>
      </c>
      <c r="EJ12" s="98">
        <v>0</v>
      </c>
      <c r="EK12" s="98">
        <v>0</v>
      </c>
      <c r="EL12" s="98">
        <v>0</v>
      </c>
      <c r="EM12" s="98">
        <v>0</v>
      </c>
      <c r="EN12" s="98">
        <v>0</v>
      </c>
      <c r="EO12" s="98">
        <v>0</v>
      </c>
      <c r="EP12" s="98">
        <v>0</v>
      </c>
      <c r="EQ12" s="98">
        <v>0</v>
      </c>
      <c r="ER12" s="98">
        <v>0</v>
      </c>
      <c r="ES12" s="98">
        <v>0</v>
      </c>
      <c r="ET12" s="98">
        <v>0</v>
      </c>
      <c r="EU12" s="98">
        <v>0</v>
      </c>
      <c r="EV12" s="98">
        <v>0</v>
      </c>
      <c r="EW12" s="98">
        <v>0</v>
      </c>
      <c r="EX12" s="98">
        <v>0</v>
      </c>
      <c r="EY12" s="98"/>
      <c r="EZ12" s="98"/>
      <c r="FA12" s="98">
        <v>0</v>
      </c>
      <c r="FB12" s="98">
        <v>0</v>
      </c>
      <c r="FC12" s="98">
        <v>0</v>
      </c>
      <c r="FD12" s="98">
        <v>0</v>
      </c>
      <c r="FE12" s="98">
        <v>0</v>
      </c>
      <c r="FF12" s="98">
        <v>0</v>
      </c>
      <c r="FG12" s="98">
        <v>0</v>
      </c>
      <c r="FH12" s="98">
        <v>0</v>
      </c>
      <c r="FI12" s="131">
        <f>FH12-FG12</f>
        <v>0</v>
      </c>
    </row>
    <row r="13" spans="1:165" ht="24.95" customHeight="1" x14ac:dyDescent="0.2">
      <c r="B13" s="109" t="s">
        <v>10</v>
      </c>
      <c r="C13" s="97">
        <v>56005</v>
      </c>
      <c r="D13" s="97">
        <v>56005</v>
      </c>
      <c r="E13" s="97">
        <v>53414.57</v>
      </c>
      <c r="F13" s="97">
        <v>51101.67</v>
      </c>
      <c r="G13" s="97">
        <v>40358.839999999997</v>
      </c>
      <c r="H13" s="97">
        <v>35045.94</v>
      </c>
      <c r="I13" s="97">
        <v>32098.05</v>
      </c>
      <c r="J13" s="97">
        <v>28932.77</v>
      </c>
      <c r="K13" s="97">
        <v>25943.69</v>
      </c>
      <c r="L13" s="97">
        <v>22443.69</v>
      </c>
      <c r="M13" s="97">
        <v>22443.69</v>
      </c>
      <c r="N13" s="97">
        <v>22443.69</v>
      </c>
      <c r="O13" s="97">
        <v>22443.69</v>
      </c>
      <c r="P13" s="97">
        <v>22443.69</v>
      </c>
      <c r="Q13" s="97">
        <v>17600</v>
      </c>
      <c r="R13" s="97">
        <v>17600</v>
      </c>
      <c r="S13" s="97">
        <v>8800</v>
      </c>
      <c r="T13" s="97">
        <v>8800</v>
      </c>
      <c r="U13" s="97">
        <v>8800</v>
      </c>
      <c r="V13" s="97">
        <v>8800</v>
      </c>
      <c r="W13" s="97">
        <v>8800</v>
      </c>
      <c r="X13" s="97">
        <v>8800</v>
      </c>
      <c r="Y13" s="97">
        <v>8800</v>
      </c>
      <c r="Z13" s="97">
        <v>8800</v>
      </c>
      <c r="AA13" s="97">
        <v>8800</v>
      </c>
      <c r="AB13" s="97">
        <v>8800</v>
      </c>
      <c r="AC13" s="97">
        <v>8800</v>
      </c>
      <c r="AD13" s="97">
        <v>8800</v>
      </c>
      <c r="AE13" s="97">
        <v>0</v>
      </c>
      <c r="AF13" s="97">
        <v>0</v>
      </c>
      <c r="AG13" s="97">
        <v>0</v>
      </c>
      <c r="AH13" s="97">
        <v>0</v>
      </c>
      <c r="AI13" s="97">
        <v>0</v>
      </c>
      <c r="AJ13" s="97">
        <v>0</v>
      </c>
      <c r="AK13" s="97">
        <v>0</v>
      </c>
      <c r="AL13" s="97">
        <v>0</v>
      </c>
      <c r="AM13" s="97">
        <v>0</v>
      </c>
      <c r="AN13" s="97">
        <v>0</v>
      </c>
      <c r="AO13" s="97">
        <v>0</v>
      </c>
      <c r="AP13" s="97">
        <v>0</v>
      </c>
      <c r="AQ13" s="97">
        <v>0</v>
      </c>
      <c r="AR13" s="97">
        <v>0</v>
      </c>
      <c r="AS13" s="97">
        <v>0</v>
      </c>
      <c r="AT13" s="97">
        <v>0</v>
      </c>
      <c r="AU13" s="97">
        <v>0</v>
      </c>
      <c r="AV13" s="97">
        <v>0</v>
      </c>
      <c r="AW13" s="97">
        <v>0</v>
      </c>
      <c r="AX13" s="97">
        <v>0</v>
      </c>
      <c r="AY13" s="97">
        <v>0</v>
      </c>
      <c r="AZ13" s="97">
        <v>0</v>
      </c>
      <c r="BA13" s="97">
        <v>0</v>
      </c>
      <c r="BB13" s="97">
        <v>0</v>
      </c>
      <c r="BC13" s="97">
        <v>0</v>
      </c>
      <c r="BD13" s="97">
        <v>0</v>
      </c>
      <c r="BE13" s="97">
        <v>0</v>
      </c>
      <c r="BF13" s="97">
        <v>0</v>
      </c>
      <c r="BG13" s="97">
        <v>0</v>
      </c>
      <c r="BH13" s="97">
        <v>0</v>
      </c>
      <c r="BI13" s="97">
        <v>0</v>
      </c>
      <c r="BJ13" s="97">
        <v>0</v>
      </c>
      <c r="BK13" s="97">
        <v>0</v>
      </c>
      <c r="BL13" s="97">
        <v>0</v>
      </c>
      <c r="BM13" s="97">
        <v>0</v>
      </c>
      <c r="BN13" s="97">
        <v>0</v>
      </c>
      <c r="BO13" s="97">
        <v>0</v>
      </c>
      <c r="BP13" s="97">
        <v>0</v>
      </c>
      <c r="BQ13" s="97">
        <v>0</v>
      </c>
      <c r="BR13" s="97">
        <v>0</v>
      </c>
      <c r="BS13" s="97">
        <v>5303</v>
      </c>
      <c r="BT13" s="97">
        <v>6180</v>
      </c>
      <c r="BU13" s="97">
        <v>7080</v>
      </c>
      <c r="BV13" s="97">
        <v>8820</v>
      </c>
      <c r="BW13" s="97">
        <v>10000</v>
      </c>
      <c r="BX13" s="97">
        <v>7464.85</v>
      </c>
      <c r="BY13" s="97">
        <v>6560.82</v>
      </c>
      <c r="BZ13" s="97">
        <v>5732.21</v>
      </c>
      <c r="CA13" s="97">
        <v>7232.21</v>
      </c>
      <c r="CB13" s="97">
        <v>7263.95</v>
      </c>
      <c r="CC13" s="97">
        <v>7263.95</v>
      </c>
      <c r="CD13" s="97">
        <v>6953.53</v>
      </c>
      <c r="CE13" s="97">
        <v>8053.53</v>
      </c>
      <c r="CF13" s="97">
        <v>5561.91</v>
      </c>
      <c r="CG13" s="97">
        <v>3383.37</v>
      </c>
      <c r="CH13" s="97">
        <v>813.37</v>
      </c>
      <c r="CI13" s="97">
        <v>813.37</v>
      </c>
      <c r="CJ13" s="97">
        <v>834.34</v>
      </c>
      <c r="CK13" s="97">
        <v>834.69</v>
      </c>
      <c r="CL13" s="97">
        <v>834.69</v>
      </c>
      <c r="CM13" s="97">
        <v>834.69</v>
      </c>
      <c r="CN13" s="97">
        <v>834.69</v>
      </c>
      <c r="CO13" s="97">
        <v>834.69</v>
      </c>
      <c r="CP13" s="98">
        <v>834.69</v>
      </c>
      <c r="CQ13" s="98">
        <v>7854.72</v>
      </c>
      <c r="CR13" s="98">
        <v>6914.21</v>
      </c>
      <c r="CS13" s="98">
        <v>5849.79</v>
      </c>
      <c r="CT13" s="98">
        <v>3652.17</v>
      </c>
      <c r="CU13" s="98">
        <v>3652.17</v>
      </c>
      <c r="CV13" s="98">
        <v>17825.75</v>
      </c>
      <c r="CW13" s="98">
        <v>15369.96</v>
      </c>
      <c r="CX13" s="98">
        <v>11457.02</v>
      </c>
      <c r="CY13" s="98">
        <v>10448.200000000001</v>
      </c>
      <c r="CZ13" s="98">
        <v>8957.7999999999993</v>
      </c>
      <c r="DA13" s="98">
        <v>7970.58</v>
      </c>
      <c r="DB13" s="98">
        <v>6924.58</v>
      </c>
      <c r="DC13" s="98">
        <v>9418.7199999999993</v>
      </c>
      <c r="DD13" s="98">
        <v>8196.65</v>
      </c>
      <c r="DE13" s="98">
        <v>7030.41</v>
      </c>
      <c r="DF13" s="98">
        <v>6131.99</v>
      </c>
      <c r="DG13" s="98">
        <v>6038.24</v>
      </c>
      <c r="DH13" s="98">
        <v>22074.99</v>
      </c>
      <c r="DI13" s="98">
        <v>22922.45</v>
      </c>
      <c r="DJ13" s="98">
        <v>18432.88</v>
      </c>
      <c r="DK13" s="98">
        <v>18379.02</v>
      </c>
      <c r="DL13" s="98">
        <v>17558.07</v>
      </c>
      <c r="DM13" s="98">
        <v>17430.88</v>
      </c>
      <c r="DN13" s="98">
        <v>17425.79</v>
      </c>
      <c r="DO13" s="98">
        <v>17430.099999999999</v>
      </c>
      <c r="DP13" s="98">
        <v>16531.37</v>
      </c>
      <c r="DQ13" s="98">
        <v>12284.67</v>
      </c>
      <c r="DR13" s="98">
        <v>11947.45</v>
      </c>
      <c r="DS13" s="98">
        <v>11309.07</v>
      </c>
      <c r="DT13" s="98">
        <v>24472.17</v>
      </c>
      <c r="DU13" s="98">
        <v>23276.2</v>
      </c>
      <c r="DV13" s="98">
        <v>22317.69</v>
      </c>
      <c r="DW13" s="98">
        <v>21306.68</v>
      </c>
      <c r="DX13" s="98">
        <v>20463.41</v>
      </c>
      <c r="DY13" s="98">
        <v>19505.91</v>
      </c>
      <c r="DZ13" s="98">
        <v>19507.099999999999</v>
      </c>
      <c r="EA13" s="98">
        <v>19351.89</v>
      </c>
      <c r="EB13" s="98">
        <v>19428.2</v>
      </c>
      <c r="EC13" s="98">
        <v>18433.7</v>
      </c>
      <c r="ED13" s="98">
        <v>17561.61</v>
      </c>
      <c r="EE13" s="98">
        <v>16484.54</v>
      </c>
      <c r="EF13" s="98">
        <v>15514.79</v>
      </c>
      <c r="EG13" s="98">
        <v>14643.5</v>
      </c>
      <c r="EH13" s="98">
        <v>13629.55</v>
      </c>
      <c r="EI13" s="98">
        <v>12636.69</v>
      </c>
      <c r="EJ13" s="98">
        <v>11695.11</v>
      </c>
      <c r="EK13" s="98">
        <v>10651.26</v>
      </c>
      <c r="EL13" s="98">
        <v>9631.69</v>
      </c>
      <c r="EM13" s="98">
        <v>9245.77</v>
      </c>
      <c r="EN13" s="98">
        <v>9194.81</v>
      </c>
      <c r="EO13" s="98">
        <v>9265.1299999999992</v>
      </c>
      <c r="EP13" s="98">
        <v>8756.18</v>
      </c>
      <c r="EQ13" s="98">
        <v>8838.01</v>
      </c>
      <c r="ER13" s="98">
        <v>8818.67</v>
      </c>
      <c r="ES13" s="98">
        <v>8819.2999999999993</v>
      </c>
      <c r="ET13" s="98">
        <v>8968.5400000000009</v>
      </c>
      <c r="EU13" s="98">
        <v>8505.49</v>
      </c>
      <c r="EV13" s="98">
        <v>8465.42</v>
      </c>
      <c r="EW13" s="98">
        <v>7867.86</v>
      </c>
      <c r="EX13" s="98">
        <v>7286.29</v>
      </c>
      <c r="EY13" s="98">
        <v>7182.49</v>
      </c>
      <c r="EZ13" s="98">
        <v>8397.9599999999991</v>
      </c>
      <c r="FA13" s="98">
        <v>9411.48</v>
      </c>
      <c r="FB13" s="98">
        <v>9411.23</v>
      </c>
      <c r="FC13" s="98">
        <v>9280.61</v>
      </c>
      <c r="FD13" s="98">
        <v>9415.69</v>
      </c>
      <c r="FE13" s="98">
        <v>9300.83</v>
      </c>
      <c r="FF13" s="98">
        <v>9106.74</v>
      </c>
      <c r="FG13" s="98">
        <v>9007.82</v>
      </c>
      <c r="FH13" s="98">
        <v>9011.68</v>
      </c>
      <c r="FI13" s="131">
        <f>FH13-FG13</f>
        <v>3.8600000000005821</v>
      </c>
    </row>
    <row r="14" spans="1:165" ht="24.95" customHeight="1" x14ac:dyDescent="0.2">
      <c r="B14" s="110" t="s">
        <v>11</v>
      </c>
      <c r="C14" s="111">
        <v>323834.90999999997</v>
      </c>
      <c r="D14" s="111">
        <v>310353.17</v>
      </c>
      <c r="E14" s="111">
        <v>293022.01</v>
      </c>
      <c r="F14" s="111">
        <v>273515.17</v>
      </c>
      <c r="G14" s="111">
        <v>265481.46000000002</v>
      </c>
      <c r="H14" s="111">
        <v>256382.05</v>
      </c>
      <c r="I14" s="111">
        <v>231981.07</v>
      </c>
      <c r="J14" s="111">
        <v>232268.58</v>
      </c>
      <c r="K14" s="111">
        <v>227583.78</v>
      </c>
      <c r="L14" s="111">
        <v>224243.24</v>
      </c>
      <c r="M14" s="111">
        <v>222175.31</v>
      </c>
      <c r="N14" s="111">
        <v>216606.67</v>
      </c>
      <c r="O14" s="111">
        <v>200120.43</v>
      </c>
      <c r="P14" s="111">
        <v>190549.54</v>
      </c>
      <c r="Q14" s="111">
        <v>187776.22</v>
      </c>
      <c r="R14" s="111">
        <v>185154.44</v>
      </c>
      <c r="S14" s="111">
        <v>183940.8</v>
      </c>
      <c r="T14" s="111">
        <v>182416.87</v>
      </c>
      <c r="U14" s="111">
        <v>166571.35999999999</v>
      </c>
      <c r="V14" s="111">
        <v>168430.39</v>
      </c>
      <c r="W14" s="111">
        <v>167427.37</v>
      </c>
      <c r="X14" s="111">
        <v>166371.79</v>
      </c>
      <c r="Y14" s="111">
        <v>160359.60999999999</v>
      </c>
      <c r="Z14" s="111">
        <v>157267.6</v>
      </c>
      <c r="AA14" s="111">
        <v>142980.84</v>
      </c>
      <c r="AB14" s="111">
        <v>142982.04</v>
      </c>
      <c r="AC14" s="111">
        <v>136914.53</v>
      </c>
      <c r="AD14" s="111">
        <v>138218.60999999999</v>
      </c>
      <c r="AE14" s="111">
        <v>138198.78</v>
      </c>
      <c r="AF14" s="111">
        <v>138193.84</v>
      </c>
      <c r="AG14" s="111">
        <v>136914.54999999999</v>
      </c>
      <c r="AH14" s="111">
        <v>113520.15</v>
      </c>
      <c r="AI14" s="111">
        <v>110520.09</v>
      </c>
      <c r="AJ14" s="111">
        <v>110257.72</v>
      </c>
      <c r="AK14" s="111">
        <v>108229.99</v>
      </c>
      <c r="AL14" s="111">
        <v>105192.67</v>
      </c>
      <c r="AM14" s="111">
        <v>102020.08</v>
      </c>
      <c r="AN14" s="111">
        <v>99020.22</v>
      </c>
      <c r="AO14" s="111">
        <v>97019.53</v>
      </c>
      <c r="AP14" s="111">
        <v>98146.48</v>
      </c>
      <c r="AQ14" s="111">
        <v>96181.53</v>
      </c>
      <c r="AR14" s="111">
        <v>82665.570000000007</v>
      </c>
      <c r="AS14" s="111">
        <v>82638.149999999994</v>
      </c>
      <c r="AT14" s="111">
        <v>74634.97</v>
      </c>
      <c r="AU14" s="111">
        <v>69632.56</v>
      </c>
      <c r="AV14" s="111">
        <v>70114.850000000006</v>
      </c>
      <c r="AW14" s="111">
        <v>62111.68</v>
      </c>
      <c r="AX14" s="111">
        <v>61639.93</v>
      </c>
      <c r="AY14" s="111">
        <v>61915.22</v>
      </c>
      <c r="AZ14" s="111">
        <v>61615.12</v>
      </c>
      <c r="BA14" s="111">
        <v>61610.99</v>
      </c>
      <c r="BB14" s="111">
        <v>62100.43</v>
      </c>
      <c r="BC14" s="111">
        <v>62092.2</v>
      </c>
      <c r="BD14" s="111">
        <v>30611.16</v>
      </c>
      <c r="BE14" s="111">
        <v>30583</v>
      </c>
      <c r="BF14" s="111">
        <v>30583.5</v>
      </c>
      <c r="BG14" s="111">
        <v>30582.51</v>
      </c>
      <c r="BH14" s="111">
        <v>31056.89</v>
      </c>
      <c r="BI14" s="111">
        <v>31055.8</v>
      </c>
      <c r="BJ14" s="111">
        <v>30582.45</v>
      </c>
      <c r="BK14" s="111">
        <v>30525.59</v>
      </c>
      <c r="BL14" s="111">
        <v>30553.05</v>
      </c>
      <c r="BM14" s="111">
        <v>30445.18</v>
      </c>
      <c r="BN14" s="111">
        <v>30445.18</v>
      </c>
      <c r="BO14" s="111">
        <v>30445.18</v>
      </c>
      <c r="BP14" s="111">
        <v>0</v>
      </c>
      <c r="BQ14" s="111">
        <v>0</v>
      </c>
      <c r="BR14" s="111">
        <v>0</v>
      </c>
      <c r="BS14" s="111">
        <v>0</v>
      </c>
      <c r="BT14" s="111">
        <v>0</v>
      </c>
      <c r="BU14" s="111">
        <v>0</v>
      </c>
      <c r="BV14" s="111">
        <v>0</v>
      </c>
      <c r="BW14" s="111">
        <v>0</v>
      </c>
      <c r="BX14" s="111">
        <v>0</v>
      </c>
      <c r="BY14" s="111">
        <v>0</v>
      </c>
      <c r="BZ14" s="111">
        <v>0</v>
      </c>
      <c r="CA14" s="111">
        <v>0</v>
      </c>
      <c r="CB14" s="111">
        <v>0</v>
      </c>
      <c r="CC14" s="111">
        <v>0</v>
      </c>
      <c r="CD14" s="111">
        <v>0</v>
      </c>
      <c r="CE14" s="111">
        <v>0</v>
      </c>
      <c r="CF14" s="111">
        <v>0</v>
      </c>
      <c r="CG14" s="111">
        <v>0</v>
      </c>
      <c r="CH14" s="111">
        <v>0</v>
      </c>
      <c r="CI14" s="111">
        <v>0</v>
      </c>
      <c r="CJ14" s="111">
        <v>0</v>
      </c>
      <c r="CK14" s="111">
        <v>0</v>
      </c>
      <c r="CL14" s="111">
        <v>0</v>
      </c>
      <c r="CM14" s="111">
        <v>0</v>
      </c>
      <c r="CN14" s="111">
        <v>0</v>
      </c>
      <c r="CO14" s="111">
        <v>0</v>
      </c>
      <c r="CP14" s="112">
        <v>0</v>
      </c>
      <c r="CQ14" s="112">
        <v>0</v>
      </c>
      <c r="CR14" s="112">
        <v>0</v>
      </c>
      <c r="CS14" s="112">
        <v>0</v>
      </c>
      <c r="CT14" s="112">
        <v>0</v>
      </c>
      <c r="CU14" s="112">
        <v>0</v>
      </c>
      <c r="CV14" s="112">
        <v>0</v>
      </c>
      <c r="CW14" s="112">
        <v>0</v>
      </c>
      <c r="CX14" s="112">
        <v>0</v>
      </c>
      <c r="CY14" s="112">
        <v>0</v>
      </c>
      <c r="CZ14" s="112">
        <v>0</v>
      </c>
      <c r="DA14" s="112">
        <v>0</v>
      </c>
      <c r="DB14" s="112">
        <v>0</v>
      </c>
      <c r="DC14" s="112">
        <v>0</v>
      </c>
      <c r="DD14" s="112">
        <v>0</v>
      </c>
      <c r="DE14" s="112">
        <v>0</v>
      </c>
      <c r="DF14" s="112">
        <v>0</v>
      </c>
      <c r="DG14" s="112">
        <v>0</v>
      </c>
      <c r="DH14" s="112">
        <v>0</v>
      </c>
      <c r="DI14" s="112">
        <v>0</v>
      </c>
      <c r="DJ14" s="112">
        <v>0</v>
      </c>
      <c r="DK14" s="112">
        <v>0</v>
      </c>
      <c r="DL14" s="112">
        <v>0</v>
      </c>
      <c r="DM14" s="112">
        <v>0</v>
      </c>
      <c r="DN14" s="112">
        <v>0</v>
      </c>
      <c r="DO14" s="112">
        <v>0</v>
      </c>
      <c r="DP14" s="112">
        <v>0</v>
      </c>
      <c r="DQ14" s="112">
        <v>0</v>
      </c>
      <c r="DR14" s="112">
        <v>0</v>
      </c>
      <c r="DS14" s="112">
        <v>0</v>
      </c>
      <c r="DT14" s="112">
        <v>0</v>
      </c>
      <c r="DU14" s="112">
        <v>0</v>
      </c>
      <c r="DV14" s="112">
        <v>0</v>
      </c>
      <c r="DW14" s="112">
        <v>0</v>
      </c>
      <c r="DX14" s="112">
        <v>0</v>
      </c>
      <c r="DY14" s="112">
        <v>0</v>
      </c>
      <c r="DZ14" s="112">
        <v>0</v>
      </c>
      <c r="EA14" s="112">
        <v>0</v>
      </c>
      <c r="EB14" s="112">
        <v>0</v>
      </c>
      <c r="EC14" s="112">
        <v>0</v>
      </c>
      <c r="ED14" s="112">
        <v>0</v>
      </c>
      <c r="EE14" s="112">
        <v>0</v>
      </c>
      <c r="EF14" s="112">
        <v>0</v>
      </c>
      <c r="EG14" s="112">
        <v>0</v>
      </c>
      <c r="EH14" s="112">
        <v>0</v>
      </c>
      <c r="EI14" s="112">
        <v>0</v>
      </c>
      <c r="EJ14" s="112">
        <v>0</v>
      </c>
      <c r="EK14" s="112">
        <v>0</v>
      </c>
      <c r="EL14" s="112">
        <v>0</v>
      </c>
      <c r="EM14" s="112">
        <v>0</v>
      </c>
      <c r="EN14" s="112">
        <v>0</v>
      </c>
      <c r="EO14" s="112">
        <v>0</v>
      </c>
      <c r="EP14" s="112">
        <v>0</v>
      </c>
      <c r="EQ14" s="112">
        <v>0</v>
      </c>
      <c r="ER14" s="112">
        <v>0</v>
      </c>
      <c r="ES14" s="112">
        <v>0</v>
      </c>
      <c r="ET14" s="112">
        <v>0</v>
      </c>
      <c r="EU14" s="112">
        <v>0</v>
      </c>
      <c r="EV14" s="112">
        <v>0</v>
      </c>
      <c r="EW14" s="112">
        <v>0</v>
      </c>
      <c r="EX14" s="112">
        <v>0</v>
      </c>
      <c r="EY14" s="112">
        <v>0</v>
      </c>
      <c r="EZ14" s="112">
        <v>0</v>
      </c>
      <c r="FA14" s="112">
        <v>0</v>
      </c>
      <c r="FB14" s="112">
        <v>0</v>
      </c>
      <c r="FC14" s="112">
        <v>0</v>
      </c>
      <c r="FD14" s="112">
        <v>0</v>
      </c>
      <c r="FE14" s="112">
        <v>0</v>
      </c>
      <c r="FF14" s="112">
        <v>0</v>
      </c>
      <c r="FG14" s="112" t="s">
        <v>200</v>
      </c>
      <c r="FH14" s="112" t="s">
        <v>200</v>
      </c>
      <c r="FI14" s="113">
        <f>FH14-FG14</f>
        <v>0</v>
      </c>
    </row>
    <row r="15" spans="1:165" ht="22.9" customHeight="1" x14ac:dyDescent="0.2">
      <c r="B15" s="105" t="s">
        <v>197</v>
      </c>
      <c r="C15" s="153">
        <v>3264523.06</v>
      </c>
      <c r="D15" s="153">
        <f t="shared" ref="D15:AE15" si="28">+D3+D6+D11+D14</f>
        <v>3260752.06</v>
      </c>
      <c r="E15" s="153">
        <f t="shared" si="28"/>
        <v>3237733.33</v>
      </c>
      <c r="F15" s="153">
        <f t="shared" si="28"/>
        <v>3233150.67</v>
      </c>
      <c r="G15" s="153">
        <f t="shared" si="28"/>
        <v>3213282.4499999997</v>
      </c>
      <c r="H15" s="153">
        <f t="shared" si="28"/>
        <v>3184999.4399999995</v>
      </c>
      <c r="I15" s="153">
        <f t="shared" si="28"/>
        <v>3162063.57</v>
      </c>
      <c r="J15" s="153">
        <f t="shared" si="28"/>
        <v>3158202.9799999995</v>
      </c>
      <c r="K15" s="153">
        <f t="shared" si="28"/>
        <v>3171741.74</v>
      </c>
      <c r="L15" s="153">
        <f t="shared" si="28"/>
        <v>3214821.8899999997</v>
      </c>
      <c r="M15" s="153">
        <f t="shared" si="28"/>
        <v>3201498.7800000003</v>
      </c>
      <c r="N15" s="153">
        <f t="shared" si="28"/>
        <v>3211592.14</v>
      </c>
      <c r="O15" s="153">
        <f t="shared" si="28"/>
        <v>3169426</v>
      </c>
      <c r="P15" s="153">
        <f t="shared" si="28"/>
        <v>3166896.89</v>
      </c>
      <c r="Q15" s="153">
        <f t="shared" si="28"/>
        <v>3175266.12</v>
      </c>
      <c r="R15" s="153">
        <f t="shared" si="28"/>
        <v>3179436.8</v>
      </c>
      <c r="S15" s="153">
        <f t="shared" si="28"/>
        <v>3182950.6599999997</v>
      </c>
      <c r="T15" s="153">
        <f t="shared" si="28"/>
        <v>3209041.3400000003</v>
      </c>
      <c r="U15" s="153">
        <f t="shared" si="28"/>
        <v>3286864.7699999996</v>
      </c>
      <c r="V15" s="153">
        <f t="shared" si="28"/>
        <v>3324284.5500000007</v>
      </c>
      <c r="W15" s="153">
        <f t="shared" si="28"/>
        <v>3341696.22</v>
      </c>
      <c r="X15" s="153">
        <f t="shared" si="28"/>
        <v>3375653.6599999997</v>
      </c>
      <c r="Y15" s="153">
        <f t="shared" si="28"/>
        <v>3401403.17</v>
      </c>
      <c r="Z15" s="153">
        <f t="shared" si="28"/>
        <v>3400127.3400000008</v>
      </c>
      <c r="AA15" s="153">
        <f t="shared" si="28"/>
        <v>3376018.68</v>
      </c>
      <c r="AB15" s="153">
        <f t="shared" si="28"/>
        <v>3334653.85</v>
      </c>
      <c r="AC15" s="153">
        <f t="shared" si="28"/>
        <v>3361761.1</v>
      </c>
      <c r="AD15" s="153">
        <f t="shared" si="28"/>
        <v>3408331.4</v>
      </c>
      <c r="AE15" s="153">
        <f t="shared" si="28"/>
        <v>3408630.54</v>
      </c>
      <c r="AF15" s="153">
        <f>+AF3+AF6+AF11+AF14</f>
        <v>3421975.6999999997</v>
      </c>
      <c r="AG15" s="153">
        <f>+AG3+AG6+AG11+AG14</f>
        <v>3471344.64</v>
      </c>
      <c r="AH15" s="153">
        <f>+AH3+AH6+AH11+AH14</f>
        <v>3524617.5999999996</v>
      </c>
      <c r="AI15" s="153">
        <f>+AI3+AI6+AI11+AI14</f>
        <v>3608824.82</v>
      </c>
      <c r="AJ15" s="153">
        <v>3707892.22</v>
      </c>
      <c r="AK15" s="153">
        <v>3799016.73</v>
      </c>
      <c r="AL15" s="153">
        <f>+AL3+AL6+AL11+AL14</f>
        <v>3834085.6575599997</v>
      </c>
      <c r="AM15" s="153">
        <f>+AM3+AM6+AM11+AM14</f>
        <v>3831570.9336800002</v>
      </c>
      <c r="AN15" s="153">
        <f>+AN3+AN6+AN11+AN14</f>
        <v>3984507.4316500002</v>
      </c>
      <c r="AO15" s="153">
        <f>+AO3+AO6+AO11+AO14</f>
        <v>4018289.1358199995</v>
      </c>
      <c r="AP15" s="153">
        <f>+AP3+AP6+AP11+AP14</f>
        <v>4002031.45566</v>
      </c>
      <c r="AQ15" s="153">
        <f t="shared" ref="AQ15:AY15" si="29">+AQ3+AQ6+AQ11+AQ14</f>
        <v>3993133.2174999998</v>
      </c>
      <c r="AR15" s="153">
        <f t="shared" si="29"/>
        <v>3969822.2216099999</v>
      </c>
      <c r="AS15" s="153">
        <f t="shared" si="29"/>
        <v>3967481.62</v>
      </c>
      <c r="AT15" s="153">
        <f t="shared" si="29"/>
        <v>4008420.9</v>
      </c>
      <c r="AU15" s="153">
        <f t="shared" si="29"/>
        <v>4075144.13</v>
      </c>
      <c r="AV15" s="153">
        <f t="shared" si="29"/>
        <v>4124711.68</v>
      </c>
      <c r="AW15" s="153">
        <f t="shared" si="29"/>
        <v>4108981.93</v>
      </c>
      <c r="AX15" s="153">
        <f t="shared" si="29"/>
        <v>4144260.74</v>
      </c>
      <c r="AY15" s="153">
        <f t="shared" si="29"/>
        <v>4202410.7</v>
      </c>
      <c r="AZ15" s="153">
        <f t="shared" ref="AZ15:BE15" si="30">+AZ3+AZ6+AZ11+AZ14</f>
        <v>4251639.18</v>
      </c>
      <c r="BA15" s="153">
        <f t="shared" si="30"/>
        <v>4266701.34</v>
      </c>
      <c r="BB15" s="153">
        <f t="shared" si="30"/>
        <v>4230744.74</v>
      </c>
      <c r="BC15" s="153">
        <f t="shared" si="30"/>
        <v>4201475.33</v>
      </c>
      <c r="BD15" s="153">
        <f t="shared" si="30"/>
        <v>4166321.9799999995</v>
      </c>
      <c r="BE15" s="153">
        <f t="shared" si="30"/>
        <v>4282103.6300000008</v>
      </c>
      <c r="BF15" s="153">
        <f t="shared" ref="BF15:BK15" si="31">+BF3+BF6+BF11+BF14</f>
        <v>4262996.9800000004</v>
      </c>
      <c r="BG15" s="153">
        <f t="shared" si="31"/>
        <v>4257409.8099999996</v>
      </c>
      <c r="BH15" s="153">
        <f t="shared" si="31"/>
        <v>4246114.68</v>
      </c>
      <c r="BI15" s="153">
        <f t="shared" si="31"/>
        <v>4248399.54</v>
      </c>
      <c r="BJ15" s="153">
        <f t="shared" si="31"/>
        <v>4279265.07</v>
      </c>
      <c r="BK15" s="153">
        <f t="shared" si="31"/>
        <v>4263593.2200000007</v>
      </c>
      <c r="BL15" s="153">
        <f t="shared" ref="BL15:CM15" si="32">+BL3+BL6+BL11+BL14</f>
        <v>4280053.3599999994</v>
      </c>
      <c r="BM15" s="153">
        <f t="shared" si="32"/>
        <v>4271490.8499999996</v>
      </c>
      <c r="BN15" s="153">
        <f t="shared" si="32"/>
        <v>4448294.5999999996</v>
      </c>
      <c r="BO15" s="153">
        <f t="shared" si="32"/>
        <v>4336703.25</v>
      </c>
      <c r="BP15" s="153">
        <f t="shared" si="32"/>
        <v>4303532.1100000003</v>
      </c>
      <c r="BQ15" s="153">
        <f t="shared" si="32"/>
        <v>4297897.08</v>
      </c>
      <c r="BR15" s="153">
        <f t="shared" si="32"/>
        <v>4362447.43</v>
      </c>
      <c r="BS15" s="153">
        <f t="shared" si="32"/>
        <v>4351161.6399999997</v>
      </c>
      <c r="BT15" s="153">
        <f t="shared" si="32"/>
        <v>4473052.3499999996</v>
      </c>
      <c r="BU15" s="153">
        <f t="shared" si="32"/>
        <v>4616126.0199999996</v>
      </c>
      <c r="BV15" s="153">
        <f t="shared" si="32"/>
        <v>4668099.54</v>
      </c>
      <c r="BW15" s="153">
        <f t="shared" si="32"/>
        <v>4791534.4499999993</v>
      </c>
      <c r="BX15" s="153">
        <f t="shared" si="32"/>
        <v>4907992.3199999994</v>
      </c>
      <c r="BY15" s="153">
        <f t="shared" si="32"/>
        <v>5036958.8100000005</v>
      </c>
      <c r="BZ15" s="153">
        <f t="shared" si="32"/>
        <v>4937238.33</v>
      </c>
      <c r="CA15" s="153">
        <f t="shared" si="32"/>
        <v>4827325.82</v>
      </c>
      <c r="CB15" s="153">
        <f t="shared" si="32"/>
        <v>4909298.43</v>
      </c>
      <c r="CC15" s="153">
        <f t="shared" si="32"/>
        <v>4961287.6099999994</v>
      </c>
      <c r="CD15" s="153">
        <f t="shared" si="32"/>
        <v>5040341.0100000007</v>
      </c>
      <c r="CE15" s="153">
        <f t="shared" si="32"/>
        <v>5073976.5599999996</v>
      </c>
      <c r="CF15" s="153">
        <f t="shared" si="32"/>
        <v>5131914.99</v>
      </c>
      <c r="CG15" s="153">
        <f t="shared" si="32"/>
        <v>5154753.6100000003</v>
      </c>
      <c r="CH15" s="153">
        <f t="shared" si="32"/>
        <v>5177034.6800000006</v>
      </c>
      <c r="CI15" s="153">
        <f t="shared" si="32"/>
        <v>5224965.9700000007</v>
      </c>
      <c r="CJ15" s="153">
        <f t="shared" si="32"/>
        <v>5225853.6399999997</v>
      </c>
      <c r="CK15" s="153">
        <f t="shared" si="32"/>
        <v>5302652.79</v>
      </c>
      <c r="CL15" s="153">
        <f t="shared" si="32"/>
        <v>5430560.040000001</v>
      </c>
      <c r="CM15" s="153">
        <f t="shared" si="32"/>
        <v>5373589.7700000005</v>
      </c>
      <c r="CN15" s="153">
        <f t="shared" ref="CN15:CO15" si="33">+CN3+CN6+CN11+CN14</f>
        <v>5393440.0300000003</v>
      </c>
      <c r="CO15" s="153">
        <f t="shared" si="33"/>
        <v>5449775.7800000003</v>
      </c>
      <c r="CP15" s="156">
        <f t="shared" ref="CP15" si="34">+CP3+CP6+CP11+CP14</f>
        <v>5466198.0700000003</v>
      </c>
      <c r="CQ15" s="156">
        <f t="shared" ref="CQ15:CW15" si="35">+CQ3+CQ6+CQ11+CQ14</f>
        <v>5546516.4900000002</v>
      </c>
      <c r="CR15" s="156">
        <f t="shared" si="35"/>
        <v>5550441.0599999996</v>
      </c>
      <c r="CS15" s="156">
        <f t="shared" si="35"/>
        <v>5583828.4400000004</v>
      </c>
      <c r="CT15" s="156">
        <f t="shared" si="35"/>
        <v>5533014.1500000004</v>
      </c>
      <c r="CU15" s="156">
        <f t="shared" si="35"/>
        <v>5655420.9499999993</v>
      </c>
      <c r="CV15" s="156">
        <f t="shared" si="35"/>
        <v>5653329.4000000004</v>
      </c>
      <c r="CW15" s="156">
        <f t="shared" si="35"/>
        <v>5649964.0499999998</v>
      </c>
      <c r="CX15" s="156">
        <f t="shared" ref="CX15:CY15" si="36">+CX3+CX6+CX11+CX14</f>
        <v>5690814.1099999994</v>
      </c>
      <c r="CY15" s="156">
        <f t="shared" si="36"/>
        <v>5640604.5699999994</v>
      </c>
      <c r="CZ15" s="156">
        <f t="shared" ref="CZ15:DA15" si="37">+CZ3+CZ6+CZ11+CZ14</f>
        <v>5626059.8899999997</v>
      </c>
      <c r="DA15" s="156">
        <f t="shared" si="37"/>
        <v>5623973.8300000001</v>
      </c>
      <c r="DB15" s="156">
        <f t="shared" ref="DB15" si="38">+DB3+DB6+DB11+DB14</f>
        <v>5658059.3600000013</v>
      </c>
      <c r="DC15" s="114"/>
      <c r="DD15" s="114"/>
      <c r="DE15" s="114"/>
      <c r="DF15" s="114"/>
      <c r="DG15" s="114"/>
      <c r="DH15" s="114"/>
      <c r="DI15" s="114"/>
      <c r="DJ15" s="114"/>
      <c r="DK15" s="114"/>
      <c r="DL15" s="114"/>
      <c r="DM15" s="114"/>
      <c r="DN15" s="114"/>
      <c r="DO15" s="114"/>
      <c r="DP15" s="114"/>
      <c r="DQ15" s="114"/>
      <c r="DR15" s="114"/>
      <c r="DS15" s="114"/>
      <c r="DT15" s="114"/>
      <c r="DU15" s="114"/>
      <c r="DV15" s="114"/>
      <c r="DW15" s="114"/>
      <c r="DX15" s="114"/>
      <c r="DY15" s="114"/>
      <c r="DZ15" s="114"/>
      <c r="EA15" s="114"/>
      <c r="EB15" s="114"/>
      <c r="EC15" s="114"/>
      <c r="ED15" s="114"/>
      <c r="EE15" s="114"/>
      <c r="EF15" s="114"/>
      <c r="EG15" s="114"/>
      <c r="EH15" s="114"/>
      <c r="EI15" s="114"/>
      <c r="EJ15" s="114"/>
      <c r="EK15" s="114"/>
      <c r="EL15" s="114"/>
      <c r="EM15" s="114"/>
      <c r="EN15" s="114"/>
      <c r="EO15" s="114"/>
      <c r="EP15" s="114"/>
      <c r="EQ15" s="114"/>
      <c r="ER15" s="114"/>
      <c r="ES15" s="114"/>
      <c r="ET15" s="114"/>
      <c r="EU15" s="114"/>
      <c r="EV15" s="114"/>
      <c r="EW15" s="114"/>
      <c r="EX15" s="114"/>
      <c r="EY15" s="114"/>
      <c r="EZ15" s="114"/>
      <c r="FA15" s="114"/>
      <c r="FB15" s="114"/>
      <c r="FC15" s="114"/>
      <c r="FD15" s="114"/>
      <c r="FE15" s="114"/>
      <c r="FF15" s="114"/>
      <c r="FG15" s="114"/>
      <c r="FH15" s="114"/>
      <c r="FI15" s="107"/>
    </row>
    <row r="16" spans="1:165" ht="25.15" customHeight="1" x14ac:dyDescent="0.2">
      <c r="B16" s="105" t="s">
        <v>12</v>
      </c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  <c r="AP16" s="153"/>
      <c r="AQ16" s="153"/>
      <c r="AR16" s="153"/>
      <c r="AS16" s="153"/>
      <c r="AT16" s="153"/>
      <c r="AU16" s="153"/>
      <c r="AV16" s="153"/>
      <c r="AW16" s="153"/>
      <c r="AX16" s="153"/>
      <c r="AY16" s="153"/>
      <c r="AZ16" s="153"/>
      <c r="BA16" s="153"/>
      <c r="BB16" s="153"/>
      <c r="BC16" s="153"/>
      <c r="BD16" s="153"/>
      <c r="BE16" s="153"/>
      <c r="BF16" s="153"/>
      <c r="BG16" s="153"/>
      <c r="BH16" s="153"/>
      <c r="BI16" s="153"/>
      <c r="BJ16" s="153"/>
      <c r="BK16" s="153"/>
      <c r="BL16" s="153"/>
      <c r="BM16" s="153"/>
      <c r="BN16" s="153"/>
      <c r="BO16" s="153"/>
      <c r="BP16" s="153"/>
      <c r="BQ16" s="153"/>
      <c r="BR16" s="153"/>
      <c r="BS16" s="153"/>
      <c r="BT16" s="153"/>
      <c r="BU16" s="153"/>
      <c r="BV16" s="153"/>
      <c r="BW16" s="153"/>
      <c r="BX16" s="153"/>
      <c r="BY16" s="153"/>
      <c r="BZ16" s="153"/>
      <c r="CA16" s="153"/>
      <c r="CB16" s="153"/>
      <c r="CC16" s="153"/>
      <c r="CD16" s="153"/>
      <c r="CE16" s="153"/>
      <c r="CF16" s="153"/>
      <c r="CG16" s="153"/>
      <c r="CH16" s="153"/>
      <c r="CI16" s="153"/>
      <c r="CJ16" s="153"/>
      <c r="CK16" s="153"/>
      <c r="CL16" s="153"/>
      <c r="CM16" s="153"/>
      <c r="CN16" s="153"/>
      <c r="CO16" s="153"/>
      <c r="CP16" s="156"/>
      <c r="CQ16" s="156"/>
      <c r="CR16" s="156"/>
      <c r="CS16" s="156"/>
      <c r="CT16" s="156"/>
      <c r="CU16" s="156"/>
      <c r="CV16" s="156"/>
      <c r="CW16" s="156"/>
      <c r="CX16" s="156"/>
      <c r="CY16" s="156"/>
      <c r="CZ16" s="156"/>
      <c r="DA16" s="156"/>
      <c r="DB16" s="156"/>
      <c r="DC16" s="115">
        <f>+DC3+DC6+DC11+DC14</f>
        <v>5720425.5699999994</v>
      </c>
      <c r="DD16" s="115">
        <f>+DD3+DD6+DD11+DD14</f>
        <v>5730519.2300000004</v>
      </c>
      <c r="DE16" s="115">
        <f>+DE3+DE6+DE11+DE14</f>
        <v>5775710.5300000003</v>
      </c>
      <c r="DF16" s="115">
        <f>+DF3+DF6+DF11+DF14</f>
        <v>5687007.6200000001</v>
      </c>
      <c r="DG16" s="115">
        <v>5684490.7599999998</v>
      </c>
      <c r="DH16" s="115">
        <v>5718472.9500000002</v>
      </c>
      <c r="DI16" s="115">
        <f t="shared" ref="DI16:DN16" si="39">DI3+DI6+DI11+DI14</f>
        <v>5736644.0800000001</v>
      </c>
      <c r="DJ16" s="115">
        <f t="shared" si="39"/>
        <v>5783323.1900000004</v>
      </c>
      <c r="DK16" s="115">
        <f t="shared" si="39"/>
        <v>5867372.6799999997</v>
      </c>
      <c r="DL16" s="115">
        <f t="shared" si="39"/>
        <v>5975766.3500000015</v>
      </c>
      <c r="DM16" s="115">
        <f t="shared" si="39"/>
        <v>6005043.96</v>
      </c>
      <c r="DN16" s="115">
        <f t="shared" si="39"/>
        <v>5980660.6699999999</v>
      </c>
      <c r="DO16" s="115">
        <f t="shared" ref="DO16:EX16" si="40">DO3+DO6+DO11+DO14</f>
        <v>6005787.1699999999</v>
      </c>
      <c r="DP16" s="115">
        <f t="shared" si="40"/>
        <v>6013649.8600000003</v>
      </c>
      <c r="DQ16" s="115">
        <f t="shared" si="40"/>
        <v>6049571.8199999994</v>
      </c>
      <c r="DR16" s="115">
        <f t="shared" si="40"/>
        <v>5977353.3199999994</v>
      </c>
      <c r="DS16" s="115">
        <f t="shared" si="40"/>
        <v>5924055.5300000012</v>
      </c>
      <c r="DT16" s="115">
        <f t="shared" si="40"/>
        <v>5959654.0899999999</v>
      </c>
      <c r="DU16" s="115">
        <f t="shared" si="40"/>
        <v>5949330.6400000006</v>
      </c>
      <c r="DV16" s="115">
        <f t="shared" si="40"/>
        <v>5988386.5300000003</v>
      </c>
      <c r="DW16" s="115">
        <f t="shared" si="40"/>
        <v>5985185.0999999996</v>
      </c>
      <c r="DX16" s="115">
        <f t="shared" si="40"/>
        <v>5944236.7999999998</v>
      </c>
      <c r="DY16" s="115">
        <f t="shared" si="40"/>
        <v>5921722.1299999999</v>
      </c>
      <c r="DZ16" s="115">
        <f t="shared" si="40"/>
        <v>6059644.6099999994</v>
      </c>
      <c r="EA16" s="115">
        <f t="shared" si="40"/>
        <v>6090230.6699999999</v>
      </c>
      <c r="EB16" s="115">
        <f t="shared" si="40"/>
        <v>6166549.2999999998</v>
      </c>
      <c r="EC16" s="115">
        <f t="shared" si="40"/>
        <v>6267920.9200000009</v>
      </c>
      <c r="ED16" s="115">
        <f t="shared" si="40"/>
        <v>6347824.3799999999</v>
      </c>
      <c r="EE16" s="115">
        <f t="shared" si="40"/>
        <v>6185497.0000000009</v>
      </c>
      <c r="EF16" s="115">
        <f t="shared" si="40"/>
        <v>6224988.75</v>
      </c>
      <c r="EG16" s="115">
        <f t="shared" si="40"/>
        <v>6274850.5</v>
      </c>
      <c r="EH16" s="115">
        <f t="shared" si="40"/>
        <v>6369331.3099999996</v>
      </c>
      <c r="EI16" s="115">
        <f t="shared" si="40"/>
        <v>6306824.4300000006</v>
      </c>
      <c r="EJ16" s="115">
        <f t="shared" si="40"/>
        <v>6325468.6900000004</v>
      </c>
      <c r="EK16" s="115">
        <f t="shared" si="40"/>
        <v>6371416.1200000001</v>
      </c>
      <c r="EL16" s="115">
        <f t="shared" si="40"/>
        <v>6441357.8600000003</v>
      </c>
      <c r="EM16" s="115">
        <f t="shared" si="40"/>
        <v>6463691.8399999989</v>
      </c>
      <c r="EN16" s="115">
        <f t="shared" si="40"/>
        <v>6453831.7000000002</v>
      </c>
      <c r="EO16" s="115">
        <f t="shared" si="40"/>
        <v>6486711.4800000004</v>
      </c>
      <c r="EP16" s="115">
        <f t="shared" si="40"/>
        <v>6497688.5700000003</v>
      </c>
      <c r="EQ16" s="115">
        <f t="shared" si="40"/>
        <v>6531509.6299999999</v>
      </c>
      <c r="ER16" s="115">
        <f t="shared" si="40"/>
        <v>6557928.4000000004</v>
      </c>
      <c r="ES16" s="115">
        <f t="shared" si="40"/>
        <v>6672889.9299999997</v>
      </c>
      <c r="ET16" s="115">
        <f t="shared" si="40"/>
        <v>6780953.2199999997</v>
      </c>
      <c r="EU16" s="115">
        <f t="shared" si="40"/>
        <v>6762750.4299999997</v>
      </c>
      <c r="EV16" s="115">
        <f t="shared" si="40"/>
        <v>6808753.6299999999</v>
      </c>
      <c r="EW16" s="115">
        <f t="shared" si="40"/>
        <v>6833645.9300000006</v>
      </c>
      <c r="EX16" s="115">
        <f t="shared" si="40"/>
        <v>6832689.9699999997</v>
      </c>
      <c r="EY16" s="115">
        <f t="shared" ref="EY16:FE16" si="41">EY3+EY6+EY11+EY14</f>
        <v>6901694.5999999996</v>
      </c>
      <c r="EZ16" s="115">
        <f t="shared" si="41"/>
        <v>6908743.6299999999</v>
      </c>
      <c r="FA16" s="115">
        <f t="shared" si="41"/>
        <v>6960625.4700000007</v>
      </c>
      <c r="FB16" s="115">
        <f t="shared" si="41"/>
        <v>6979501.1699999999</v>
      </c>
      <c r="FC16" s="115">
        <f t="shared" si="41"/>
        <v>6883189.1299999999</v>
      </c>
      <c r="FD16" s="115">
        <f t="shared" si="41"/>
        <v>6917412.8600000013</v>
      </c>
      <c r="FE16" s="115">
        <f t="shared" si="41"/>
        <v>6915522.2300000004</v>
      </c>
      <c r="FF16" s="115">
        <f>FF3+FF6+FF11+FF14</f>
        <v>6901801.5500000007</v>
      </c>
      <c r="FG16" s="115">
        <f>FG3+FG6+FG11+FG14</f>
        <v>6880066.1400000006</v>
      </c>
      <c r="FH16" s="115">
        <f>FH3+FH6+FH11+FH14</f>
        <v>6945348.4199999999</v>
      </c>
      <c r="FI16" s="107">
        <f>FH16-FG16</f>
        <v>65282.279999999329</v>
      </c>
    </row>
    <row r="17" spans="2:165" ht="24.95" customHeight="1" x14ac:dyDescent="0.2">
      <c r="B17" s="116" t="s">
        <v>56</v>
      </c>
      <c r="C17" s="117">
        <v>7830329</v>
      </c>
      <c r="D17" s="117">
        <v>7830329</v>
      </c>
      <c r="E17" s="117">
        <v>7830329</v>
      </c>
      <c r="F17" s="117">
        <v>7830329</v>
      </c>
      <c r="G17" s="117">
        <v>7830329</v>
      </c>
      <c r="H17" s="117">
        <v>7830329</v>
      </c>
      <c r="I17" s="117">
        <v>7830329</v>
      </c>
      <c r="J17" s="117">
        <v>8469060</v>
      </c>
      <c r="K17" s="117">
        <v>8469060</v>
      </c>
      <c r="L17" s="117">
        <v>8469060</v>
      </c>
      <c r="M17" s="117">
        <v>8469060</v>
      </c>
      <c r="N17" s="117">
        <v>8469060</v>
      </c>
      <c r="O17" s="117">
        <v>8469060</v>
      </c>
      <c r="P17" s="117">
        <v>8469060</v>
      </c>
      <c r="Q17" s="117">
        <v>8469060</v>
      </c>
      <c r="R17" s="117">
        <v>8469060</v>
      </c>
      <c r="S17" s="117">
        <v>8469060</v>
      </c>
      <c r="T17" s="117">
        <v>8469060</v>
      </c>
      <c r="U17" s="117">
        <v>8469060</v>
      </c>
      <c r="V17" s="117">
        <v>9080500</v>
      </c>
      <c r="W17" s="117">
        <v>9080500</v>
      </c>
      <c r="X17" s="117">
        <v>9080500</v>
      </c>
      <c r="Y17" s="117">
        <v>9080500</v>
      </c>
      <c r="Z17" s="117">
        <v>9080500</v>
      </c>
      <c r="AA17" s="117">
        <v>9080500</v>
      </c>
      <c r="AB17" s="117">
        <v>9080500</v>
      </c>
      <c r="AC17" s="117">
        <v>9080500</v>
      </c>
      <c r="AD17" s="117">
        <v>9080500</v>
      </c>
      <c r="AE17" s="117">
        <v>9080500</v>
      </c>
      <c r="AF17" s="117">
        <v>9080500</v>
      </c>
      <c r="AG17" s="117">
        <v>9080500</v>
      </c>
      <c r="AH17" s="117">
        <v>9041600</v>
      </c>
      <c r="AI17" s="117">
        <v>9041600</v>
      </c>
      <c r="AJ17" s="117">
        <v>9041600</v>
      </c>
      <c r="AK17" s="117">
        <v>9041600</v>
      </c>
      <c r="AL17" s="117">
        <v>9041600</v>
      </c>
      <c r="AM17" s="117">
        <v>9041600</v>
      </c>
      <c r="AN17" s="117">
        <v>9041600</v>
      </c>
      <c r="AO17" s="117">
        <v>9041600</v>
      </c>
      <c r="AP17" s="117">
        <v>9041600</v>
      </c>
      <c r="AQ17" s="117">
        <v>9041600</v>
      </c>
      <c r="AR17" s="117">
        <v>9041600</v>
      </c>
      <c r="AS17" s="117">
        <v>9041600</v>
      </c>
      <c r="AT17" s="117">
        <v>10104800</v>
      </c>
      <c r="AU17" s="117">
        <v>10104800</v>
      </c>
      <c r="AV17" s="117">
        <v>10104800</v>
      </c>
      <c r="AW17" s="117">
        <v>10104800</v>
      </c>
      <c r="AX17" s="117">
        <v>10104800</v>
      </c>
      <c r="AY17" s="117">
        <v>10104800</v>
      </c>
      <c r="AZ17" s="117">
        <v>10104800</v>
      </c>
      <c r="BA17" s="117">
        <v>10104800</v>
      </c>
      <c r="BB17" s="117">
        <v>10104800</v>
      </c>
      <c r="BC17" s="117">
        <v>10104800</v>
      </c>
      <c r="BD17" s="117">
        <v>10104800</v>
      </c>
      <c r="BE17" s="117">
        <v>10104800</v>
      </c>
      <c r="BF17" s="117">
        <v>10164460</v>
      </c>
      <c r="BG17" s="117">
        <v>10229450</v>
      </c>
      <c r="BH17" s="117">
        <v>10291760</v>
      </c>
      <c r="BI17" s="117">
        <v>10354070</v>
      </c>
      <c r="BJ17" s="117">
        <v>10416390</v>
      </c>
      <c r="BK17" s="117">
        <v>10478700</v>
      </c>
      <c r="BL17" s="117">
        <v>10549850</v>
      </c>
      <c r="BM17" s="117">
        <v>10613430</v>
      </c>
      <c r="BN17" s="117">
        <v>10523080</v>
      </c>
      <c r="BO17" s="117">
        <v>10569550</v>
      </c>
      <c r="BP17" s="117">
        <v>10616030</v>
      </c>
      <c r="BQ17" s="117">
        <v>10539400</v>
      </c>
      <c r="BR17" s="117">
        <v>10625480</v>
      </c>
      <c r="BS17" s="117">
        <v>10711550</v>
      </c>
      <c r="BT17" s="117">
        <v>10798350</v>
      </c>
      <c r="BU17" s="117">
        <v>10884430</v>
      </c>
      <c r="BV17" s="117">
        <v>10970520</v>
      </c>
      <c r="BW17" s="117">
        <v>11009350</v>
      </c>
      <c r="BX17" s="117">
        <v>11087560</v>
      </c>
      <c r="BY17" s="117">
        <v>11165770</v>
      </c>
      <c r="BZ17" s="117">
        <v>11243980</v>
      </c>
      <c r="CA17" s="117">
        <v>11155020</v>
      </c>
      <c r="CB17" s="117">
        <v>11216510</v>
      </c>
      <c r="CC17" s="117">
        <v>11278000</v>
      </c>
      <c r="CD17" s="117">
        <v>11440670</v>
      </c>
      <c r="CE17" s="117">
        <v>11518330</v>
      </c>
      <c r="CF17" s="117">
        <v>11588250</v>
      </c>
      <c r="CG17" s="117">
        <v>11659330</v>
      </c>
      <c r="CH17" s="117">
        <v>11730420</v>
      </c>
      <c r="CI17" s="117">
        <v>11801500</v>
      </c>
      <c r="CJ17" s="117">
        <v>11813080</v>
      </c>
      <c r="CK17" s="117">
        <v>11875670</v>
      </c>
      <c r="CL17" s="117">
        <v>11938250</v>
      </c>
      <c r="CM17" s="117">
        <v>11867884.67</v>
      </c>
      <c r="CN17" s="117">
        <v>11894940</v>
      </c>
      <c r="CO17" s="117">
        <v>11897450</v>
      </c>
      <c r="CP17" s="118">
        <v>11947480</v>
      </c>
      <c r="CQ17" s="118">
        <v>11997510</v>
      </c>
      <c r="CR17" s="118">
        <v>11935320</v>
      </c>
      <c r="CS17" s="118">
        <v>11993260</v>
      </c>
      <c r="CT17" s="118">
        <v>12051200</v>
      </c>
      <c r="CU17" s="118">
        <v>12013310</v>
      </c>
      <c r="CV17" s="118">
        <v>12087621</v>
      </c>
      <c r="CW17" s="118">
        <v>12161935</v>
      </c>
      <c r="CX17" s="118">
        <v>12061090</v>
      </c>
      <c r="CY17" s="118">
        <v>12130060</v>
      </c>
      <c r="CZ17" s="118">
        <v>12199030</v>
      </c>
      <c r="DA17" s="118">
        <v>12141100</v>
      </c>
      <c r="DB17" s="118">
        <v>12178830</v>
      </c>
      <c r="DC17" s="118">
        <v>13200050</v>
      </c>
      <c r="DD17" s="118">
        <v>13225780</v>
      </c>
      <c r="DE17" s="118">
        <v>13291117.560000001</v>
      </c>
      <c r="DF17" s="118">
        <v>13356455.109999999</v>
      </c>
      <c r="DG17" s="118">
        <v>13290790</v>
      </c>
      <c r="DH17" s="118">
        <v>13344880</v>
      </c>
      <c r="DI17" s="118">
        <v>13398970</v>
      </c>
      <c r="DJ17" s="118">
        <v>13453060</v>
      </c>
      <c r="DK17" s="118">
        <v>13395970</v>
      </c>
      <c r="DL17" s="118">
        <v>13423480</v>
      </c>
      <c r="DM17" s="118">
        <v>13537490</v>
      </c>
      <c r="DN17" s="118">
        <v>13573480</v>
      </c>
      <c r="DO17" s="118">
        <v>13609470</v>
      </c>
      <c r="DP17" s="118">
        <v>13658170</v>
      </c>
      <c r="DQ17" s="118">
        <v>13724290</v>
      </c>
      <c r="DR17" s="118">
        <v>13776690</v>
      </c>
      <c r="DS17" s="118">
        <v>13831820</v>
      </c>
      <c r="DT17" s="118">
        <v>13892950</v>
      </c>
      <c r="DU17" s="118">
        <v>13954090</v>
      </c>
      <c r="DV17" s="118">
        <v>14002040</v>
      </c>
      <c r="DW17" s="118">
        <v>14012790</v>
      </c>
      <c r="DX17" s="118">
        <v>14023550</v>
      </c>
      <c r="DY17" s="118">
        <v>14360600</v>
      </c>
      <c r="DZ17" s="118">
        <v>14436810</v>
      </c>
      <c r="EA17" s="118">
        <v>14512990</v>
      </c>
      <c r="EB17" s="118">
        <v>14605900</v>
      </c>
      <c r="EC17" s="118">
        <v>14701260</v>
      </c>
      <c r="ED17" s="118">
        <v>14796620</v>
      </c>
      <c r="EE17" s="118">
        <v>14792120</v>
      </c>
      <c r="EF17" s="118">
        <v>14881310</v>
      </c>
      <c r="EG17" s="118">
        <v>14970511.67</v>
      </c>
      <c r="EH17" s="134">
        <v>15023790</v>
      </c>
      <c r="EI17" s="134">
        <v>15101630</v>
      </c>
      <c r="EJ17" s="134">
        <v>15179460</v>
      </c>
      <c r="EK17" s="134">
        <v>15450100</v>
      </c>
      <c r="EL17" s="134">
        <v>15542730</v>
      </c>
      <c r="EM17" s="134">
        <v>15635360</v>
      </c>
      <c r="EN17" s="134">
        <v>15677470</v>
      </c>
      <c r="EO17" s="134">
        <v>15804950</v>
      </c>
      <c r="EP17" s="134">
        <v>15932430</v>
      </c>
      <c r="EQ17" s="134">
        <v>15926350</v>
      </c>
      <c r="ER17" s="134">
        <v>16038440</v>
      </c>
      <c r="ES17" s="134">
        <v>16150540</v>
      </c>
      <c r="ET17" s="134">
        <v>16139430</v>
      </c>
      <c r="EU17" s="134">
        <v>16209320</v>
      </c>
      <c r="EV17" s="134">
        <v>16279210</v>
      </c>
      <c r="EW17" s="134">
        <v>16349100</v>
      </c>
      <c r="EX17" s="134">
        <v>16399099.999999998</v>
      </c>
      <c r="EY17" s="134">
        <v>16481779.999999998</v>
      </c>
      <c r="EZ17" s="134">
        <v>16480189.999999998</v>
      </c>
      <c r="FA17" s="134">
        <v>16545460</v>
      </c>
      <c r="FB17" s="134">
        <v>16610730</v>
      </c>
      <c r="FC17" s="134">
        <v>16629990.000000002</v>
      </c>
      <c r="FD17" s="134">
        <v>16686599.999999998</v>
      </c>
      <c r="FE17" s="134">
        <v>16743210</v>
      </c>
      <c r="FF17" s="134">
        <v>16735960</v>
      </c>
      <c r="FG17" s="134">
        <v>16785280</v>
      </c>
      <c r="FH17" s="134">
        <v>16834600</v>
      </c>
      <c r="FI17" s="118"/>
    </row>
    <row r="18" spans="2:165" ht="24.95" customHeight="1" x14ac:dyDescent="0.2">
      <c r="B18" s="119" t="s">
        <v>13</v>
      </c>
      <c r="C18" s="120">
        <v>41.69</v>
      </c>
      <c r="D18" s="120">
        <v>41.64</v>
      </c>
      <c r="E18" s="121">
        <f t="shared" ref="E18:AE18" si="42">+E15/E17*100</f>
        <v>41.348624432000243</v>
      </c>
      <c r="F18" s="121">
        <f t="shared" si="42"/>
        <v>41.29009994343788</v>
      </c>
      <c r="G18" s="121">
        <f t="shared" si="42"/>
        <v>41.036365777223402</v>
      </c>
      <c r="H18" s="121">
        <f t="shared" si="42"/>
        <v>40.675167544045713</v>
      </c>
      <c r="I18" s="121">
        <f t="shared" si="42"/>
        <v>40.382256863025809</v>
      </c>
      <c r="J18" s="121">
        <f t="shared" si="42"/>
        <v>37.291068666416336</v>
      </c>
      <c r="K18" s="121">
        <f t="shared" si="42"/>
        <v>37.45093009141511</v>
      </c>
      <c r="L18" s="121">
        <f t="shared" si="42"/>
        <v>37.959606969368501</v>
      </c>
      <c r="M18" s="121">
        <f t="shared" si="42"/>
        <v>37.802291871825211</v>
      </c>
      <c r="N18" s="121">
        <f t="shared" si="42"/>
        <v>37.921471095965785</v>
      </c>
      <c r="O18" s="121">
        <f t="shared" si="42"/>
        <v>37.42358656096426</v>
      </c>
      <c r="P18" s="121">
        <f t="shared" si="42"/>
        <v>37.393723624581718</v>
      </c>
      <c r="Q18" s="121">
        <f t="shared" si="42"/>
        <v>37.492544863302427</v>
      </c>
      <c r="R18" s="121">
        <f t="shared" si="42"/>
        <v>37.541790942560326</v>
      </c>
      <c r="S18" s="121">
        <f t="shared" si="42"/>
        <v>37.583281497592409</v>
      </c>
      <c r="T18" s="121">
        <f t="shared" si="42"/>
        <v>37.891352050876961</v>
      </c>
      <c r="U18" s="121">
        <f t="shared" si="42"/>
        <v>38.81026666477743</v>
      </c>
      <c r="V18" s="121">
        <f t="shared" si="42"/>
        <v>36.60904740928364</v>
      </c>
      <c r="W18" s="121">
        <f t="shared" si="42"/>
        <v>36.8007953306536</v>
      </c>
      <c r="X18" s="121">
        <f t="shared" si="42"/>
        <v>37.174755354881334</v>
      </c>
      <c r="Y18" s="121">
        <f t="shared" si="42"/>
        <v>37.45832465172623</v>
      </c>
      <c r="Z18" s="121">
        <f t="shared" si="42"/>
        <v>37.444274434227196</v>
      </c>
      <c r="AA18" s="121">
        <f t="shared" si="42"/>
        <v>37.178775177578331</v>
      </c>
      <c r="AB18" s="121">
        <f t="shared" si="42"/>
        <v>36.723240460327077</v>
      </c>
      <c r="AC18" s="121">
        <f t="shared" si="42"/>
        <v>37.021762017510049</v>
      </c>
      <c r="AD18" s="121">
        <f t="shared" si="42"/>
        <v>37.534622542811519</v>
      </c>
      <c r="AE18" s="121">
        <f t="shared" si="42"/>
        <v>37.537916854798745</v>
      </c>
      <c r="AF18" s="121">
        <f>+AF15/AF17*100</f>
        <v>37.68488188976378</v>
      </c>
      <c r="AG18" s="121">
        <f>+AG15/AG17*100</f>
        <v>38.228562744342277</v>
      </c>
      <c r="AH18" s="121">
        <f>+AH15/AH17*100</f>
        <v>38.982233233056093</v>
      </c>
      <c r="AI18" s="121">
        <f>+AI15/AI17*100</f>
        <v>39.913564192178377</v>
      </c>
      <c r="AJ18" s="121">
        <f t="shared" ref="AJ18:AZ18" si="43">+AJ15/AJ17*100</f>
        <v>41.009248584321362</v>
      </c>
      <c r="AK18" s="121">
        <f t="shared" si="43"/>
        <v>42.017084697398687</v>
      </c>
      <c r="AL18" s="121">
        <f t="shared" si="43"/>
        <v>42.404946663864798</v>
      </c>
      <c r="AM18" s="121">
        <f t="shared" si="43"/>
        <v>42.377133844452317</v>
      </c>
      <c r="AN18" s="121">
        <f t="shared" si="43"/>
        <v>44.068609888183509</v>
      </c>
      <c r="AO18" s="121">
        <f t="shared" si="43"/>
        <v>44.442235177623424</v>
      </c>
      <c r="AP18" s="121">
        <f t="shared" si="43"/>
        <v>44.262425407671209</v>
      </c>
      <c r="AQ18" s="121">
        <f t="shared" si="43"/>
        <v>44.164010988099449</v>
      </c>
      <c r="AR18" s="121">
        <f t="shared" si="43"/>
        <v>43.906191621062639</v>
      </c>
      <c r="AS18" s="121">
        <f t="shared" si="43"/>
        <v>43.880304592107592</v>
      </c>
      <c r="AT18" s="121">
        <f t="shared" si="43"/>
        <v>39.668483295067688</v>
      </c>
      <c r="AU18" s="121">
        <f t="shared" si="43"/>
        <v>40.328795522919798</v>
      </c>
      <c r="AV18" s="121">
        <f t="shared" si="43"/>
        <v>40.819330219301719</v>
      </c>
      <c r="AW18" s="121">
        <f t="shared" si="43"/>
        <v>40.663664100229596</v>
      </c>
      <c r="AX18" s="121">
        <f t="shared" si="43"/>
        <v>41.012793325944109</v>
      </c>
      <c r="AY18" s="121">
        <f t="shared" si="43"/>
        <v>41.588262014092315</v>
      </c>
      <c r="AZ18" s="121">
        <f t="shared" si="43"/>
        <v>42.075441176470584</v>
      </c>
      <c r="BA18" s="121">
        <f t="shared" ref="BA18:BF18" si="44">+BA15/BA17*100</f>
        <v>42.224500633362361</v>
      </c>
      <c r="BB18" s="121">
        <f t="shared" si="44"/>
        <v>41.868663803340986</v>
      </c>
      <c r="BC18" s="121">
        <f t="shared" si="44"/>
        <v>41.579005324202363</v>
      </c>
      <c r="BD18" s="121">
        <f t="shared" si="44"/>
        <v>41.231117686643962</v>
      </c>
      <c r="BE18" s="121">
        <f t="shared" si="44"/>
        <v>42.376926114321918</v>
      </c>
      <c r="BF18" s="121">
        <f t="shared" si="44"/>
        <v>41.940220926640478</v>
      </c>
      <c r="BG18" s="121">
        <v>41.62</v>
      </c>
      <c r="BH18" s="121">
        <v>41.26</v>
      </c>
      <c r="BI18" s="121">
        <v>41.03</v>
      </c>
      <c r="BJ18" s="121">
        <f t="shared" ref="BJ18:BP18" si="45">+BJ15/BJ17*100</f>
        <v>41.08203581087114</v>
      </c>
      <c r="BK18" s="121">
        <f t="shared" si="45"/>
        <v>40.688188611182689</v>
      </c>
      <c r="BL18" s="121">
        <f t="shared" si="45"/>
        <v>40.569802982980796</v>
      </c>
      <c r="BM18" s="121">
        <f t="shared" si="45"/>
        <v>40.246092450791117</v>
      </c>
      <c r="BN18" s="121">
        <f t="shared" si="45"/>
        <v>42.271793049183316</v>
      </c>
      <c r="BO18" s="121">
        <f t="shared" si="45"/>
        <v>41.030159751361225</v>
      </c>
      <c r="BP18" s="121">
        <f t="shared" si="45"/>
        <v>40.53805528055215</v>
      </c>
      <c r="BQ18" s="121">
        <f t="shared" ref="BQ18:CP18" si="46">+BQ15/BQ17*100</f>
        <v>40.779333548399336</v>
      </c>
      <c r="BR18" s="121">
        <f t="shared" si="46"/>
        <v>41.056473966352577</v>
      </c>
      <c r="BS18" s="121">
        <f t="shared" si="46"/>
        <v>40.621213923288408</v>
      </c>
      <c r="BT18" s="121">
        <f t="shared" si="46"/>
        <v>41.423479976107458</v>
      </c>
      <c r="BU18" s="121">
        <f t="shared" si="46"/>
        <v>42.410360671160547</v>
      </c>
      <c r="BV18" s="121">
        <f t="shared" si="46"/>
        <v>42.551306045656908</v>
      </c>
      <c r="BW18" s="121">
        <f t="shared" si="46"/>
        <v>43.522410042373068</v>
      </c>
      <c r="BX18" s="121">
        <f t="shared" si="46"/>
        <v>44.265756577641966</v>
      </c>
      <c r="BY18" s="121">
        <f t="shared" si="46"/>
        <v>45.11071614407247</v>
      </c>
      <c r="BZ18" s="121">
        <f t="shared" si="46"/>
        <v>43.910059694165234</v>
      </c>
      <c r="CA18" s="121">
        <f t="shared" si="46"/>
        <v>43.274918556847055</v>
      </c>
      <c r="CB18" s="121">
        <f t="shared" si="46"/>
        <v>43.76850223465231</v>
      </c>
      <c r="CC18" s="121">
        <f t="shared" si="46"/>
        <v>43.990845983330374</v>
      </c>
      <c r="CD18" s="121">
        <f t="shared" si="46"/>
        <v>44.05634468960298</v>
      </c>
      <c r="CE18" s="121">
        <f t="shared" si="46"/>
        <v>44.051321328699558</v>
      </c>
      <c r="CF18" s="121">
        <f t="shared" si="46"/>
        <v>44.285504627532205</v>
      </c>
      <c r="CG18" s="121">
        <f t="shared" si="46"/>
        <v>44.211405029276982</v>
      </c>
      <c r="CH18" s="121">
        <f t="shared" si="46"/>
        <v>44.133412784878978</v>
      </c>
      <c r="CI18" s="121">
        <f t="shared" si="46"/>
        <v>44.27374460873618</v>
      </c>
      <c r="CJ18" s="121">
        <f t="shared" si="46"/>
        <v>44.237858712545751</v>
      </c>
      <c r="CK18" s="121">
        <f t="shared" si="46"/>
        <v>44.65139895264857</v>
      </c>
      <c r="CL18" s="121">
        <f t="shared" si="46"/>
        <v>45.4887444977279</v>
      </c>
      <c r="CM18" s="121">
        <f t="shared" si="46"/>
        <v>45.278412450228174</v>
      </c>
      <c r="CN18" s="121">
        <f t="shared" si="46"/>
        <v>45.342305467703078</v>
      </c>
      <c r="CO18" s="121">
        <f t="shared" si="46"/>
        <v>45.806250751211394</v>
      </c>
      <c r="CP18" s="121">
        <f t="shared" si="46"/>
        <v>45.751891361190815</v>
      </c>
      <c r="CQ18" s="121">
        <f t="shared" ref="CQ18:CV18" si="47">+CQ15/CQ17*100</f>
        <v>46.230563591945327</v>
      </c>
      <c r="CR18" s="121">
        <f t="shared" si="47"/>
        <v>46.504333859502715</v>
      </c>
      <c r="CS18" s="121">
        <f t="shared" si="47"/>
        <v>46.558053773536137</v>
      </c>
      <c r="CT18" s="121">
        <f t="shared" si="47"/>
        <v>45.912557670605416</v>
      </c>
      <c r="CU18" s="121">
        <f t="shared" si="47"/>
        <v>47.076292462277252</v>
      </c>
      <c r="CV18" s="121">
        <f t="shared" si="47"/>
        <v>46.769578563060513</v>
      </c>
      <c r="CW18" s="121">
        <f t="shared" ref="CW18:DB18" si="48">+CW15/CW17*100</f>
        <v>46.456127663895586</v>
      </c>
      <c r="CX18" s="121">
        <f t="shared" si="48"/>
        <v>47.183248860592201</v>
      </c>
      <c r="CY18" s="121">
        <f t="shared" si="48"/>
        <v>46.501044265238583</v>
      </c>
      <c r="CZ18" s="121">
        <f t="shared" si="48"/>
        <v>46.118911831514467</v>
      </c>
      <c r="DA18" s="121">
        <f t="shared" si="48"/>
        <v>46.321781634283546</v>
      </c>
      <c r="DB18" s="121">
        <f t="shared" si="48"/>
        <v>46.458152055657244</v>
      </c>
      <c r="DC18" s="121">
        <f>+DC16/DC17*100</f>
        <v>43.336393195480319</v>
      </c>
      <c r="DD18" s="121">
        <f>+DD16/DD17*100</f>
        <v>43.328402786073866</v>
      </c>
      <c r="DE18" s="121">
        <f>+DE16/DE17*100</f>
        <v>43.455416776856801</v>
      </c>
      <c r="DF18" s="121">
        <f t="shared" ref="DF18:DS18" si="49">DF16/DF17*100</f>
        <v>42.578719975947273</v>
      </c>
      <c r="DG18" s="121">
        <f t="shared" si="49"/>
        <v>42.770149554691635</v>
      </c>
      <c r="DH18" s="121">
        <f t="shared" si="49"/>
        <v>42.851437779882623</v>
      </c>
      <c r="DI18" s="121">
        <f t="shared" si="49"/>
        <v>42.81406764848343</v>
      </c>
      <c r="DJ18" s="121">
        <f t="shared" si="49"/>
        <v>42.98890505208481</v>
      </c>
      <c r="DK18" s="121">
        <f t="shared" si="49"/>
        <v>43.799535830552024</v>
      </c>
      <c r="DL18" s="121">
        <f t="shared" si="49"/>
        <v>44.517266386957786</v>
      </c>
      <c r="DM18" s="121">
        <f t="shared" si="49"/>
        <v>44.35862157608242</v>
      </c>
      <c r="DN18" s="121">
        <f t="shared" si="49"/>
        <v>44.06136576618524</v>
      </c>
      <c r="DO18" s="121">
        <f t="shared" si="49"/>
        <v>44.129471390142307</v>
      </c>
      <c r="DP18" s="121">
        <f t="shared" si="49"/>
        <v>44.029689628991299</v>
      </c>
      <c r="DQ18" s="121">
        <f t="shared" si="49"/>
        <v>44.079306251908108</v>
      </c>
      <c r="DR18" s="121">
        <f t="shared" si="49"/>
        <v>43.387441540747446</v>
      </c>
      <c r="DS18" s="121">
        <f t="shared" si="49"/>
        <v>42.829183216669975</v>
      </c>
      <c r="DT18" s="121">
        <f t="shared" ref="DT18:EO18" si="50">DT16/DT17*100</f>
        <v>42.896966375031944</v>
      </c>
      <c r="DU18" s="121">
        <f t="shared" si="50"/>
        <v>42.635031306233515</v>
      </c>
      <c r="DV18" s="121">
        <f t="shared" si="50"/>
        <v>42.767957597607207</v>
      </c>
      <c r="DW18" s="121">
        <f t="shared" si="50"/>
        <v>42.712301404645324</v>
      </c>
      <c r="DX18" s="121">
        <f t="shared" si="50"/>
        <v>42.387532400854276</v>
      </c>
      <c r="DY18" s="121">
        <f t="shared" si="50"/>
        <v>41.235896341378492</v>
      </c>
      <c r="DZ18" s="121">
        <f t="shared" si="50"/>
        <v>41.973570407867108</v>
      </c>
      <c r="EA18" s="121">
        <f t="shared" si="50"/>
        <v>41.963996874524135</v>
      </c>
      <c r="EB18" s="121">
        <f t="shared" si="50"/>
        <v>42.219577704900075</v>
      </c>
      <c r="EC18" s="121">
        <f t="shared" si="50"/>
        <v>42.635263371983086</v>
      </c>
      <c r="ED18" s="121">
        <f t="shared" si="50"/>
        <v>42.900502817535354</v>
      </c>
      <c r="EE18" s="121">
        <f t="shared" si="50"/>
        <v>41.816162929992458</v>
      </c>
      <c r="EF18" s="121">
        <f t="shared" si="50"/>
        <v>41.830919119351719</v>
      </c>
      <c r="EG18" s="121">
        <f t="shared" si="50"/>
        <v>41.914736371866439</v>
      </c>
      <c r="EH18" s="121">
        <f t="shared" si="50"/>
        <v>42.394970310421002</v>
      </c>
      <c r="EI18" s="121">
        <f t="shared" si="50"/>
        <v>41.762541063448126</v>
      </c>
      <c r="EJ18" s="121">
        <f t="shared" si="50"/>
        <v>41.671236592079033</v>
      </c>
      <c r="EK18" s="121">
        <f t="shared" si="50"/>
        <v>41.238672371052616</v>
      </c>
      <c r="EL18" s="121">
        <f t="shared" si="50"/>
        <v>41.442898770035896</v>
      </c>
      <c r="EM18" s="121">
        <f t="shared" si="50"/>
        <v>41.340217558150236</v>
      </c>
      <c r="EN18" s="121">
        <f t="shared" si="50"/>
        <v>41.166283207685936</v>
      </c>
      <c r="EO18" s="121">
        <f t="shared" si="50"/>
        <v>41.042277767408315</v>
      </c>
      <c r="EP18" s="121">
        <f t="shared" ref="EP18:FH18" si="51">EP16/EP17*100</f>
        <v>40.782784358694812</v>
      </c>
      <c r="EQ18" s="121">
        <f t="shared" si="51"/>
        <v>41.010712624047571</v>
      </c>
      <c r="ER18" s="121">
        <f t="shared" si="51"/>
        <v>40.888817116876709</v>
      </c>
      <c r="ES18" s="121">
        <f t="shared" si="51"/>
        <v>41.316822409653177</v>
      </c>
      <c r="ET18" s="121">
        <f t="shared" si="51"/>
        <v>42.014824687117205</v>
      </c>
      <c r="EU18" s="121">
        <f t="shared" si="51"/>
        <v>41.721370359768329</v>
      </c>
      <c r="EV18" s="121">
        <f t="shared" si="51"/>
        <v>41.824840578873292</v>
      </c>
      <c r="EW18" s="121">
        <f t="shared" si="51"/>
        <v>41.798300395740441</v>
      </c>
      <c r="EX18" s="121">
        <f t="shared" si="51"/>
        <v>41.665030215072782</v>
      </c>
      <c r="EY18" s="121">
        <f t="shared" si="51"/>
        <v>41.874691932546121</v>
      </c>
      <c r="EZ18" s="121">
        <f t="shared" si="51"/>
        <v>41.921504727797441</v>
      </c>
      <c r="FA18" s="121">
        <f t="shared" si="51"/>
        <v>42.069700509988841</v>
      </c>
      <c r="FB18" s="121">
        <f t="shared" si="51"/>
        <v>42.018027925322968</v>
      </c>
      <c r="FC18" s="121">
        <f t="shared" si="51"/>
        <v>41.390218093937513</v>
      </c>
      <c r="FD18" s="121">
        <f t="shared" si="51"/>
        <v>41.454897103064745</v>
      </c>
      <c r="FE18" s="121">
        <f t="shared" si="51"/>
        <v>41.303443186820211</v>
      </c>
      <c r="FF18" s="121">
        <f t="shared" si="51"/>
        <v>41.239352567764271</v>
      </c>
      <c r="FG18" s="121">
        <f t="shared" si="51"/>
        <v>40.988688541388655</v>
      </c>
      <c r="FH18" s="121">
        <f t="shared" si="51"/>
        <v>41.256391123044203</v>
      </c>
      <c r="FI18" s="122"/>
    </row>
    <row r="19" spans="2:165" ht="24.95" customHeight="1" x14ac:dyDescent="0.2">
      <c r="B19" s="123" t="s">
        <v>14</v>
      </c>
      <c r="C19" s="124">
        <v>24.68</v>
      </c>
      <c r="D19" s="124">
        <v>24.86</v>
      </c>
      <c r="E19" s="124">
        <v>24.89</v>
      </c>
      <c r="F19" s="124">
        <v>25.04</v>
      </c>
      <c r="G19" s="124">
        <v>25.14</v>
      </c>
      <c r="H19" s="124">
        <v>24.97</v>
      </c>
      <c r="I19" s="124">
        <v>24.99</v>
      </c>
      <c r="J19" s="124">
        <v>24.99</v>
      </c>
      <c r="K19" s="124">
        <v>23.51</v>
      </c>
      <c r="L19" s="124">
        <v>24.39</v>
      </c>
      <c r="M19" s="124">
        <v>24.26</v>
      </c>
      <c r="N19" s="124">
        <v>24.64</v>
      </c>
      <c r="O19" s="124">
        <v>24.21</v>
      </c>
      <c r="P19" s="124">
        <v>24.21</v>
      </c>
      <c r="Q19" s="124">
        <v>24.28</v>
      </c>
      <c r="R19" s="124">
        <v>24.4</v>
      </c>
      <c r="S19" s="124">
        <v>24.29</v>
      </c>
      <c r="T19" s="124">
        <v>24.34</v>
      </c>
      <c r="U19" s="124">
        <v>24.35</v>
      </c>
      <c r="V19" s="124">
        <v>24.52</v>
      </c>
      <c r="W19" s="124">
        <v>24.52</v>
      </c>
      <c r="X19" s="124">
        <v>22.57</v>
      </c>
      <c r="Y19" s="124">
        <v>22.95</v>
      </c>
      <c r="Z19" s="124">
        <v>22.97</v>
      </c>
      <c r="AA19" s="124">
        <v>22.72</v>
      </c>
      <c r="AB19" s="124">
        <v>22.36</v>
      </c>
      <c r="AC19" s="124">
        <v>22.4</v>
      </c>
      <c r="AD19" s="124">
        <v>22.7</v>
      </c>
      <c r="AE19" s="124">
        <v>22.8</v>
      </c>
      <c r="AF19" s="124">
        <v>22.3</v>
      </c>
      <c r="AG19" s="125">
        <v>22.89</v>
      </c>
      <c r="AH19" s="125">
        <v>24</v>
      </c>
      <c r="AI19" s="125">
        <v>25.1</v>
      </c>
      <c r="AJ19" s="125">
        <v>25.1</v>
      </c>
      <c r="AK19" s="125">
        <v>25.1</v>
      </c>
      <c r="AL19" s="125">
        <v>25.1</v>
      </c>
      <c r="AM19" s="125">
        <v>25.1</v>
      </c>
      <c r="AN19" s="125">
        <v>25.1</v>
      </c>
      <c r="AO19" s="125">
        <v>25.1</v>
      </c>
      <c r="AP19" s="125">
        <v>28.3</v>
      </c>
      <c r="AQ19" s="125">
        <v>28.29</v>
      </c>
      <c r="AR19" s="125">
        <v>28.32</v>
      </c>
      <c r="AS19" s="125">
        <v>28.5</v>
      </c>
      <c r="AT19" s="125">
        <v>28.15</v>
      </c>
      <c r="AU19" s="125">
        <v>28.86</v>
      </c>
      <c r="AV19" s="125">
        <v>29.47</v>
      </c>
      <c r="AW19" s="125">
        <v>29.77</v>
      </c>
      <c r="AX19" s="125">
        <v>30.44</v>
      </c>
      <c r="AY19" s="125">
        <v>31.05</v>
      </c>
      <c r="AZ19" s="125">
        <v>31.3</v>
      </c>
      <c r="BA19" s="125">
        <v>31.6</v>
      </c>
      <c r="BB19" s="125">
        <v>30.49</v>
      </c>
      <c r="BC19" s="125">
        <v>30.34</v>
      </c>
      <c r="BD19" s="125">
        <v>30.51</v>
      </c>
      <c r="BE19" s="125">
        <v>31.3</v>
      </c>
      <c r="BF19" s="125">
        <v>30.9</v>
      </c>
      <c r="BG19" s="125">
        <v>30.45</v>
      </c>
      <c r="BH19" s="125">
        <v>30.4</v>
      </c>
      <c r="BI19" s="125">
        <v>31.3</v>
      </c>
      <c r="BJ19" s="125">
        <v>30.3</v>
      </c>
      <c r="BK19" s="125">
        <v>29.9</v>
      </c>
      <c r="BL19" s="125">
        <v>29.6</v>
      </c>
      <c r="BM19" s="125">
        <v>29.6</v>
      </c>
      <c r="BN19" s="125">
        <v>32.42</v>
      </c>
      <c r="BO19" s="125">
        <v>32.28</v>
      </c>
      <c r="BP19" s="125">
        <v>31.25</v>
      </c>
      <c r="BQ19" s="125">
        <v>31.05</v>
      </c>
      <c r="BR19" s="125">
        <v>31.55</v>
      </c>
      <c r="BS19" s="125">
        <v>31.33</v>
      </c>
      <c r="BT19" s="125">
        <v>32.24</v>
      </c>
      <c r="BU19" s="125">
        <v>33.14</v>
      </c>
      <c r="BV19" s="125">
        <v>33.36</v>
      </c>
      <c r="BW19" s="125"/>
      <c r="BX19" s="125"/>
      <c r="BY19" s="125"/>
      <c r="BZ19" s="125"/>
      <c r="CA19" s="125"/>
      <c r="CB19" s="125"/>
      <c r="CC19" s="125"/>
      <c r="CD19" s="125"/>
      <c r="CE19" s="125"/>
      <c r="CF19" s="125"/>
      <c r="CG19" s="125"/>
      <c r="CH19" s="125"/>
      <c r="CI19" s="125"/>
      <c r="CJ19" s="125"/>
      <c r="CK19" s="125"/>
      <c r="CL19" s="125"/>
      <c r="CM19" s="125"/>
      <c r="CN19" s="125"/>
      <c r="CO19" s="125"/>
      <c r="CP19" s="125"/>
      <c r="CQ19" s="125"/>
      <c r="CR19" s="125"/>
      <c r="CS19" s="125"/>
      <c r="CT19" s="125"/>
      <c r="CU19" s="125"/>
      <c r="CV19" s="125"/>
      <c r="CW19" s="125"/>
      <c r="CX19" s="125"/>
      <c r="CY19" s="125"/>
      <c r="CZ19" s="125"/>
      <c r="DA19" s="125"/>
      <c r="DB19" s="125"/>
      <c r="DC19" s="125"/>
      <c r="DD19" s="125"/>
      <c r="DE19" s="125"/>
      <c r="DF19" s="125"/>
      <c r="DG19" s="125"/>
      <c r="DH19" s="125"/>
      <c r="DI19" s="125"/>
      <c r="DJ19" s="125"/>
      <c r="DK19" s="125"/>
      <c r="DL19" s="125"/>
      <c r="DM19" s="125"/>
      <c r="DN19" s="125"/>
      <c r="DO19" s="125"/>
      <c r="DP19" s="125"/>
      <c r="DQ19" s="125"/>
      <c r="DR19" s="125"/>
      <c r="DS19" s="125"/>
      <c r="DT19" s="125"/>
      <c r="DU19" s="125"/>
      <c r="DV19" s="125"/>
      <c r="DW19" s="125"/>
      <c r="DX19" s="125"/>
      <c r="DY19" s="125"/>
      <c r="DZ19" s="125"/>
      <c r="EA19" s="125"/>
      <c r="EB19" s="125"/>
      <c r="EC19" s="125"/>
      <c r="ED19" s="125"/>
      <c r="EE19" s="125"/>
      <c r="EF19" s="125"/>
      <c r="EG19" s="125"/>
      <c r="EH19" s="125"/>
      <c r="EI19" s="125"/>
      <c r="EJ19" s="125"/>
      <c r="EK19" s="125"/>
      <c r="EL19" s="125"/>
      <c r="EM19" s="125"/>
      <c r="EN19" s="125"/>
      <c r="EO19" s="125"/>
      <c r="EP19" s="125"/>
      <c r="EQ19" s="125"/>
      <c r="ER19" s="125"/>
      <c r="ES19" s="125"/>
      <c r="ET19" s="125"/>
      <c r="EU19" s="125"/>
      <c r="EV19" s="125"/>
      <c r="EW19" s="125"/>
      <c r="EX19" s="125"/>
      <c r="EY19" s="125"/>
      <c r="EZ19" s="125"/>
      <c r="FA19" s="125"/>
      <c r="FB19" s="125"/>
      <c r="FC19" s="125"/>
      <c r="FD19" s="125"/>
      <c r="FE19" s="125"/>
      <c r="FF19" s="125"/>
      <c r="FG19" s="125"/>
      <c r="FH19" s="125"/>
      <c r="FI19" s="126"/>
    </row>
    <row r="20" spans="2:165" ht="24.95" customHeight="1" x14ac:dyDescent="0.2">
      <c r="B20" s="155"/>
      <c r="C20" s="155"/>
      <c r="D20" s="155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  <c r="DX20" s="88"/>
      <c r="DY20" s="88"/>
      <c r="DZ20" s="88"/>
      <c r="EA20" s="88"/>
      <c r="EB20" s="88"/>
      <c r="EC20" s="88"/>
      <c r="ED20" s="88"/>
      <c r="EE20" s="88"/>
      <c r="EF20" s="88"/>
      <c r="EG20" s="88"/>
      <c r="EH20" s="88"/>
      <c r="EI20" s="88"/>
      <c r="EJ20" s="88"/>
      <c r="EK20" s="88"/>
      <c r="EL20" s="88"/>
      <c r="EM20" s="88"/>
      <c r="EN20" s="88"/>
      <c r="EO20" s="88"/>
      <c r="EP20" s="88"/>
      <c r="EQ20" s="88"/>
      <c r="ER20" s="88"/>
      <c r="ES20" s="88"/>
      <c r="ET20" s="88"/>
      <c r="EU20" s="88"/>
      <c r="EV20" s="88"/>
      <c r="EW20" s="88"/>
      <c r="EX20" s="88"/>
      <c r="EY20" s="88"/>
      <c r="EZ20" s="88"/>
      <c r="FA20" s="88"/>
      <c r="FB20" s="88"/>
      <c r="FC20" s="88"/>
      <c r="FD20" s="88"/>
      <c r="FE20" s="88"/>
      <c r="FF20" s="88"/>
      <c r="FG20" s="88"/>
      <c r="FH20" s="88"/>
    </row>
    <row r="21" spans="2:165" ht="27.75" customHeight="1" x14ac:dyDescent="0.2">
      <c r="B21" s="154" t="s">
        <v>198</v>
      </c>
      <c r="C21" s="154"/>
      <c r="D21" s="154"/>
      <c r="AY21" s="88"/>
      <c r="AZ21" s="88"/>
      <c r="BA21" s="88"/>
      <c r="BB21" s="127"/>
      <c r="BC21" s="128"/>
      <c r="BD21" s="128"/>
      <c r="BE21" s="128"/>
      <c r="BF21" s="128"/>
      <c r="BG21" s="128"/>
      <c r="BH21" s="128"/>
      <c r="BI21" s="128"/>
      <c r="BJ21" s="128"/>
      <c r="BK21" s="128"/>
      <c r="BL21" s="128"/>
      <c r="BM21" s="128"/>
      <c r="BN21" s="128"/>
      <c r="BO21" s="128"/>
      <c r="BP21" s="128"/>
      <c r="BQ21" s="128"/>
      <c r="BR21" s="128"/>
      <c r="BS21" s="128"/>
      <c r="BT21" s="128"/>
      <c r="BU21" s="128"/>
      <c r="BV21" s="128"/>
      <c r="BW21" s="128"/>
      <c r="BX21" s="128"/>
      <c r="BY21" s="128"/>
      <c r="BZ21" s="128"/>
      <c r="CA21" s="128"/>
      <c r="CB21" s="128"/>
      <c r="CC21" s="128"/>
      <c r="CD21" s="128"/>
      <c r="CE21" s="128"/>
      <c r="CF21" s="128"/>
      <c r="CG21" s="128"/>
      <c r="CH21" s="128"/>
      <c r="CI21" s="128"/>
      <c r="CJ21" s="128"/>
      <c r="CK21" s="128"/>
      <c r="CL21" s="128"/>
      <c r="CM21" s="128"/>
      <c r="CN21" s="128"/>
      <c r="CO21" s="128"/>
      <c r="CP21" s="128"/>
      <c r="CQ21" s="128"/>
      <c r="CR21" s="128"/>
      <c r="CS21" s="128"/>
      <c r="CT21" s="128"/>
      <c r="CU21" s="128"/>
      <c r="CV21" s="128"/>
      <c r="CW21" s="128"/>
      <c r="CX21" s="128"/>
      <c r="CY21" s="128"/>
      <c r="CZ21" s="128"/>
      <c r="DA21" s="128"/>
      <c r="DB21" s="128"/>
      <c r="DC21" s="128"/>
      <c r="DD21" s="128"/>
      <c r="DE21" s="128"/>
      <c r="DF21" s="128"/>
      <c r="DG21" s="128"/>
      <c r="DH21" s="128"/>
      <c r="DI21" s="128"/>
      <c r="DJ21" s="128"/>
      <c r="DK21" s="128"/>
      <c r="DL21" s="128"/>
      <c r="DM21" s="128"/>
      <c r="DN21" s="128"/>
      <c r="DO21" s="128"/>
      <c r="DP21" s="128"/>
      <c r="DQ21" s="128"/>
      <c r="DR21" s="128"/>
      <c r="DS21" s="128"/>
      <c r="DT21" s="128"/>
      <c r="DU21" s="128"/>
      <c r="DV21" s="128"/>
      <c r="DW21" s="128"/>
      <c r="DX21" s="128"/>
      <c r="DY21" s="128"/>
      <c r="DZ21" s="128"/>
      <c r="EA21" s="128"/>
      <c r="EB21" s="128"/>
      <c r="EC21" s="128"/>
      <c r="ED21" s="128"/>
      <c r="EE21" s="128"/>
      <c r="EF21" s="128"/>
      <c r="EG21" s="128"/>
      <c r="EH21" s="128"/>
      <c r="EI21" s="128"/>
      <c r="EJ21" s="128"/>
      <c r="EK21" s="128"/>
      <c r="EL21" s="128"/>
      <c r="EM21" s="128"/>
      <c r="EN21" s="128"/>
      <c r="EO21" s="128"/>
      <c r="EP21" s="128"/>
      <c r="EQ21" s="128"/>
      <c r="ER21" s="128"/>
      <c r="ES21" s="128"/>
      <c r="ET21" s="128"/>
      <c r="EU21" s="128"/>
      <c r="EV21" s="128"/>
      <c r="EW21" s="128"/>
      <c r="EX21" s="128"/>
      <c r="EY21" s="128"/>
      <c r="EZ21" s="128"/>
      <c r="FA21" s="128"/>
      <c r="FB21" s="128"/>
      <c r="FC21" s="128"/>
      <c r="FD21" s="128"/>
      <c r="FE21" s="128"/>
      <c r="FF21" s="128"/>
      <c r="FG21" s="128"/>
      <c r="FH21" s="128"/>
    </row>
    <row r="22" spans="2:165" ht="45" customHeight="1" x14ac:dyDescent="0.2">
      <c r="B22" s="129" t="s">
        <v>63</v>
      </c>
      <c r="C22" s="130"/>
      <c r="D22" s="130"/>
      <c r="AY22" s="88"/>
      <c r="BE22" s="88"/>
    </row>
    <row r="23" spans="2:165" ht="59.25" customHeight="1" x14ac:dyDescent="0.2">
      <c r="B23" s="129" t="s">
        <v>186</v>
      </c>
      <c r="C23" s="130"/>
      <c r="D23" s="130"/>
      <c r="AY23" s="88"/>
    </row>
    <row r="24" spans="2:165" ht="13.5" customHeight="1" x14ac:dyDescent="0.2">
      <c r="B24" s="154" t="s">
        <v>199</v>
      </c>
      <c r="C24" s="154"/>
      <c r="D24" s="154"/>
      <c r="CO24" s="88"/>
    </row>
    <row r="31" spans="2:165" x14ac:dyDescent="0.2">
      <c r="CL31" s="88"/>
    </row>
  </sheetData>
  <mergeCells count="107">
    <mergeCell ref="BG15:BG16"/>
    <mergeCell ref="AW15:AW16"/>
    <mergeCell ref="AX15:AX16"/>
    <mergeCell ref="AY15:AY16"/>
    <mergeCell ref="AP15:AP16"/>
    <mergeCell ref="AQ15:AQ16"/>
    <mergeCell ref="AV15:AV16"/>
    <mergeCell ref="AS15:AS16"/>
    <mergeCell ref="AT15:AT16"/>
    <mergeCell ref="AU15:AU16"/>
    <mergeCell ref="AR15:AR16"/>
    <mergeCell ref="CQ15:CQ16"/>
    <mergeCell ref="DB15:DB16"/>
    <mergeCell ref="BN15:BN16"/>
    <mergeCell ref="BT15:BT16"/>
    <mergeCell ref="BR15:BR16"/>
    <mergeCell ref="BS15:BS16"/>
    <mergeCell ref="DA15:DA16"/>
    <mergeCell ref="CV15:CV16"/>
    <mergeCell ref="BP15:BP16"/>
    <mergeCell ref="BO15:BO16"/>
    <mergeCell ref="CZ15:CZ16"/>
    <mergeCell ref="CX15:CX16"/>
    <mergeCell ref="CW15:CW16"/>
    <mergeCell ref="CU15:CU16"/>
    <mergeCell ref="CT15:CT16"/>
    <mergeCell ref="CY15:CY16"/>
    <mergeCell ref="CP15:CP16"/>
    <mergeCell ref="CO15:CO16"/>
    <mergeCell ref="CM15:CM16"/>
    <mergeCell ref="BW15:BW16"/>
    <mergeCell ref="CB15:CB16"/>
    <mergeCell ref="CA15:CA16"/>
    <mergeCell ref="BY15:BY16"/>
    <mergeCell ref="CI15:CI16"/>
    <mergeCell ref="CJ15:CJ16"/>
    <mergeCell ref="CK15:CK16"/>
    <mergeCell ref="CL15:CL16"/>
    <mergeCell ref="CN15:CN16"/>
    <mergeCell ref="CS15:CS16"/>
    <mergeCell ref="O15:O16"/>
    <mergeCell ref="Q15:Q16"/>
    <mergeCell ref="P15:P16"/>
    <mergeCell ref="W15:W16"/>
    <mergeCell ref="U15:U16"/>
    <mergeCell ref="V15:V16"/>
    <mergeCell ref="R15:R16"/>
    <mergeCell ref="S15:S16"/>
    <mergeCell ref="T15:T16"/>
    <mergeCell ref="AG15:AG16"/>
    <mergeCell ref="AH15:AH16"/>
    <mergeCell ref="AJ15:AJ16"/>
    <mergeCell ref="BV15:BV16"/>
    <mergeCell ref="CH15:CH16"/>
    <mergeCell ref="CF15:CF16"/>
    <mergeCell ref="CD15:CD16"/>
    <mergeCell ref="BZ15:BZ16"/>
    <mergeCell ref="CR15:CR16"/>
    <mergeCell ref="AI15:AI16"/>
    <mergeCell ref="B24:D24"/>
    <mergeCell ref="E15:E16"/>
    <mergeCell ref="C15:C16"/>
    <mergeCell ref="D15:D16"/>
    <mergeCell ref="B20:D20"/>
    <mergeCell ref="B21:D21"/>
    <mergeCell ref="AF15:AF16"/>
    <mergeCell ref="AC15:AC16"/>
    <mergeCell ref="Y15:Y16"/>
    <mergeCell ref="Z15:Z16"/>
    <mergeCell ref="AA15:AA16"/>
    <mergeCell ref="AE15:AE16"/>
    <mergeCell ref="X15:X16"/>
    <mergeCell ref="AB15:AB16"/>
    <mergeCell ref="AD15:AD16"/>
    <mergeCell ref="F15:F16"/>
    <mergeCell ref="I15:I16"/>
    <mergeCell ref="N15:N16"/>
    <mergeCell ref="M15:M16"/>
    <mergeCell ref="G15:G16"/>
    <mergeCell ref="K15:K16"/>
    <mergeCell ref="H15:H16"/>
    <mergeCell ref="L15:L16"/>
    <mergeCell ref="J15:J16"/>
    <mergeCell ref="CC15:CC16"/>
    <mergeCell ref="CE15:CE16"/>
    <mergeCell ref="CG15:CG16"/>
    <mergeCell ref="BQ15:BQ16"/>
    <mergeCell ref="BU15:BU16"/>
    <mergeCell ref="BM15:BM16"/>
    <mergeCell ref="AK15:AK16"/>
    <mergeCell ref="AL15:AL16"/>
    <mergeCell ref="BL15:BL16"/>
    <mergeCell ref="BD15:BD16"/>
    <mergeCell ref="BC15:BC16"/>
    <mergeCell ref="BB15:BB16"/>
    <mergeCell ref="BA15:BA16"/>
    <mergeCell ref="BJ15:BJ16"/>
    <mergeCell ref="BX15:BX16"/>
    <mergeCell ref="AM15:AM16"/>
    <mergeCell ref="AN15:AN16"/>
    <mergeCell ref="AO15:AO16"/>
    <mergeCell ref="AZ15:AZ16"/>
    <mergeCell ref="BH15:BH16"/>
    <mergeCell ref="BI15:BI16"/>
    <mergeCell ref="BF15:BF16"/>
    <mergeCell ref="BE15:BE16"/>
    <mergeCell ref="BK15:BK16"/>
  </mergeCells>
  <phoneticPr fontId="3" type="noConversion"/>
  <pageMargins left="0.74803149606299213" right="0.74803149606299213" top="0.98425196850393704" bottom="0.98425196850393704" header="0.51181102362204722" footer="0.51181102362204722"/>
  <pageSetup paperSize="9" scale="80" orientation="landscape" r:id="rId1"/>
  <headerFooter alignWithMargins="0"/>
  <ignoredErrors>
    <ignoredError sqref="FI6" formula="1"/>
    <ignoredError sqref="DL18 DN18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7D938D-3EAF-479B-8CB5-68E87F19572E}">
  <dimension ref="A2:Z32"/>
  <sheetViews>
    <sheetView zoomScaleNormal="100" zoomScaleSheetLayoutView="100" workbookViewId="0">
      <pane xSplit="5" ySplit="14" topLeftCell="T15" activePane="bottomRight" state="frozen"/>
      <selection pane="topRight" activeCell="F1" sqref="F1"/>
      <selection pane="bottomLeft" activeCell="A15" sqref="A15"/>
      <selection pane="bottomRight" activeCell="B24" sqref="B24"/>
    </sheetView>
  </sheetViews>
  <sheetFormatPr defaultColWidth="9.140625" defaultRowHeight="12.75" x14ac:dyDescent="0.2"/>
  <cols>
    <col min="1" max="1" width="5.85546875" customWidth="1"/>
    <col min="2" max="2" width="47.85546875" customWidth="1"/>
    <col min="3" max="6" width="11.140625" bestFit="1" customWidth="1"/>
    <col min="7" max="7" width="12.42578125" customWidth="1"/>
    <col min="8" max="8" width="12" customWidth="1"/>
    <col min="9" max="9" width="11" customWidth="1"/>
    <col min="10" max="10" width="11.140625" customWidth="1"/>
    <col min="11" max="11" width="11.5703125" customWidth="1"/>
    <col min="12" max="12" width="11.42578125" customWidth="1"/>
    <col min="13" max="14" width="12" customWidth="1"/>
    <col min="15" max="15" width="11.28515625" bestFit="1" customWidth="1"/>
    <col min="16" max="16" width="10" bestFit="1" customWidth="1"/>
    <col min="17" max="18" width="10.85546875" bestFit="1" customWidth="1"/>
    <col min="19" max="20" width="11.140625" bestFit="1" customWidth="1"/>
    <col min="21" max="21" width="11.140625" customWidth="1"/>
    <col min="22" max="23" width="12.85546875" customWidth="1"/>
    <col min="24" max="25" width="10.85546875" customWidth="1"/>
    <col min="26" max="26" width="10.42578125" customWidth="1"/>
  </cols>
  <sheetData>
    <row r="2" spans="1:26" ht="26.25" x14ac:dyDescent="0.55000000000000004">
      <c r="A2" s="157" t="s">
        <v>25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</row>
    <row r="3" spans="1:26" ht="17.25" customHeight="1" x14ac:dyDescent="0.4">
      <c r="A3" s="158" t="s">
        <v>26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</row>
    <row r="4" spans="1:26" ht="21" x14ac:dyDescent="0.45">
      <c r="A4" s="4"/>
      <c r="B4" s="5"/>
      <c r="C4" s="43">
        <v>2539</v>
      </c>
      <c r="D4" s="43">
        <v>2540</v>
      </c>
      <c r="E4" s="43">
        <v>2541</v>
      </c>
      <c r="F4" s="6">
        <v>2542</v>
      </c>
      <c r="G4" s="6">
        <v>2543</v>
      </c>
      <c r="H4" s="6">
        <v>2544</v>
      </c>
      <c r="I4" s="6">
        <v>2545</v>
      </c>
      <c r="J4" s="6">
        <v>2546</v>
      </c>
      <c r="K4" s="6">
        <v>2547</v>
      </c>
      <c r="L4" s="6">
        <v>2548</v>
      </c>
      <c r="M4" s="31">
        <v>2549</v>
      </c>
      <c r="N4" s="6">
        <v>2550</v>
      </c>
      <c r="O4" s="31">
        <v>2551</v>
      </c>
      <c r="P4" s="6">
        <v>2552</v>
      </c>
      <c r="Q4" s="6">
        <v>2553</v>
      </c>
      <c r="R4" s="6">
        <v>2554</v>
      </c>
      <c r="S4" s="6">
        <v>2555</v>
      </c>
      <c r="T4" s="6">
        <v>2556</v>
      </c>
      <c r="U4" s="6">
        <v>2557</v>
      </c>
      <c r="V4" s="81">
        <v>2558</v>
      </c>
      <c r="W4" s="6">
        <v>2559</v>
      </c>
      <c r="X4" s="6">
        <v>2560</v>
      </c>
      <c r="Y4" s="6">
        <v>2561</v>
      </c>
      <c r="Z4" s="6">
        <v>2562</v>
      </c>
    </row>
    <row r="5" spans="1:26" ht="21" x14ac:dyDescent="0.45">
      <c r="A5" s="7"/>
      <c r="B5" s="8"/>
      <c r="C5" s="42">
        <v>14518</v>
      </c>
      <c r="D5" s="42">
        <v>14884</v>
      </c>
      <c r="E5" s="42">
        <v>15249</v>
      </c>
      <c r="F5" s="9" t="s">
        <v>27</v>
      </c>
      <c r="G5" s="9" t="s">
        <v>28</v>
      </c>
      <c r="H5" s="9" t="s">
        <v>29</v>
      </c>
      <c r="I5" s="9" t="s">
        <v>30</v>
      </c>
      <c r="J5" s="9" t="s">
        <v>31</v>
      </c>
      <c r="K5" s="9" t="s">
        <v>32</v>
      </c>
      <c r="L5" s="9" t="s">
        <v>33</v>
      </c>
      <c r="M5" s="32" t="s">
        <v>34</v>
      </c>
      <c r="N5" s="42" t="s">
        <v>187</v>
      </c>
      <c r="O5" s="9" t="s">
        <v>188</v>
      </c>
      <c r="P5" s="9" t="s">
        <v>189</v>
      </c>
      <c r="Q5" s="9" t="s">
        <v>190</v>
      </c>
      <c r="R5" s="9" t="s">
        <v>139</v>
      </c>
      <c r="S5" s="9" t="s">
        <v>154</v>
      </c>
      <c r="T5" s="42" t="s">
        <v>191</v>
      </c>
      <c r="U5" s="42" t="s">
        <v>192</v>
      </c>
      <c r="V5" s="82" t="s">
        <v>193</v>
      </c>
      <c r="W5" s="85">
        <v>21823</v>
      </c>
      <c r="X5" s="85">
        <v>22189</v>
      </c>
      <c r="Y5" s="85">
        <v>22554</v>
      </c>
      <c r="Z5" s="85">
        <v>22919</v>
      </c>
    </row>
    <row r="6" spans="1:26" ht="21" x14ac:dyDescent="0.45">
      <c r="A6" s="65">
        <v>1</v>
      </c>
      <c r="B6" s="44" t="s">
        <v>35</v>
      </c>
      <c r="C6" s="44">
        <v>175308</v>
      </c>
      <c r="D6" s="44">
        <v>241902</v>
      </c>
      <c r="E6" s="44">
        <v>499912</v>
      </c>
      <c r="F6" s="45">
        <v>959685</v>
      </c>
      <c r="G6" s="45">
        <v>1113934.77</v>
      </c>
      <c r="H6" s="45">
        <v>1263712.22</v>
      </c>
      <c r="I6" s="45">
        <v>1670548.06</v>
      </c>
      <c r="J6" s="45">
        <v>1651628.48</v>
      </c>
      <c r="K6" s="45">
        <v>1828411.73</v>
      </c>
      <c r="L6" s="46">
        <v>1826994.39</v>
      </c>
      <c r="M6" s="45">
        <v>1967703.88</v>
      </c>
      <c r="N6" s="47">
        <f>SUM(N7:N8)</f>
        <v>2051363.26</v>
      </c>
      <c r="O6" s="47">
        <f>SUM(O7:O8)</f>
        <v>2162110.65</v>
      </c>
      <c r="P6" s="47">
        <f>SUM(P7:P8)</f>
        <v>2586513.18566</v>
      </c>
      <c r="Q6" s="47">
        <f>SUM(Q7:Q8)</f>
        <v>2907482.31</v>
      </c>
      <c r="R6" s="47">
        <f>SUM(R7:R8)</f>
        <v>3181158.8899999997</v>
      </c>
      <c r="S6" s="47">
        <f>+[2]รายเดือน!BZ3</f>
        <v>3515010.95</v>
      </c>
      <c r="T6" s="47">
        <f>+[2]รายเดือน!CL3</f>
        <v>3774819.49</v>
      </c>
      <c r="U6" s="47">
        <f t="shared" ref="U6:Z6" si="0">SUM(U7:U8)</f>
        <v>3965455.02</v>
      </c>
      <c r="V6" s="47">
        <f t="shared" si="0"/>
        <v>4157394.7800000003</v>
      </c>
      <c r="W6" s="47">
        <f t="shared" si="0"/>
        <v>4471220.22</v>
      </c>
      <c r="X6" s="47">
        <f t="shared" si="0"/>
        <v>4959164.41</v>
      </c>
      <c r="Y6" s="143">
        <f t="shared" si="0"/>
        <v>5450220.0099999998</v>
      </c>
      <c r="Z6" s="143">
        <f t="shared" si="0"/>
        <v>5664175.96</v>
      </c>
    </row>
    <row r="7" spans="1:26" ht="21" x14ac:dyDescent="0.45">
      <c r="A7" s="10">
        <v>1.1000000000000001</v>
      </c>
      <c r="B7" s="11" t="s">
        <v>36</v>
      </c>
      <c r="C7" s="11">
        <v>125074</v>
      </c>
      <c r="D7" s="11">
        <v>206442</v>
      </c>
      <c r="E7" s="11">
        <v>272896</v>
      </c>
      <c r="F7" s="12">
        <v>361045</v>
      </c>
      <c r="G7" s="12">
        <v>395221.82</v>
      </c>
      <c r="H7" s="12">
        <v>449618.91</v>
      </c>
      <c r="I7" s="12">
        <v>409568.66</v>
      </c>
      <c r="J7" s="12">
        <v>344269.36</v>
      </c>
      <c r="K7" s="12">
        <v>321904.49</v>
      </c>
      <c r="L7" s="13">
        <v>250826.21</v>
      </c>
      <c r="M7" s="11">
        <v>191917.24</v>
      </c>
      <c r="N7" s="41">
        <f>+[2]รายเดือน!R4</f>
        <v>107901.7</v>
      </c>
      <c r="O7" s="37">
        <v>66986.12</v>
      </c>
      <c r="P7" s="37">
        <v>62997.731660000005</v>
      </c>
      <c r="Q7" s="38">
        <v>54187.63</v>
      </c>
      <c r="R7" s="38">
        <f>+[2]รายเดือน!BN4</f>
        <v>46157.8</v>
      </c>
      <c r="S7" s="38">
        <f>+[2]รายเดือน!BZ4</f>
        <v>52647.68</v>
      </c>
      <c r="T7" s="38">
        <f>+[2]รายเดือน!CL4</f>
        <v>69836.14</v>
      </c>
      <c r="U7" s="37">
        <f>+[2]รายเดือน!CX4</f>
        <v>75184.649999999994</v>
      </c>
      <c r="V7" s="37">
        <f>[2]รายเดือน!DJ4</f>
        <v>84676.7</v>
      </c>
      <c r="W7" s="37">
        <v>98735.91</v>
      </c>
      <c r="X7" s="37">
        <v>96166.17</v>
      </c>
      <c r="Y7" s="144">
        <v>83593.710000000006</v>
      </c>
      <c r="Z7" s="144">
        <v>84040.72</v>
      </c>
    </row>
    <row r="8" spans="1:26" ht="21" x14ac:dyDescent="0.45">
      <c r="A8" s="10">
        <v>1.2</v>
      </c>
      <c r="B8" s="11" t="s">
        <v>37</v>
      </c>
      <c r="C8" s="11">
        <v>50234</v>
      </c>
      <c r="D8" s="11">
        <v>35460</v>
      </c>
      <c r="E8" s="11">
        <v>227016</v>
      </c>
      <c r="F8" s="12">
        <v>598640</v>
      </c>
      <c r="G8" s="12">
        <v>718712.95</v>
      </c>
      <c r="H8" s="12">
        <v>814093.31</v>
      </c>
      <c r="I8" s="12">
        <v>1260979.3999999999</v>
      </c>
      <c r="J8" s="12">
        <v>1307359.1200000001</v>
      </c>
      <c r="K8" s="12">
        <v>1506507.24</v>
      </c>
      <c r="L8" s="14">
        <v>1576168.18</v>
      </c>
      <c r="M8" s="11">
        <v>1775786.64</v>
      </c>
      <c r="N8" s="41">
        <f>+[2]รายเดือน!R5</f>
        <v>1943461.56</v>
      </c>
      <c r="O8" s="37">
        <v>2095124.53</v>
      </c>
      <c r="P8" s="37">
        <v>2523515.4539999999</v>
      </c>
      <c r="Q8" s="40">
        <v>2853294.68</v>
      </c>
      <c r="R8" s="38">
        <f>+[2]รายเดือน!BN5</f>
        <v>3135001.09</v>
      </c>
      <c r="S8" s="38">
        <f>+[2]รายเดือน!BZ5</f>
        <v>3462363.27</v>
      </c>
      <c r="T8" s="38">
        <f>+[2]รายเดือน!CL5</f>
        <v>3704983.35</v>
      </c>
      <c r="U8" s="83">
        <f>+[2]รายเดือน!CX5</f>
        <v>3890270.37</v>
      </c>
      <c r="V8" s="83">
        <f>[2]รายเดือน!DJ5</f>
        <v>4072718.08</v>
      </c>
      <c r="W8" s="83">
        <v>4372484.3099999996</v>
      </c>
      <c r="X8" s="83">
        <v>4862998.24</v>
      </c>
      <c r="Y8" s="145">
        <v>5366626.3</v>
      </c>
      <c r="Z8" s="145">
        <v>5580135.2400000002</v>
      </c>
    </row>
    <row r="9" spans="1:26" ht="21" x14ac:dyDescent="0.45">
      <c r="A9" s="66">
        <v>2</v>
      </c>
      <c r="B9" s="58" t="s">
        <v>38</v>
      </c>
      <c r="C9" s="58">
        <v>329664</v>
      </c>
      <c r="D9" s="58">
        <v>615849</v>
      </c>
      <c r="E9" s="58">
        <v>449113</v>
      </c>
      <c r="F9" s="59">
        <v>832777.2</v>
      </c>
      <c r="G9" s="59">
        <v>908934.26</v>
      </c>
      <c r="H9" s="59">
        <v>920554.31</v>
      </c>
      <c r="I9" s="59">
        <v>842726.96</v>
      </c>
      <c r="J9" s="59">
        <v>794098.30784999998</v>
      </c>
      <c r="K9" s="59">
        <v>839143.29</v>
      </c>
      <c r="L9" s="60">
        <v>901272.78</v>
      </c>
      <c r="M9" s="59">
        <v>911472.82</v>
      </c>
      <c r="N9" s="47">
        <f>SUM(N10,N13)</f>
        <v>907325.82000000007</v>
      </c>
      <c r="O9" s="47">
        <f>SUM(O10,O13)</f>
        <v>1090886</v>
      </c>
      <c r="P9" s="47">
        <f>SUM(P10,P13)</f>
        <v>1317371.79</v>
      </c>
      <c r="Q9" s="47">
        <f>SUM(Q10,Q13)</f>
        <v>1261162</v>
      </c>
      <c r="R9" s="47">
        <f>SUM(R10,R13)</f>
        <v>1236690.53</v>
      </c>
      <c r="S9" s="47">
        <f t="shared" ref="S9:Y9" si="1">+S10+S13</f>
        <v>1416495.17</v>
      </c>
      <c r="T9" s="47">
        <f t="shared" si="1"/>
        <v>1654905.86</v>
      </c>
      <c r="U9" s="47">
        <f t="shared" si="1"/>
        <v>1713902.07</v>
      </c>
      <c r="V9" s="47">
        <f t="shared" si="1"/>
        <v>1607495.5299999998</v>
      </c>
      <c r="W9" s="47">
        <f t="shared" si="1"/>
        <v>1494848.62</v>
      </c>
      <c r="X9" s="47">
        <f t="shared" si="1"/>
        <v>1396537.35</v>
      </c>
      <c r="Y9" s="143">
        <f t="shared" si="1"/>
        <v>1321764.67</v>
      </c>
      <c r="Z9" s="143">
        <f>+Z10+Z13</f>
        <v>1228518.8499999999</v>
      </c>
    </row>
    <row r="10" spans="1:26" ht="21" x14ac:dyDescent="0.45">
      <c r="A10" s="68">
        <v>2.1</v>
      </c>
      <c r="B10" s="48" t="s">
        <v>39</v>
      </c>
      <c r="C10" s="48">
        <v>263598</v>
      </c>
      <c r="D10" s="48">
        <v>523968</v>
      </c>
      <c r="E10" s="48">
        <v>359633</v>
      </c>
      <c r="F10" s="49">
        <v>728494.2</v>
      </c>
      <c r="G10" s="49">
        <v>775637.83</v>
      </c>
      <c r="H10" s="49">
        <v>746434.47</v>
      </c>
      <c r="I10" s="49">
        <v>707574.94</v>
      </c>
      <c r="J10" s="49">
        <v>637639.43999999994</v>
      </c>
      <c r="K10" s="49">
        <v>593816.06000000006</v>
      </c>
      <c r="L10" s="50">
        <v>574961.74</v>
      </c>
      <c r="M10" s="49">
        <v>522275.89</v>
      </c>
      <c r="N10" s="49">
        <f>+N11+N12</f>
        <v>506781.12</v>
      </c>
      <c r="O10" s="51">
        <f>SUM(O11:O12)</f>
        <v>674986.22</v>
      </c>
      <c r="P10" s="51">
        <f>SUM(P11:P12)</f>
        <v>768265.32</v>
      </c>
      <c r="Q10" s="51">
        <f>SUM(Q11:Q12)</f>
        <v>711865.64</v>
      </c>
      <c r="R10" s="51">
        <f>SUM(R11:R12)</f>
        <v>684372.57000000007</v>
      </c>
      <c r="S10" s="51">
        <f>+S11+S12</f>
        <v>847684.85999999987</v>
      </c>
      <c r="T10" s="51">
        <f t="shared" ref="T10:Z10" si="2">T11+T12</f>
        <v>991048.02</v>
      </c>
      <c r="U10" s="51">
        <f t="shared" si="2"/>
        <v>1052405.02</v>
      </c>
      <c r="V10" s="51">
        <f t="shared" si="2"/>
        <v>967416.07</v>
      </c>
      <c r="W10" s="51">
        <f t="shared" si="2"/>
        <v>923648.11</v>
      </c>
      <c r="X10" s="51">
        <f t="shared" si="2"/>
        <v>844460.95000000007</v>
      </c>
      <c r="Y10" s="146">
        <f t="shared" si="2"/>
        <v>781219.3</v>
      </c>
      <c r="Z10" s="146">
        <f t="shared" si="2"/>
        <v>735124.92999999993</v>
      </c>
    </row>
    <row r="11" spans="1:26" ht="21" x14ac:dyDescent="0.45">
      <c r="A11" s="18" t="s">
        <v>40</v>
      </c>
      <c r="B11" s="11" t="s">
        <v>41</v>
      </c>
      <c r="C11" s="11">
        <v>96881</v>
      </c>
      <c r="D11" s="11">
        <v>131257</v>
      </c>
      <c r="E11" s="11">
        <v>150954</v>
      </c>
      <c r="F11" s="12">
        <v>453596.75</v>
      </c>
      <c r="G11" s="12">
        <v>422588.24</v>
      </c>
      <c r="H11" s="12">
        <v>384803.14</v>
      </c>
      <c r="I11" s="12">
        <v>351371.42</v>
      </c>
      <c r="J11" s="12">
        <v>305117.70974999998</v>
      </c>
      <c r="K11" s="12">
        <v>271180.83</v>
      </c>
      <c r="L11" s="13">
        <v>247461.6</v>
      </c>
      <c r="M11" s="11">
        <v>195097.47</v>
      </c>
      <c r="N11" s="11">
        <v>171123.7</v>
      </c>
      <c r="O11" s="37">
        <f>174945.65+9014.02</f>
        <v>183959.66999999998</v>
      </c>
      <c r="P11" s="37">
        <v>184021.11</v>
      </c>
      <c r="Q11" s="37">
        <v>168194.86</v>
      </c>
      <c r="R11" s="37">
        <f>+[2]รายเดือน!BN7</f>
        <v>177430.28999999998</v>
      </c>
      <c r="S11" s="37">
        <f>+[2]รายเดือน!BZ7</f>
        <v>165321.19</v>
      </c>
      <c r="T11" s="37">
        <f>[2]รายเดือน!CL7</f>
        <v>116942.72</v>
      </c>
      <c r="U11" s="37">
        <f>[2]รายเดือน!CX7</f>
        <v>110406.56999999999</v>
      </c>
      <c r="V11" s="37">
        <f>[2]รายเดือน!DJ7</f>
        <v>102905.98</v>
      </c>
      <c r="W11" s="37">
        <v>96578.2</v>
      </c>
      <c r="X11" s="37">
        <v>83770.909999999989</v>
      </c>
      <c r="Y11" s="144">
        <v>72299.22</v>
      </c>
      <c r="Z11" s="144">
        <v>48539.71</v>
      </c>
    </row>
    <row r="12" spans="1:26" ht="21" x14ac:dyDescent="0.45">
      <c r="A12" s="10" t="s">
        <v>42</v>
      </c>
      <c r="B12" s="11" t="s">
        <v>43</v>
      </c>
      <c r="C12" s="11">
        <v>166717</v>
      </c>
      <c r="D12" s="11">
        <v>392711</v>
      </c>
      <c r="E12" s="11">
        <v>208679</v>
      </c>
      <c r="F12" s="12">
        <v>274897.45</v>
      </c>
      <c r="G12" s="12">
        <v>353049.59</v>
      </c>
      <c r="H12" s="12">
        <v>411631.33</v>
      </c>
      <c r="I12" s="12">
        <v>420587.96</v>
      </c>
      <c r="J12" s="12">
        <v>389472.18</v>
      </c>
      <c r="K12" s="12">
        <v>382720.71</v>
      </c>
      <c r="L12" s="13">
        <v>327500.14</v>
      </c>
      <c r="M12" s="11">
        <v>327178.42</v>
      </c>
      <c r="N12" s="11">
        <v>335657.42</v>
      </c>
      <c r="O12" s="37">
        <f>397694.28+93332.27</f>
        <v>491026.55000000005</v>
      </c>
      <c r="P12" s="37">
        <v>584244.21</v>
      </c>
      <c r="Q12" s="37">
        <v>543670.78</v>
      </c>
      <c r="R12" s="37">
        <f>+[2]รายเดือน!BN8</f>
        <v>506942.28</v>
      </c>
      <c r="S12" s="37">
        <f>+[2]รายเดือน!BZ8</f>
        <v>682363.66999999993</v>
      </c>
      <c r="T12" s="37">
        <f>[2]รายเดือน!CL8</f>
        <v>874105.3</v>
      </c>
      <c r="U12" s="37">
        <f>[2]รายเดือน!CX8</f>
        <v>941998.45</v>
      </c>
      <c r="V12" s="37">
        <f>[2]รายเดือน!DJ8</f>
        <v>864510.09</v>
      </c>
      <c r="W12" s="37">
        <v>827069.91</v>
      </c>
      <c r="X12" s="37">
        <v>760690.04</v>
      </c>
      <c r="Y12" s="144">
        <v>708920.08000000007</v>
      </c>
      <c r="Z12" s="144">
        <v>686585.22</v>
      </c>
    </row>
    <row r="13" spans="1:26" ht="21" x14ac:dyDescent="0.45">
      <c r="A13" s="69">
        <v>2.2000000000000002</v>
      </c>
      <c r="B13" s="48" t="s">
        <v>44</v>
      </c>
      <c r="C13" s="48">
        <v>66066</v>
      </c>
      <c r="D13" s="48">
        <v>91881</v>
      </c>
      <c r="E13" s="48">
        <v>89480</v>
      </c>
      <c r="F13" s="49">
        <v>104283</v>
      </c>
      <c r="G13" s="49">
        <v>133296.43</v>
      </c>
      <c r="H13" s="49">
        <v>174119.84</v>
      </c>
      <c r="I13" s="49">
        <v>135152.01999999999</v>
      </c>
      <c r="J13" s="49">
        <v>156458.86784999998</v>
      </c>
      <c r="K13" s="49">
        <v>245327.23</v>
      </c>
      <c r="L13" s="50">
        <v>326311.03999999998</v>
      </c>
      <c r="M13" s="49">
        <v>389196.93</v>
      </c>
      <c r="N13" s="49">
        <f t="shared" ref="N13:S13" si="3">+N14+N15</f>
        <v>400544.7</v>
      </c>
      <c r="O13" s="52">
        <f t="shared" si="3"/>
        <v>415899.78</v>
      </c>
      <c r="P13" s="52">
        <f t="shared" si="3"/>
        <v>549106.47</v>
      </c>
      <c r="Q13" s="52">
        <f t="shared" si="3"/>
        <v>549296.36</v>
      </c>
      <c r="R13" s="52">
        <f t="shared" si="3"/>
        <v>552317.96</v>
      </c>
      <c r="S13" s="52">
        <f t="shared" si="3"/>
        <v>568810.30999999994</v>
      </c>
      <c r="T13" s="52">
        <f t="shared" ref="T13:Z13" si="4">T14+T15</f>
        <v>663857.84000000008</v>
      </c>
      <c r="U13" s="52">
        <f t="shared" si="4"/>
        <v>661497.05000000005</v>
      </c>
      <c r="V13" s="52">
        <f t="shared" si="4"/>
        <v>640079.46</v>
      </c>
      <c r="W13" s="52">
        <f t="shared" si="4"/>
        <v>571200.51</v>
      </c>
      <c r="X13" s="52">
        <f t="shared" si="4"/>
        <v>552076.4</v>
      </c>
      <c r="Y13" s="52">
        <f t="shared" si="4"/>
        <v>540545.37</v>
      </c>
      <c r="Z13" s="52">
        <f t="shared" si="4"/>
        <v>493393.91999999998</v>
      </c>
    </row>
    <row r="14" spans="1:26" ht="21" x14ac:dyDescent="0.45">
      <c r="A14" s="15" t="s">
        <v>45</v>
      </c>
      <c r="B14" s="11" t="s">
        <v>46</v>
      </c>
      <c r="C14" s="11">
        <v>38166</v>
      </c>
      <c r="D14" s="11">
        <v>54181</v>
      </c>
      <c r="E14" s="11">
        <v>51280</v>
      </c>
      <c r="F14" s="12">
        <v>54783</v>
      </c>
      <c r="G14" s="12">
        <v>48526.71</v>
      </c>
      <c r="H14" s="12">
        <v>74894.399999999994</v>
      </c>
      <c r="I14" s="11">
        <v>63223.41</v>
      </c>
      <c r="J14" s="12">
        <v>61138.047849999988</v>
      </c>
      <c r="K14" s="12">
        <v>77524.67</v>
      </c>
      <c r="L14" s="13">
        <v>102176.54</v>
      </c>
      <c r="M14" s="11">
        <v>119084.67</v>
      </c>
      <c r="N14" s="12">
        <v>134295.99</v>
      </c>
      <c r="O14" s="37">
        <v>136497.34</v>
      </c>
      <c r="P14" s="37">
        <v>137357.84</v>
      </c>
      <c r="Q14" s="37">
        <v>140141.73000000001</v>
      </c>
      <c r="R14" s="37">
        <f>+[2]รายเดือน!BN9</f>
        <v>127547.11</v>
      </c>
      <c r="S14" s="37">
        <f>+[2]รายเดือน!BZ9</f>
        <v>122702.89</v>
      </c>
      <c r="T14" s="37">
        <f>[2]รายเดือน!CL9</f>
        <v>191292.31</v>
      </c>
      <c r="U14" s="37">
        <f>[2]รายเดือน!CX9</f>
        <v>172586.48</v>
      </c>
      <c r="V14" s="37">
        <f>[2]รายเดือน!DJ9</f>
        <v>172700.39</v>
      </c>
      <c r="W14" s="37">
        <v>151124.09</v>
      </c>
      <c r="X14" s="37">
        <v>121603.55</v>
      </c>
      <c r="Y14" s="37">
        <v>106028.67</v>
      </c>
      <c r="Z14" s="37">
        <v>84863.67</v>
      </c>
    </row>
    <row r="15" spans="1:26" ht="21" x14ac:dyDescent="0.45">
      <c r="A15" s="10" t="s">
        <v>47</v>
      </c>
      <c r="B15" s="11" t="s">
        <v>48</v>
      </c>
      <c r="C15" s="11">
        <v>27900</v>
      </c>
      <c r="D15" s="11">
        <v>37700</v>
      </c>
      <c r="E15" s="11">
        <v>38200</v>
      </c>
      <c r="F15" s="12">
        <v>49500</v>
      </c>
      <c r="G15" s="12">
        <v>84769.72</v>
      </c>
      <c r="H15" s="12">
        <v>99225.44</v>
      </c>
      <c r="I15" s="12">
        <v>71928.61</v>
      </c>
      <c r="J15" s="12">
        <v>95320.82</v>
      </c>
      <c r="K15" s="12">
        <v>167802.56</v>
      </c>
      <c r="L15" s="13">
        <v>224134.5</v>
      </c>
      <c r="M15" s="11">
        <v>270112.26</v>
      </c>
      <c r="N15" s="11">
        <v>266248.71000000002</v>
      </c>
      <c r="O15" s="37">
        <v>279402.44</v>
      </c>
      <c r="P15" s="37">
        <v>411748.63</v>
      </c>
      <c r="Q15" s="37">
        <v>409154.63</v>
      </c>
      <c r="R15" s="37">
        <f>+[2]รายเดือน!BN10</f>
        <v>424770.85</v>
      </c>
      <c r="S15" s="37">
        <f>+[2]รายเดือน!BZ10</f>
        <v>446107.42</v>
      </c>
      <c r="T15" s="37">
        <f>[2]รายเดือน!CL10</f>
        <v>472565.53</v>
      </c>
      <c r="U15" s="37">
        <f>[2]รายเดือน!CX10</f>
        <v>488910.57</v>
      </c>
      <c r="V15" s="37">
        <f>[2]รายเดือน!DJ10</f>
        <v>467379.07</v>
      </c>
      <c r="W15" s="37">
        <v>420076.42</v>
      </c>
      <c r="X15" s="37">
        <v>430472.85</v>
      </c>
      <c r="Y15" s="37">
        <v>434516.7</v>
      </c>
      <c r="Z15" s="37">
        <v>408530.25</v>
      </c>
    </row>
    <row r="16" spans="1:26" ht="21" x14ac:dyDescent="0.45">
      <c r="A16" s="66">
        <v>3</v>
      </c>
      <c r="B16" s="53" t="s">
        <v>141</v>
      </c>
      <c r="C16" s="53"/>
      <c r="D16" s="53"/>
      <c r="E16" s="53"/>
      <c r="F16" s="54"/>
      <c r="G16" s="54"/>
      <c r="H16" s="55">
        <v>50000</v>
      </c>
      <c r="I16" s="55">
        <v>64384.44</v>
      </c>
      <c r="J16" s="56">
        <v>56950.45</v>
      </c>
      <c r="K16" s="56">
        <v>60085.48</v>
      </c>
      <c r="L16" s="57">
        <v>111492.13</v>
      </c>
      <c r="M16" s="56">
        <v>80428.5</v>
      </c>
      <c r="N16" s="56"/>
      <c r="O16" s="47"/>
      <c r="P16" s="47"/>
      <c r="Q16" s="47"/>
      <c r="R16" s="47"/>
      <c r="S16" s="47">
        <f>+S18</f>
        <v>5732.21</v>
      </c>
      <c r="T16" s="47">
        <f>+[2]รายเดือน!CL13</f>
        <v>834.69</v>
      </c>
      <c r="U16" s="47">
        <f t="shared" ref="U16:Z16" si="5">U17+U18</f>
        <v>11457.02</v>
      </c>
      <c r="V16" s="47">
        <f t="shared" si="5"/>
        <v>18432.88</v>
      </c>
      <c r="W16" s="47">
        <f t="shared" si="5"/>
        <v>22317.69</v>
      </c>
      <c r="X16" s="47">
        <f t="shared" si="5"/>
        <v>13629.55</v>
      </c>
      <c r="Y16" s="141">
        <f t="shared" si="5"/>
        <v>8968.5400000000009</v>
      </c>
      <c r="Z16" s="141">
        <f t="shared" si="5"/>
        <v>9106.74</v>
      </c>
    </row>
    <row r="17" spans="1:26" ht="21.75" x14ac:dyDescent="0.45">
      <c r="A17" s="16">
        <v>3.1</v>
      </c>
      <c r="B17" s="19" t="s">
        <v>168</v>
      </c>
      <c r="C17" s="19"/>
      <c r="D17" s="19"/>
      <c r="E17" s="19"/>
      <c r="F17" s="1"/>
      <c r="G17" s="1"/>
      <c r="H17" s="20">
        <v>50000</v>
      </c>
      <c r="I17" s="20">
        <v>64384.44</v>
      </c>
      <c r="J17" s="20">
        <v>56950.45</v>
      </c>
      <c r="K17" s="11">
        <v>48255.48</v>
      </c>
      <c r="L17" s="13">
        <v>40492.129999999997</v>
      </c>
      <c r="M17" s="11">
        <v>29326.83</v>
      </c>
      <c r="N17" s="11"/>
      <c r="O17" s="37"/>
      <c r="P17" s="37"/>
      <c r="Q17" s="37"/>
      <c r="R17" s="37"/>
      <c r="S17" s="37">
        <f>+[2]รายเดือน!BX12</f>
        <v>0</v>
      </c>
      <c r="T17" s="37">
        <f>+[2]รายเดือน!CL12</f>
        <v>0</v>
      </c>
      <c r="U17" s="37">
        <f>+[2]รายเดือน!CX12</f>
        <v>0</v>
      </c>
      <c r="V17" s="37">
        <f>[2]รายเดือน!DJ12</f>
        <v>0</v>
      </c>
      <c r="W17" s="37">
        <v>0</v>
      </c>
      <c r="X17" s="37">
        <v>0</v>
      </c>
      <c r="Y17" s="142">
        <v>0</v>
      </c>
      <c r="Z17" s="142">
        <v>0</v>
      </c>
    </row>
    <row r="18" spans="1:26" ht="21.75" x14ac:dyDescent="0.45">
      <c r="A18" s="18">
        <v>3.2</v>
      </c>
      <c r="B18" s="21" t="s">
        <v>10</v>
      </c>
      <c r="C18" s="21"/>
      <c r="D18" s="21"/>
      <c r="E18" s="21"/>
      <c r="F18" s="22"/>
      <c r="G18" s="22"/>
      <c r="H18" s="23">
        <v>0</v>
      </c>
      <c r="I18" s="23">
        <v>0</v>
      </c>
      <c r="J18" s="23">
        <v>0</v>
      </c>
      <c r="K18" s="17">
        <v>11830</v>
      </c>
      <c r="L18" s="24">
        <v>71000</v>
      </c>
      <c r="M18" s="11">
        <v>51101.67</v>
      </c>
      <c r="N18" s="11"/>
      <c r="O18" s="37"/>
      <c r="P18" s="37"/>
      <c r="Q18" s="37"/>
      <c r="R18" s="37"/>
      <c r="S18" s="37">
        <f>+[2]รายเดือน!BZ13</f>
        <v>5732.21</v>
      </c>
      <c r="T18" s="37">
        <f>+[2]รายเดือน!CL13</f>
        <v>834.69</v>
      </c>
      <c r="U18" s="37">
        <f>+[2]รายเดือน!CX13</f>
        <v>11457.02</v>
      </c>
      <c r="V18" s="37">
        <f>[2]รายเดือน!DJ13</f>
        <v>18432.88</v>
      </c>
      <c r="W18" s="37">
        <v>22317.69</v>
      </c>
      <c r="X18" s="37">
        <v>13629.55</v>
      </c>
      <c r="Y18" s="142">
        <v>8968.5400000000009</v>
      </c>
      <c r="Z18" s="142">
        <v>9106.74</v>
      </c>
    </row>
    <row r="19" spans="1:26" ht="21" x14ac:dyDescent="0.45">
      <c r="A19" s="67">
        <v>4</v>
      </c>
      <c r="B19" s="58" t="s">
        <v>49</v>
      </c>
      <c r="C19" s="58">
        <v>43753</v>
      </c>
      <c r="D19" s="58">
        <v>667770</v>
      </c>
      <c r="E19" s="58">
        <v>1124427</v>
      </c>
      <c r="F19" s="59">
        <v>814594</v>
      </c>
      <c r="G19" s="59">
        <v>781409.8</v>
      </c>
      <c r="H19" s="59">
        <v>697450.7</v>
      </c>
      <c r="I19" s="59">
        <v>357283</v>
      </c>
      <c r="J19" s="59">
        <v>427362.8</v>
      </c>
      <c r="K19" s="59">
        <v>398913.66</v>
      </c>
      <c r="L19" s="60">
        <v>437739.07</v>
      </c>
      <c r="M19" s="59">
        <v>273515.17</v>
      </c>
      <c r="N19" s="59">
        <v>185154.44</v>
      </c>
      <c r="O19" s="47">
        <v>138218.60999999999</v>
      </c>
      <c r="P19" s="47">
        <v>98146.48</v>
      </c>
      <c r="Q19" s="47">
        <v>62100.43</v>
      </c>
      <c r="R19" s="47">
        <f>+[2]รายเดือน!BN14</f>
        <v>30445.18</v>
      </c>
      <c r="S19" s="47">
        <f>+[2]รายเดือน!BX14</f>
        <v>0</v>
      </c>
      <c r="T19" s="47">
        <f>+[2]รายเดือน!CL14</f>
        <v>0</v>
      </c>
      <c r="U19" s="47">
        <f>+[2]รายเดือน!CW14</f>
        <v>0</v>
      </c>
      <c r="V19" s="47">
        <f>+[2]รายเดือน!CX14</f>
        <v>0</v>
      </c>
      <c r="W19" s="47">
        <v>0</v>
      </c>
      <c r="X19" s="47">
        <v>0</v>
      </c>
      <c r="Y19" s="141">
        <v>0</v>
      </c>
      <c r="Z19" s="141">
        <v>0</v>
      </c>
    </row>
    <row r="20" spans="1:26" ht="21" x14ac:dyDescent="0.45">
      <c r="A20" s="70">
        <v>5</v>
      </c>
      <c r="B20" s="61" t="s">
        <v>50</v>
      </c>
      <c r="C20" s="61">
        <v>548725</v>
      </c>
      <c r="D20" s="61" t="s">
        <v>125</v>
      </c>
      <c r="E20" s="61">
        <v>2073452</v>
      </c>
      <c r="F20" s="62">
        <v>2607056.2000000002</v>
      </c>
      <c r="G20" s="62">
        <v>2804278.83</v>
      </c>
      <c r="H20" s="62">
        <v>2931717.23</v>
      </c>
      <c r="I20" s="62">
        <v>2934942.46</v>
      </c>
      <c r="J20" s="62">
        <v>2930040.03785</v>
      </c>
      <c r="K20" s="62">
        <v>3126554.16</v>
      </c>
      <c r="L20" s="63">
        <v>3277498.37</v>
      </c>
      <c r="M20" s="62">
        <v>3233120.37</v>
      </c>
      <c r="N20" s="62">
        <f>+N19+N16+N9+N6</f>
        <v>3143843.52</v>
      </c>
      <c r="O20" s="64">
        <f>+O19+O16+O9+O6</f>
        <v>3391215.26</v>
      </c>
      <c r="P20" s="64">
        <f>+P19+P16+P9+P6</f>
        <v>4002031.45566</v>
      </c>
      <c r="Q20" s="64">
        <f>+Q19+Q16+Q9+Q6</f>
        <v>4230744.74</v>
      </c>
      <c r="R20" s="64">
        <f>+R19+R16+R9+R6</f>
        <v>4448294.5999999996</v>
      </c>
      <c r="S20" s="64">
        <f t="shared" ref="S20:Y20" si="6">+S6+S9+S16+S19</f>
        <v>4937238.33</v>
      </c>
      <c r="T20" s="64">
        <f t="shared" si="6"/>
        <v>5430560.040000001</v>
      </c>
      <c r="U20" s="64">
        <f t="shared" si="6"/>
        <v>5690814.1099999994</v>
      </c>
      <c r="V20" s="64">
        <f t="shared" si="6"/>
        <v>5783323.1900000004</v>
      </c>
      <c r="W20" s="64">
        <f t="shared" si="6"/>
        <v>5988386.5300000003</v>
      </c>
      <c r="X20" s="64">
        <f t="shared" si="6"/>
        <v>6369331.3099999996</v>
      </c>
      <c r="Y20" s="147">
        <f t="shared" si="6"/>
        <v>6780953.2199999997</v>
      </c>
      <c r="Z20" s="147">
        <f>+Z6+Z9+Z16+Z19</f>
        <v>6901801.5499999998</v>
      </c>
    </row>
    <row r="21" spans="1:26" ht="21" x14ac:dyDescent="0.45">
      <c r="A21" s="70">
        <v>6</v>
      </c>
      <c r="B21" s="61" t="s">
        <v>51</v>
      </c>
      <c r="C21" s="61">
        <v>12</v>
      </c>
      <c r="D21" s="61">
        <v>32</v>
      </c>
      <c r="E21" s="61">
        <v>45</v>
      </c>
      <c r="F21" s="62">
        <v>56.221949205523572</v>
      </c>
      <c r="G21" s="62">
        <v>56.965916480100176</v>
      </c>
      <c r="H21" s="62">
        <v>57.105782693486887</v>
      </c>
      <c r="I21" s="62">
        <v>53.891283267502658</v>
      </c>
      <c r="J21" s="62">
        <v>49.407439846842401</v>
      </c>
      <c r="K21" s="62">
        <v>47.544923357664238</v>
      </c>
      <c r="L21" s="63">
        <v>45.89</v>
      </c>
      <c r="M21" s="61">
        <f t="shared" ref="M21:U21" si="7">+M20/M22*100</f>
        <v>41.289712986516911</v>
      </c>
      <c r="N21" s="61">
        <f t="shared" si="7"/>
        <v>37.121516673633202</v>
      </c>
      <c r="O21" s="64">
        <f t="shared" si="7"/>
        <v>37.366733245235267</v>
      </c>
      <c r="P21" s="64">
        <f t="shared" si="7"/>
        <v>44.262425407671209</v>
      </c>
      <c r="Q21" s="64">
        <f t="shared" si="7"/>
        <v>41.868663803340986</v>
      </c>
      <c r="R21" s="64">
        <f t="shared" si="7"/>
        <v>42.271793049183316</v>
      </c>
      <c r="S21" s="61">
        <f t="shared" si="7"/>
        <v>43.910059694165234</v>
      </c>
      <c r="T21" s="61">
        <f t="shared" si="7"/>
        <v>45.4887444977279</v>
      </c>
      <c r="U21" s="61">
        <f t="shared" si="7"/>
        <v>47.183248860592201</v>
      </c>
      <c r="V21" s="61">
        <f>+V20/V22*100</f>
        <v>42.98890505208481</v>
      </c>
      <c r="W21" s="61">
        <f>+W20/W22*100</f>
        <v>42.236345838331005</v>
      </c>
      <c r="X21" s="61">
        <f>+X20/X22*100</f>
        <v>42.293851010411224</v>
      </c>
      <c r="Y21" s="61">
        <f>+Y20/Y22*100</f>
        <v>42.014824687117205</v>
      </c>
      <c r="Z21" s="61">
        <f>+Z20/Z22*100</f>
        <v>41.239352567764264</v>
      </c>
    </row>
    <row r="22" spans="1:26" ht="21" x14ac:dyDescent="0.45">
      <c r="A22" s="25">
        <v>7</v>
      </c>
      <c r="B22" s="26" t="s">
        <v>184</v>
      </c>
      <c r="C22" s="26">
        <v>4611041</v>
      </c>
      <c r="D22" s="26">
        <v>4732610</v>
      </c>
      <c r="E22" s="26">
        <v>4626447</v>
      </c>
      <c r="F22" s="26">
        <v>4637079</v>
      </c>
      <c r="G22" s="26">
        <v>4922731</v>
      </c>
      <c r="H22" s="27">
        <v>5133836</v>
      </c>
      <c r="I22" s="27">
        <v>5446043</v>
      </c>
      <c r="J22" s="27">
        <v>5930362</v>
      </c>
      <c r="K22" s="27">
        <v>6576000</v>
      </c>
      <c r="L22" s="28">
        <v>7142400</v>
      </c>
      <c r="M22" s="29">
        <v>7830329</v>
      </c>
      <c r="N22" s="29">
        <f>+[2]รายเดือน!R17</f>
        <v>8469060</v>
      </c>
      <c r="O22" s="39">
        <v>9075493</v>
      </c>
      <c r="P22" s="39">
        <v>9041600</v>
      </c>
      <c r="Q22" s="39">
        <v>10104800</v>
      </c>
      <c r="R22" s="39">
        <f>+[2]รายเดือน!BN17</f>
        <v>10523080</v>
      </c>
      <c r="S22" s="39">
        <f>+[2]รายเดือน!BZ17</f>
        <v>11243980</v>
      </c>
      <c r="T22" s="39">
        <f>+[2]รายเดือน!CL17</f>
        <v>11938250</v>
      </c>
      <c r="U22" s="39">
        <f>+[2]รายเดือน!CX17</f>
        <v>12061090</v>
      </c>
      <c r="V22" s="39">
        <f>รายเดือน!DJ17</f>
        <v>13453060</v>
      </c>
      <c r="W22" s="132">
        <v>14178278</v>
      </c>
      <c r="X22" s="132">
        <v>15059710</v>
      </c>
      <c r="Y22" s="132">
        <v>16139430</v>
      </c>
      <c r="Z22" s="152">
        <v>16735960</v>
      </c>
    </row>
    <row r="23" spans="1:26" ht="21" x14ac:dyDescent="0.45">
      <c r="A23" s="3"/>
      <c r="B23" s="3" t="s">
        <v>52</v>
      </c>
      <c r="C23" s="3"/>
      <c r="D23" s="3"/>
      <c r="E23" s="3"/>
      <c r="F23" s="3"/>
      <c r="G23" s="3"/>
      <c r="H23" s="80"/>
      <c r="I23" s="80"/>
      <c r="J23" s="80"/>
      <c r="K23" s="80"/>
      <c r="L23" s="80"/>
      <c r="M23" s="80"/>
      <c r="N23" s="80"/>
      <c r="V23" s="84"/>
    </row>
    <row r="24" spans="1:26" ht="21" x14ac:dyDescent="0.45">
      <c r="B24" s="3"/>
      <c r="C24" s="3"/>
      <c r="D24" s="3"/>
      <c r="E24" s="3"/>
      <c r="F24" s="3"/>
      <c r="G24" s="3"/>
      <c r="H24" s="2"/>
      <c r="I24" s="2"/>
      <c r="J24" s="2"/>
      <c r="K24" s="2"/>
      <c r="L24" s="2"/>
    </row>
    <row r="25" spans="1:26" ht="21" x14ac:dyDescent="0.45">
      <c r="B25" s="3"/>
      <c r="C25" s="3"/>
      <c r="D25" s="3"/>
      <c r="E25" s="3"/>
      <c r="F25" s="3"/>
      <c r="G25" s="3"/>
      <c r="H25" s="2"/>
      <c r="I25" s="2"/>
      <c r="J25" s="2"/>
      <c r="K25" s="2"/>
      <c r="L25" s="2"/>
    </row>
    <row r="26" spans="1:26" ht="21" x14ac:dyDescent="0.45">
      <c r="B26" s="3"/>
      <c r="C26" s="3"/>
      <c r="D26" s="3"/>
      <c r="E26" s="3"/>
      <c r="F26" s="3"/>
      <c r="G26" s="3"/>
      <c r="H26" s="2"/>
      <c r="I26" s="2"/>
      <c r="J26" s="2"/>
      <c r="K26" s="2"/>
      <c r="L26" s="2"/>
    </row>
    <row r="27" spans="1:26" ht="21" x14ac:dyDescent="0.45">
      <c r="B27" s="3"/>
      <c r="C27" s="3"/>
      <c r="D27" s="3"/>
      <c r="E27" s="3"/>
      <c r="F27" s="3"/>
      <c r="G27" s="3"/>
      <c r="H27" s="2"/>
      <c r="I27" s="2"/>
      <c r="J27" s="2"/>
      <c r="K27" s="2"/>
      <c r="L27" s="2"/>
    </row>
    <row r="28" spans="1:26" ht="21" x14ac:dyDescent="0.45">
      <c r="B28" s="3"/>
      <c r="C28" s="3"/>
      <c r="D28" s="3"/>
      <c r="E28" s="3"/>
      <c r="F28" s="3"/>
      <c r="G28" s="3"/>
      <c r="H28" s="30"/>
      <c r="I28" s="30"/>
      <c r="J28" s="30"/>
      <c r="K28" s="30"/>
      <c r="L28" s="30"/>
    </row>
    <row r="30" spans="1:26" ht="21" x14ac:dyDescent="0.45">
      <c r="B30" s="3"/>
      <c r="C30" s="3"/>
      <c r="D30" s="3"/>
      <c r="E30" s="3"/>
      <c r="F30" s="3"/>
      <c r="G30" s="3"/>
    </row>
    <row r="31" spans="1:26" ht="21" x14ac:dyDescent="0.45">
      <c r="B31" s="3"/>
      <c r="C31" s="3"/>
      <c r="D31" s="3"/>
      <c r="E31" s="3"/>
      <c r="F31" s="3"/>
      <c r="G31" s="3"/>
    </row>
    <row r="32" spans="1:26" ht="21" x14ac:dyDescent="0.45">
      <c r="B32" s="3"/>
      <c r="C32" s="3"/>
      <c r="D32" s="3"/>
      <c r="E32" s="3"/>
      <c r="F32" s="3"/>
      <c r="G32" s="3"/>
    </row>
  </sheetData>
  <mergeCells count="2">
    <mergeCell ref="A2:V2"/>
    <mergeCell ref="A3:Z3"/>
  </mergeCells>
  <pageMargins left="0.67" right="0.42" top="1" bottom="1" header="0.5" footer="0.5"/>
  <pageSetup paperSize="9" scale="6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1:W18"/>
  <sheetViews>
    <sheetView workbookViewId="0"/>
  </sheetViews>
  <sheetFormatPr defaultRowHeight="12.75" x14ac:dyDescent="0.2"/>
  <cols>
    <col min="2" max="2" width="6.140625" customWidth="1"/>
    <col min="3" max="3" width="38" customWidth="1"/>
    <col min="4" max="13" width="17.42578125" hidden="1" customWidth="1"/>
    <col min="14" max="15" width="18.42578125" hidden="1" customWidth="1"/>
    <col min="16" max="19" width="15.28515625" hidden="1" customWidth="1"/>
    <col min="20" max="20" width="14.7109375" customWidth="1"/>
    <col min="21" max="21" width="15.28515625" customWidth="1"/>
    <col min="22" max="22" width="15.140625" customWidth="1"/>
    <col min="23" max="23" width="13.85546875" customWidth="1"/>
  </cols>
  <sheetData>
    <row r="1" spans="3:23" ht="23.25" customHeight="1" x14ac:dyDescent="0.2">
      <c r="C1" s="159" t="s">
        <v>66</v>
      </c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</row>
    <row r="2" spans="3:23" ht="23.25" customHeight="1" thickBot="1" x14ac:dyDescent="0.25">
      <c r="C2" s="160" t="s">
        <v>67</v>
      </c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</row>
    <row r="3" spans="3:23" ht="21" customHeight="1" thickBot="1" x14ac:dyDescent="0.25">
      <c r="C3" s="71"/>
      <c r="D3" s="72" t="s">
        <v>126</v>
      </c>
      <c r="E3" s="72" t="s">
        <v>127</v>
      </c>
      <c r="F3" s="72" t="s">
        <v>128</v>
      </c>
      <c r="G3" s="72" t="s">
        <v>129</v>
      </c>
      <c r="H3" s="72" t="s">
        <v>130</v>
      </c>
      <c r="I3" s="72" t="s">
        <v>131</v>
      </c>
      <c r="J3" s="72" t="s">
        <v>132</v>
      </c>
      <c r="K3" s="72" t="s">
        <v>133</v>
      </c>
      <c r="L3" s="72" t="s">
        <v>91</v>
      </c>
      <c r="M3" s="72" t="s">
        <v>92</v>
      </c>
      <c r="N3" s="72" t="s">
        <v>93</v>
      </c>
      <c r="O3" s="72" t="s">
        <v>93</v>
      </c>
      <c r="P3" s="72" t="s">
        <v>89</v>
      </c>
      <c r="Q3" s="72" t="s">
        <v>90</v>
      </c>
      <c r="R3" s="72" t="s">
        <v>106</v>
      </c>
      <c r="S3" s="72" t="s">
        <v>118</v>
      </c>
      <c r="T3" s="72" t="s">
        <v>138</v>
      </c>
      <c r="U3" s="72" t="s">
        <v>153</v>
      </c>
      <c r="V3" s="72" t="s">
        <v>166</v>
      </c>
      <c r="W3" s="72" t="s">
        <v>94</v>
      </c>
    </row>
    <row r="4" spans="3:23" ht="21" customHeight="1" thickBot="1" x14ac:dyDescent="0.25">
      <c r="C4" s="73" t="s">
        <v>68</v>
      </c>
      <c r="D4" s="74" t="e">
        <f>+#REF!</f>
        <v>#REF!</v>
      </c>
      <c r="E4" s="74" t="e">
        <f>+#REF!</f>
        <v>#REF!</v>
      </c>
      <c r="F4" s="74" t="e">
        <f>+#REF!</f>
        <v>#REF!</v>
      </c>
      <c r="G4" s="74" t="e">
        <f>+#REF!</f>
        <v>#REF!</v>
      </c>
      <c r="H4" s="74" t="e">
        <f>+#REF!</f>
        <v>#REF!</v>
      </c>
      <c r="I4" s="74" t="e">
        <f>+#REF!</f>
        <v>#REF!</v>
      </c>
      <c r="J4" s="74" t="e">
        <f>+#REF!</f>
        <v>#REF!</v>
      </c>
      <c r="K4" s="74" t="e">
        <f>+#REF!</f>
        <v>#REF!</v>
      </c>
      <c r="L4" s="74" t="e">
        <f>+#REF!</f>
        <v>#REF!</v>
      </c>
      <c r="M4" s="74" t="e">
        <f>+#REF!</f>
        <v>#REF!</v>
      </c>
      <c r="N4" s="74" t="e">
        <f>+#REF!</f>
        <v>#REF!</v>
      </c>
      <c r="O4" s="74">
        <f>+รายเดือน!F3</f>
        <v>1967703.88</v>
      </c>
      <c r="P4" s="75">
        <f>+รายเดือน!R3</f>
        <v>2051363.26</v>
      </c>
      <c r="Q4" s="75">
        <v>2162110.65</v>
      </c>
      <c r="R4" s="75">
        <f>+รายเดือน!AP3</f>
        <v>2586513.18566</v>
      </c>
      <c r="S4" s="75">
        <f>+S5+S6</f>
        <v>2907482.31</v>
      </c>
      <c r="T4" s="75">
        <f>+รายเดือน!BN3</f>
        <v>3181158.8899999997</v>
      </c>
      <c r="U4" s="75">
        <f>+รายเดือน!BZ3</f>
        <v>3515010.95</v>
      </c>
      <c r="V4" s="75">
        <f>+รายเดือน!CL3</f>
        <v>3774819.49</v>
      </c>
      <c r="W4" s="75">
        <f>+V4-U4</f>
        <v>259808.54000000004</v>
      </c>
    </row>
    <row r="5" spans="3:23" ht="21" customHeight="1" thickBot="1" x14ac:dyDescent="0.25">
      <c r="C5" s="71" t="s">
        <v>69</v>
      </c>
      <c r="D5" s="76" t="e">
        <f>+#REF!</f>
        <v>#REF!</v>
      </c>
      <c r="E5" s="76" t="e">
        <f>+#REF!</f>
        <v>#REF!</v>
      </c>
      <c r="F5" s="76" t="e">
        <f>+#REF!</f>
        <v>#REF!</v>
      </c>
      <c r="G5" s="76" t="e">
        <f>+#REF!</f>
        <v>#REF!</v>
      </c>
      <c r="H5" s="76" t="e">
        <f>+#REF!</f>
        <v>#REF!</v>
      </c>
      <c r="I5" s="76" t="e">
        <f>+#REF!</f>
        <v>#REF!</v>
      </c>
      <c r="J5" s="76" t="e">
        <f>+#REF!</f>
        <v>#REF!</v>
      </c>
      <c r="K5" s="76" t="e">
        <f>+#REF!</f>
        <v>#REF!</v>
      </c>
      <c r="L5" s="76" t="e">
        <f>+#REF!</f>
        <v>#REF!</v>
      </c>
      <c r="M5" s="76" t="e">
        <f>+#REF!</f>
        <v>#REF!</v>
      </c>
      <c r="N5" s="76" t="e">
        <f>+#REF!</f>
        <v>#REF!</v>
      </c>
      <c r="O5" s="76">
        <f>+รายเดือน!F4</f>
        <v>191917.24</v>
      </c>
      <c r="P5" s="77">
        <f>+รายเดือน!R4</f>
        <v>107901.7</v>
      </c>
      <c r="Q5" s="77">
        <v>66986.12</v>
      </c>
      <c r="R5" s="77">
        <f>+รายเดือน!AP4</f>
        <v>62997.731660000005</v>
      </c>
      <c r="S5" s="77">
        <f>+รายเดือน!BB4</f>
        <v>54187.63</v>
      </c>
      <c r="T5" s="77">
        <f>+รายเดือน!BN4</f>
        <v>46157.8</v>
      </c>
      <c r="U5" s="77">
        <f>+รายเดือน!BZ4</f>
        <v>52647.68</v>
      </c>
      <c r="V5" s="75">
        <f>+รายเดือน!CL4</f>
        <v>69836.14</v>
      </c>
      <c r="W5" s="77">
        <f t="shared" ref="W5:W17" si="0">+V5-U5</f>
        <v>17188.46</v>
      </c>
    </row>
    <row r="6" spans="3:23" ht="21" customHeight="1" thickBot="1" x14ac:dyDescent="0.25">
      <c r="C6" s="71" t="s">
        <v>70</v>
      </c>
      <c r="D6" s="76" t="e">
        <f>+#REF!</f>
        <v>#REF!</v>
      </c>
      <c r="E6" s="76" t="e">
        <f>+#REF!</f>
        <v>#REF!</v>
      </c>
      <c r="F6" s="76" t="e">
        <f>+#REF!</f>
        <v>#REF!</v>
      </c>
      <c r="G6" s="76" t="e">
        <f>+#REF!</f>
        <v>#REF!</v>
      </c>
      <c r="H6" s="76" t="e">
        <f>+#REF!</f>
        <v>#REF!</v>
      </c>
      <c r="I6" s="76" t="e">
        <f>+#REF!</f>
        <v>#REF!</v>
      </c>
      <c r="J6" s="76" t="e">
        <f>+#REF!</f>
        <v>#REF!</v>
      </c>
      <c r="K6" s="76" t="e">
        <f>+#REF!</f>
        <v>#REF!</v>
      </c>
      <c r="L6" s="76" t="e">
        <f>+#REF!</f>
        <v>#REF!</v>
      </c>
      <c r="M6" s="76" t="e">
        <f>+#REF!</f>
        <v>#REF!</v>
      </c>
      <c r="N6" s="76" t="e">
        <f>+#REF!</f>
        <v>#REF!</v>
      </c>
      <c r="O6" s="76">
        <f>+รายเดือน!F5</f>
        <v>1775786.64</v>
      </c>
      <c r="P6" s="77">
        <f>+รายเดือน!R5</f>
        <v>1943461.56</v>
      </c>
      <c r="Q6" s="77">
        <v>2095124.53</v>
      </c>
      <c r="R6" s="77">
        <f>+รายเดือน!AP5</f>
        <v>2523515.4539999999</v>
      </c>
      <c r="S6" s="77">
        <f>+รายเดือน!BB5</f>
        <v>2853294.68</v>
      </c>
      <c r="T6" s="77">
        <f>+รายเดือน!BN5</f>
        <v>3135001.09</v>
      </c>
      <c r="U6" s="77">
        <f>+รายเดือน!BZ5</f>
        <v>3462363.27</v>
      </c>
      <c r="V6" s="75">
        <f>+รายเดือน!CL5</f>
        <v>3704983.35</v>
      </c>
      <c r="W6" s="77">
        <f t="shared" si="0"/>
        <v>242620.08000000007</v>
      </c>
    </row>
    <row r="7" spans="3:23" ht="21" customHeight="1" thickBot="1" x14ac:dyDescent="0.25">
      <c r="C7" s="73" t="s">
        <v>71</v>
      </c>
      <c r="D7" s="74" t="e">
        <f>+#REF!</f>
        <v>#REF!</v>
      </c>
      <c r="E7" s="74" t="e">
        <f>+#REF!</f>
        <v>#REF!</v>
      </c>
      <c r="F7" s="74" t="e">
        <f>+#REF!</f>
        <v>#REF!</v>
      </c>
      <c r="G7" s="74" t="e">
        <f>+#REF!</f>
        <v>#REF!</v>
      </c>
      <c r="H7" s="74" t="e">
        <f>+#REF!</f>
        <v>#REF!</v>
      </c>
      <c r="I7" s="74" t="e">
        <f>+#REF!</f>
        <v>#REF!</v>
      </c>
      <c r="J7" s="74" t="e">
        <f>+#REF!</f>
        <v>#REF!</v>
      </c>
      <c r="K7" s="74" t="e">
        <f>+#REF!</f>
        <v>#REF!</v>
      </c>
      <c r="L7" s="74" t="e">
        <f>+#REF!</f>
        <v>#REF!</v>
      </c>
      <c r="M7" s="74" t="e">
        <f>+#REF!</f>
        <v>#REF!</v>
      </c>
      <c r="N7" s="74" t="e">
        <f>+#REF!</f>
        <v>#REF!</v>
      </c>
      <c r="O7" s="74">
        <f>+รายเดือน!F6</f>
        <v>911472.82000000007</v>
      </c>
      <c r="P7" s="75">
        <f>+รายเดือน!R6</f>
        <v>907325.82000000007</v>
      </c>
      <c r="Q7" s="75">
        <v>1090886</v>
      </c>
      <c r="R7" s="75">
        <f>+รายเดือน!AP6</f>
        <v>1317371.79</v>
      </c>
      <c r="S7" s="75">
        <f>+S8+S9+S10+S11</f>
        <v>1261162</v>
      </c>
      <c r="T7" s="75">
        <f>+รายเดือน!BN6</f>
        <v>1236690.53</v>
      </c>
      <c r="U7" s="75">
        <f>+รายเดือน!BZ6</f>
        <v>1416495.17</v>
      </c>
      <c r="V7" s="75">
        <f>+รายเดือน!CL6</f>
        <v>1654905.86</v>
      </c>
      <c r="W7" s="75">
        <f t="shared" si="0"/>
        <v>238410.69000000018</v>
      </c>
    </row>
    <row r="8" spans="3:23" ht="21" customHeight="1" thickBot="1" x14ac:dyDescent="0.25">
      <c r="C8" s="71" t="s">
        <v>72</v>
      </c>
      <c r="D8" s="76" t="e">
        <f>+#REF!</f>
        <v>#REF!</v>
      </c>
      <c r="E8" s="76" t="e">
        <f>+#REF!</f>
        <v>#REF!</v>
      </c>
      <c r="F8" s="76" t="e">
        <f>+#REF!</f>
        <v>#REF!</v>
      </c>
      <c r="G8" s="76" t="e">
        <f>+#REF!</f>
        <v>#REF!</v>
      </c>
      <c r="H8" s="76" t="e">
        <f>+#REF!</f>
        <v>#REF!</v>
      </c>
      <c r="I8" s="76" t="e">
        <f>+#REF!</f>
        <v>#REF!</v>
      </c>
      <c r="J8" s="76" t="e">
        <f>+#REF!</f>
        <v>#REF!</v>
      </c>
      <c r="K8" s="76" t="e">
        <f>+#REF!</f>
        <v>#REF!</v>
      </c>
      <c r="L8" s="76" t="e">
        <f>+#REF!</f>
        <v>#REF!</v>
      </c>
      <c r="M8" s="76" t="e">
        <f>+#REF!</f>
        <v>#REF!</v>
      </c>
      <c r="N8" s="76" t="e">
        <f>+#REF!</f>
        <v>#REF!</v>
      </c>
      <c r="O8" s="76">
        <f>+รายเดือน!F7</f>
        <v>195097.47</v>
      </c>
      <c r="P8" s="77">
        <f>+รายเดือน!R7</f>
        <v>171123.7</v>
      </c>
      <c r="Q8" s="77">
        <v>183959.67</v>
      </c>
      <c r="R8" s="77">
        <f>+รายเดือน!AP7</f>
        <v>184021.11</v>
      </c>
      <c r="S8" s="77">
        <f>+รายเดือน!BB7</f>
        <v>168194.86</v>
      </c>
      <c r="T8" s="77">
        <f>+รายเดือน!BN7</f>
        <v>177430.28999999998</v>
      </c>
      <c r="U8" s="77">
        <f>+รายเดือน!BZ7</f>
        <v>165321.19</v>
      </c>
      <c r="V8" s="75">
        <f>+รายเดือน!CL7</f>
        <v>116942.72</v>
      </c>
      <c r="W8" s="77">
        <f t="shared" si="0"/>
        <v>-48378.47</v>
      </c>
    </row>
    <row r="9" spans="3:23" ht="21" customHeight="1" thickBot="1" x14ac:dyDescent="0.25">
      <c r="C9" s="71" t="s">
        <v>73</v>
      </c>
      <c r="D9" s="76" t="e">
        <f>+#REF!</f>
        <v>#REF!</v>
      </c>
      <c r="E9" s="76" t="e">
        <f>+#REF!</f>
        <v>#REF!</v>
      </c>
      <c r="F9" s="76" t="e">
        <f>+#REF!</f>
        <v>#REF!</v>
      </c>
      <c r="G9" s="76" t="e">
        <f>+#REF!</f>
        <v>#REF!</v>
      </c>
      <c r="H9" s="76" t="e">
        <f>+#REF!</f>
        <v>#REF!</v>
      </c>
      <c r="I9" s="76" t="e">
        <f>+#REF!</f>
        <v>#REF!</v>
      </c>
      <c r="J9" s="76" t="e">
        <f>+#REF!</f>
        <v>#REF!</v>
      </c>
      <c r="K9" s="76" t="e">
        <f>+#REF!</f>
        <v>#REF!</v>
      </c>
      <c r="L9" s="76" t="e">
        <f>+#REF!</f>
        <v>#REF!</v>
      </c>
      <c r="M9" s="76" t="e">
        <f>+#REF!</f>
        <v>#REF!</v>
      </c>
      <c r="N9" s="76" t="e">
        <f>+#REF!</f>
        <v>#REF!</v>
      </c>
      <c r="O9" s="76">
        <f>+รายเดือน!F8</f>
        <v>327178.42</v>
      </c>
      <c r="P9" s="77">
        <f>+รายเดือน!R8</f>
        <v>335657.42</v>
      </c>
      <c r="Q9" s="77">
        <v>491026.55</v>
      </c>
      <c r="R9" s="77">
        <f>+รายเดือน!AP8</f>
        <v>584244.21</v>
      </c>
      <c r="S9" s="77">
        <f>+รายเดือน!BB8</f>
        <v>543670.78</v>
      </c>
      <c r="T9" s="77">
        <f>+รายเดือน!BN8</f>
        <v>506942.28</v>
      </c>
      <c r="U9" s="77">
        <f>+รายเดือน!BZ8</f>
        <v>682363.66999999993</v>
      </c>
      <c r="V9" s="75">
        <f>+รายเดือน!CL8</f>
        <v>874105.3</v>
      </c>
      <c r="W9" s="77">
        <f t="shared" si="0"/>
        <v>191741.63000000012</v>
      </c>
    </row>
    <row r="10" spans="3:23" ht="21" customHeight="1" thickBot="1" x14ac:dyDescent="0.25">
      <c r="C10" s="71" t="s">
        <v>74</v>
      </c>
      <c r="D10" s="76" t="e">
        <f>+#REF!</f>
        <v>#REF!</v>
      </c>
      <c r="E10" s="76" t="e">
        <f>+#REF!</f>
        <v>#REF!</v>
      </c>
      <c r="F10" s="76" t="e">
        <f>+#REF!</f>
        <v>#REF!</v>
      </c>
      <c r="G10" s="76" t="e">
        <f>+#REF!</f>
        <v>#REF!</v>
      </c>
      <c r="H10" s="76" t="e">
        <f>+#REF!</f>
        <v>#REF!</v>
      </c>
      <c r="I10" s="76" t="e">
        <f>+#REF!</f>
        <v>#REF!</v>
      </c>
      <c r="J10" s="76" t="e">
        <f>+#REF!</f>
        <v>#REF!</v>
      </c>
      <c r="K10" s="76" t="e">
        <f>+#REF!</f>
        <v>#REF!</v>
      </c>
      <c r="L10" s="76" t="e">
        <f>+#REF!</f>
        <v>#REF!</v>
      </c>
      <c r="M10" s="76" t="e">
        <f>+#REF!</f>
        <v>#REF!</v>
      </c>
      <c r="N10" s="76" t="e">
        <f>+#REF!</f>
        <v>#REF!</v>
      </c>
      <c r="O10" s="76">
        <f>+รายเดือน!F9</f>
        <v>119084.67</v>
      </c>
      <c r="P10" s="77">
        <f>+รายเดือน!R9</f>
        <v>134295.99</v>
      </c>
      <c r="Q10" s="77">
        <v>136497.34</v>
      </c>
      <c r="R10" s="77">
        <f>+รายเดือน!AP9</f>
        <v>137357.84</v>
      </c>
      <c r="S10" s="77">
        <f>+รายเดือน!BB9</f>
        <v>140141.73000000001</v>
      </c>
      <c r="T10" s="77">
        <f>+รายเดือน!BN9</f>
        <v>127547.11</v>
      </c>
      <c r="U10" s="77">
        <f>+รายเดือน!BZ9</f>
        <v>122702.89</v>
      </c>
      <c r="V10" s="75">
        <f>+รายเดือน!CL9</f>
        <v>191292.31</v>
      </c>
      <c r="W10" s="77">
        <f t="shared" si="0"/>
        <v>68589.42</v>
      </c>
    </row>
    <row r="11" spans="3:23" ht="21" customHeight="1" thickBot="1" x14ac:dyDescent="0.25">
      <c r="C11" s="71" t="s">
        <v>75</v>
      </c>
      <c r="D11" s="76" t="e">
        <f>+#REF!</f>
        <v>#REF!</v>
      </c>
      <c r="E11" s="76" t="e">
        <f>+#REF!</f>
        <v>#REF!</v>
      </c>
      <c r="F11" s="76" t="e">
        <f>+#REF!</f>
        <v>#REF!</v>
      </c>
      <c r="G11" s="76" t="e">
        <f>+#REF!</f>
        <v>#REF!</v>
      </c>
      <c r="H11" s="76" t="e">
        <f>+#REF!</f>
        <v>#REF!</v>
      </c>
      <c r="I11" s="76" t="e">
        <f>+#REF!</f>
        <v>#REF!</v>
      </c>
      <c r="J11" s="76" t="e">
        <f>+#REF!</f>
        <v>#REF!</v>
      </c>
      <c r="K11" s="76" t="e">
        <f>+#REF!</f>
        <v>#REF!</v>
      </c>
      <c r="L11" s="76" t="e">
        <f>+#REF!</f>
        <v>#REF!</v>
      </c>
      <c r="M11" s="76" t="e">
        <f>+#REF!</f>
        <v>#REF!</v>
      </c>
      <c r="N11" s="76" t="e">
        <f>+#REF!</f>
        <v>#REF!</v>
      </c>
      <c r="O11" s="76">
        <f>+รายเดือน!F10</f>
        <v>270112.26</v>
      </c>
      <c r="P11" s="77">
        <f>+รายเดือน!R10</f>
        <v>266248.71000000002</v>
      </c>
      <c r="Q11" s="77">
        <v>279402.44</v>
      </c>
      <c r="R11" s="77">
        <f>+รายเดือน!AP10</f>
        <v>411748.63</v>
      </c>
      <c r="S11" s="77">
        <f>+รายเดือน!BB10</f>
        <v>409154.63</v>
      </c>
      <c r="T11" s="77">
        <f>+รายเดือน!BN10</f>
        <v>424770.85</v>
      </c>
      <c r="U11" s="77">
        <f>+รายเดือน!BZ10</f>
        <v>446107.42</v>
      </c>
      <c r="V11" s="75">
        <f>+รายเดือน!CL10</f>
        <v>472565.53</v>
      </c>
      <c r="W11" s="77">
        <f t="shared" si="0"/>
        <v>26458.110000000044</v>
      </c>
    </row>
    <row r="12" spans="3:23" ht="21" customHeight="1" thickBot="1" x14ac:dyDescent="0.25">
      <c r="C12" s="73" t="s">
        <v>76</v>
      </c>
      <c r="D12" s="74" t="e">
        <f>+#REF!</f>
        <v>#REF!</v>
      </c>
      <c r="E12" s="74" t="e">
        <f>+#REF!</f>
        <v>#REF!</v>
      </c>
      <c r="F12" s="74" t="e">
        <f>+#REF!</f>
        <v>#REF!</v>
      </c>
      <c r="G12" s="74" t="e">
        <f>+#REF!</f>
        <v>#REF!</v>
      </c>
      <c r="H12" s="74" t="e">
        <f>+#REF!</f>
        <v>#REF!</v>
      </c>
      <c r="I12" s="74" t="e">
        <f>+#REF!</f>
        <v>#REF!</v>
      </c>
      <c r="J12" s="74" t="e">
        <f>+#REF!</f>
        <v>#REF!</v>
      </c>
      <c r="K12" s="74" t="e">
        <f>+#REF!</f>
        <v>#REF!</v>
      </c>
      <c r="L12" s="74" t="e">
        <f>+#REF!</f>
        <v>#REF!</v>
      </c>
      <c r="M12" s="74" t="e">
        <f>+#REF!</f>
        <v>#REF!</v>
      </c>
      <c r="N12" s="74" t="e">
        <f>+#REF!</f>
        <v>#REF!</v>
      </c>
      <c r="O12" s="74">
        <f>+รายเดือน!F11</f>
        <v>80458.8</v>
      </c>
      <c r="P12" s="75">
        <f>+รายเดือน!R11</f>
        <v>35593.279999999999</v>
      </c>
      <c r="Q12" s="75">
        <v>17116.14</v>
      </c>
      <c r="R12" s="75">
        <f>+R13+R14</f>
        <v>0</v>
      </c>
      <c r="S12" s="75">
        <f>+รายเดือน!BB11</f>
        <v>0</v>
      </c>
      <c r="T12" s="75">
        <f>+รายเดือน!BN11</f>
        <v>0</v>
      </c>
      <c r="U12" s="75">
        <f>+รายเดือน!BZ11</f>
        <v>5732.21</v>
      </c>
      <c r="V12" s="75">
        <f>+รายเดือน!CL11</f>
        <v>834.69</v>
      </c>
      <c r="W12" s="75">
        <f t="shared" si="0"/>
        <v>-4897.5200000000004</v>
      </c>
    </row>
    <row r="13" spans="3:23" ht="21" hidden="1" customHeight="1" thickBot="1" x14ac:dyDescent="0.25">
      <c r="C13" s="71" t="s">
        <v>77</v>
      </c>
      <c r="D13" s="74" t="e">
        <f>+#REF!</f>
        <v>#REF!</v>
      </c>
      <c r="E13" s="74" t="e">
        <f>+#REF!</f>
        <v>#REF!</v>
      </c>
      <c r="F13" s="74" t="e">
        <f>+#REF!</f>
        <v>#REF!</v>
      </c>
      <c r="G13" s="78" t="e">
        <f>+#REF!</f>
        <v>#REF!</v>
      </c>
      <c r="H13" s="78" t="e">
        <f>+#REF!</f>
        <v>#REF!</v>
      </c>
      <c r="I13" s="78" t="e">
        <f>+#REF!</f>
        <v>#REF!</v>
      </c>
      <c r="J13" s="78" t="e">
        <f>+#REF!</f>
        <v>#REF!</v>
      </c>
      <c r="K13" s="78" t="e">
        <f>+#REF!</f>
        <v>#REF!</v>
      </c>
      <c r="L13" s="78" t="e">
        <f>+#REF!</f>
        <v>#REF!</v>
      </c>
      <c r="M13" s="78" t="e">
        <f>+#REF!</f>
        <v>#REF!</v>
      </c>
      <c r="N13" s="78" t="e">
        <f>+#REF!</f>
        <v>#REF!</v>
      </c>
      <c r="O13" s="76">
        <f>+รายเดือน!F12</f>
        <v>29357.13</v>
      </c>
      <c r="P13" s="77">
        <f>+รายเดือน!R12</f>
        <v>17993.28</v>
      </c>
      <c r="Q13" s="77">
        <v>8316.14</v>
      </c>
      <c r="R13" s="77">
        <v>0</v>
      </c>
      <c r="S13" s="77">
        <v>1</v>
      </c>
      <c r="T13" s="75">
        <f>+รายเดือน!BN12</f>
        <v>0</v>
      </c>
      <c r="U13" s="75">
        <f>+รายเดือน!BW12</f>
        <v>0</v>
      </c>
      <c r="V13" s="75">
        <f>+รายเดือน!CL12</f>
        <v>0</v>
      </c>
      <c r="W13" s="75">
        <f t="shared" si="0"/>
        <v>0</v>
      </c>
    </row>
    <row r="14" spans="3:23" ht="21" hidden="1" customHeight="1" thickBot="1" x14ac:dyDescent="0.25">
      <c r="C14" s="71" t="s">
        <v>78</v>
      </c>
      <c r="D14" s="74" t="e">
        <f>+#REF!</f>
        <v>#REF!</v>
      </c>
      <c r="E14" s="74" t="e">
        <f>+#REF!</f>
        <v>#REF!</v>
      </c>
      <c r="F14" s="74" t="e">
        <f>+#REF!</f>
        <v>#REF!</v>
      </c>
      <c r="G14" s="78" t="e">
        <f>+#REF!</f>
        <v>#REF!</v>
      </c>
      <c r="H14" s="78" t="e">
        <f>+#REF!</f>
        <v>#REF!</v>
      </c>
      <c r="I14" s="78" t="e">
        <f>+#REF!</f>
        <v>#REF!</v>
      </c>
      <c r="J14" s="78" t="e">
        <f>+#REF!</f>
        <v>#REF!</v>
      </c>
      <c r="K14" s="78" t="e">
        <f>+#REF!</f>
        <v>#REF!</v>
      </c>
      <c r="L14" s="78" t="e">
        <f>+#REF!</f>
        <v>#REF!</v>
      </c>
      <c r="M14" s="78" t="e">
        <f>+#REF!</f>
        <v>#REF!</v>
      </c>
      <c r="N14" s="78" t="e">
        <f>+#REF!</f>
        <v>#REF!</v>
      </c>
      <c r="O14" s="76">
        <f>+รายเดือน!F13</f>
        <v>51101.67</v>
      </c>
      <c r="P14" s="77">
        <f>+รายเดือน!R13</f>
        <v>17600</v>
      </c>
      <c r="Q14" s="77">
        <v>8800</v>
      </c>
      <c r="R14" s="77">
        <f>+รายเดือน!AG13</f>
        <v>0</v>
      </c>
      <c r="S14" s="77" t="e">
        <f>+รายเดือน!#REF!</f>
        <v>#REF!</v>
      </c>
      <c r="T14" s="75">
        <f>+รายเดือน!BN13</f>
        <v>0</v>
      </c>
      <c r="U14" s="75">
        <f>+รายเดือน!BW13</f>
        <v>10000</v>
      </c>
      <c r="V14" s="75">
        <f>+รายเดือน!CL13</f>
        <v>834.69</v>
      </c>
      <c r="W14" s="75">
        <f t="shared" si="0"/>
        <v>-9165.31</v>
      </c>
    </row>
    <row r="15" spans="3:23" ht="21" customHeight="1" thickBot="1" x14ac:dyDescent="0.25">
      <c r="C15" s="73" t="s">
        <v>79</v>
      </c>
      <c r="D15" s="74" t="e">
        <f>+#REF!</f>
        <v>#REF!</v>
      </c>
      <c r="E15" s="74" t="e">
        <f>+#REF!</f>
        <v>#REF!</v>
      </c>
      <c r="F15" s="74" t="e">
        <f>+#REF!</f>
        <v>#REF!</v>
      </c>
      <c r="G15" s="74" t="e">
        <f>+#REF!</f>
        <v>#REF!</v>
      </c>
      <c r="H15" s="74" t="e">
        <f>+#REF!</f>
        <v>#REF!</v>
      </c>
      <c r="I15" s="74" t="e">
        <f>+#REF!</f>
        <v>#REF!</v>
      </c>
      <c r="J15" s="74" t="e">
        <f>+#REF!</f>
        <v>#REF!</v>
      </c>
      <c r="K15" s="74" t="e">
        <f>+#REF!</f>
        <v>#REF!</v>
      </c>
      <c r="L15" s="74" t="e">
        <f>+#REF!</f>
        <v>#REF!</v>
      </c>
      <c r="M15" s="74" t="e">
        <f>+#REF!</f>
        <v>#REF!</v>
      </c>
      <c r="N15" s="74" t="e">
        <f>+#REF!</f>
        <v>#REF!</v>
      </c>
      <c r="O15" s="74">
        <f>+รายเดือน!F14</f>
        <v>273515.17</v>
      </c>
      <c r="P15" s="75">
        <f>+รายเดือน!R14</f>
        <v>185154.44</v>
      </c>
      <c r="Q15" s="75">
        <v>138218.60999999999</v>
      </c>
      <c r="R15" s="75">
        <f>+รายเดือน!AP14</f>
        <v>98146.48</v>
      </c>
      <c r="S15" s="75">
        <f>+รายเดือน!BB14</f>
        <v>62100.43</v>
      </c>
      <c r="T15" s="75">
        <f>+รายเดือน!BN14</f>
        <v>30445.18</v>
      </c>
      <c r="U15" s="75">
        <f>+รายเดือน!BW14</f>
        <v>0</v>
      </c>
      <c r="V15" s="75">
        <f>+รายเดือน!CL14</f>
        <v>0</v>
      </c>
      <c r="W15" s="75">
        <f t="shared" si="0"/>
        <v>0</v>
      </c>
    </row>
    <row r="16" spans="3:23" ht="21" customHeight="1" thickBot="1" x14ac:dyDescent="0.25">
      <c r="C16" s="73" t="s">
        <v>80</v>
      </c>
      <c r="D16" s="74" t="e">
        <f>+#REF!</f>
        <v>#REF!</v>
      </c>
      <c r="E16" s="79" t="e">
        <f>+#REF!</f>
        <v>#REF!</v>
      </c>
      <c r="F16" s="79" t="e">
        <f>+#REF!</f>
        <v>#REF!</v>
      </c>
      <c r="G16" s="74" t="e">
        <f>+#REF!</f>
        <v>#REF!</v>
      </c>
      <c r="H16" s="74" t="e">
        <f>+#REF!</f>
        <v>#REF!</v>
      </c>
      <c r="I16" s="74" t="e">
        <f>+#REF!</f>
        <v>#REF!</v>
      </c>
      <c r="J16" s="74" t="e">
        <f>+#REF!</f>
        <v>#REF!</v>
      </c>
      <c r="K16" s="74" t="e">
        <f>+#REF!</f>
        <v>#REF!</v>
      </c>
      <c r="L16" s="74" t="e">
        <f>+#REF!</f>
        <v>#REF!</v>
      </c>
      <c r="M16" s="74" t="e">
        <f>+#REF!</f>
        <v>#REF!</v>
      </c>
      <c r="N16" s="74" t="e">
        <f>+#REF!</f>
        <v>#REF!</v>
      </c>
      <c r="O16" s="74">
        <f>+รายเดือน!F15</f>
        <v>3233150.67</v>
      </c>
      <c r="P16" s="75">
        <f>+รายเดือน!R15</f>
        <v>3179436.8</v>
      </c>
      <c r="Q16" s="75">
        <v>3408331.4</v>
      </c>
      <c r="R16" s="75">
        <f>+รายเดือน!AP15</f>
        <v>4002031.45566</v>
      </c>
      <c r="S16" s="75">
        <f>+S15+S7+S4</f>
        <v>4230744.74</v>
      </c>
      <c r="T16" s="75">
        <f>+รายเดือน!BN15</f>
        <v>4448294.5999999996</v>
      </c>
      <c r="U16" s="75">
        <f>+รายเดือน!BZ15</f>
        <v>4937238.33</v>
      </c>
      <c r="V16" s="75">
        <f>+รายเดือน!CL15</f>
        <v>5430560.040000001</v>
      </c>
      <c r="W16" s="75">
        <f t="shared" si="0"/>
        <v>493321.71000000089</v>
      </c>
    </row>
    <row r="17" spans="3:23" ht="21" customHeight="1" thickBot="1" x14ac:dyDescent="0.25">
      <c r="C17" s="73" t="s">
        <v>81</v>
      </c>
      <c r="D17" s="74" t="e">
        <f>+#REF!</f>
        <v>#REF!</v>
      </c>
      <c r="E17" s="79" t="e">
        <f>+#REF!</f>
        <v>#REF!</v>
      </c>
      <c r="F17" s="79" t="e">
        <f>+#REF!</f>
        <v>#REF!</v>
      </c>
      <c r="G17" s="74" t="e">
        <f>+#REF!</f>
        <v>#REF!</v>
      </c>
      <c r="H17" s="74" t="e">
        <f>+#REF!</f>
        <v>#REF!</v>
      </c>
      <c r="I17" s="74" t="e">
        <f>+#REF!</f>
        <v>#REF!</v>
      </c>
      <c r="J17" s="74" t="e">
        <f>+#REF!</f>
        <v>#REF!</v>
      </c>
      <c r="K17" s="74" t="e">
        <f>+#REF!</f>
        <v>#REF!</v>
      </c>
      <c r="L17" s="74" t="e">
        <f>+#REF!</f>
        <v>#REF!</v>
      </c>
      <c r="M17" s="74" t="e">
        <f>+#REF!</f>
        <v>#REF!</v>
      </c>
      <c r="N17" s="74" t="e">
        <f>+#REF!</f>
        <v>#REF!</v>
      </c>
      <c r="O17" s="74">
        <f>+รายเดือน!F18</f>
        <v>41.29009994343788</v>
      </c>
      <c r="P17" s="75">
        <v>37.54</v>
      </c>
      <c r="Q17" s="75">
        <v>37.56</v>
      </c>
      <c r="R17" s="75">
        <f>+รายเดือน!AP18</f>
        <v>44.262425407671209</v>
      </c>
      <c r="S17" s="75">
        <f>+รายเดือน!BB18</f>
        <v>41.868663803340986</v>
      </c>
      <c r="T17" s="75">
        <f>+รายเดือน!BN18</f>
        <v>42.271793049183316</v>
      </c>
      <c r="U17" s="75">
        <f>+รายเดือน!BZ18</f>
        <v>43.910059694165234</v>
      </c>
      <c r="V17" s="75">
        <f>+รายเดือน!CL18</f>
        <v>45.4887444977279</v>
      </c>
      <c r="W17" s="75">
        <f t="shared" si="0"/>
        <v>1.5786848035626662</v>
      </c>
    </row>
    <row r="18" spans="3:23" ht="21" hidden="1" customHeight="1" thickBot="1" x14ac:dyDescent="0.5">
      <c r="C18" s="33" t="s">
        <v>82</v>
      </c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4">
        <v>24.4</v>
      </c>
      <c r="Q18" s="34"/>
      <c r="R18" s="34">
        <f>รายเดือน!AD19</f>
        <v>22.7</v>
      </c>
      <c r="S18" s="34"/>
      <c r="T18" s="34"/>
      <c r="U18" s="34"/>
      <c r="V18" s="34"/>
      <c r="W18" s="35"/>
    </row>
  </sheetData>
  <mergeCells count="2">
    <mergeCell ref="C1:W1"/>
    <mergeCell ref="C2:W2"/>
  </mergeCells>
  <phoneticPr fontId="3" type="noConversion"/>
  <pageMargins left="0.75" right="0.75" top="1" bottom="1" header="0.5" footer="0.5"/>
  <pageSetup paperSize="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รายเดือน</vt:lpstr>
      <vt:lpstr>รายปี</vt:lpstr>
      <vt:lpstr>Sheet4</vt:lpstr>
      <vt:lpstr>รายเดือน!Print_Area</vt:lpstr>
      <vt:lpstr>รายปี!Print_Titles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FPO</dc:creator>
  <cp:lastModifiedBy>สายทิพย์ คำพุฒ</cp:lastModifiedBy>
  <cp:lastPrinted>2016-04-27T03:20:00Z</cp:lastPrinted>
  <dcterms:created xsi:type="dcterms:W3CDTF">2006-10-19T16:08:40Z</dcterms:created>
  <dcterms:modified xsi:type="dcterms:W3CDTF">2020-01-23T09:14:45Z</dcterms:modified>
</cp:coreProperties>
</file>